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J:\AGUA\3. CONVOCATORIAS\ESTUDIOS PREVIOS CTOS 159-541-547-766\SANTANDER DE QUILICHAO PTAP QUITAPEREZA\"/>
    </mc:Choice>
  </mc:AlternateContent>
  <bookViews>
    <workbookView xWindow="0" yWindow="60" windowWidth="15480" windowHeight="7095" firstSheet="10" activeTab="10"/>
  </bookViews>
  <sheets>
    <sheet name="ANALISIS" sheetId="4" state="hidden" r:id="rId1"/>
    <sheet name="INSUMOS" sheetId="3" state="hidden" r:id="rId2"/>
    <sheet name="CRONOGRAMA" sheetId="2" state="hidden" r:id="rId3"/>
    <sheet name="CALCULOS" sheetId="7" state="hidden" r:id="rId4"/>
    <sheet name="M.O" sheetId="9" state="hidden" r:id="rId5"/>
    <sheet name="SUMINIS" sheetId="8" state="hidden" r:id="rId6"/>
    <sheet name="Hoja1" sheetId="10" state="hidden" r:id="rId7"/>
    <sheet name="Hoja2" sheetId="15" state="hidden" r:id="rId8"/>
    <sheet name="PRESUPUESTO valv 10julio (2)" sheetId="17" state="hidden" r:id="rId9"/>
    <sheet name="ARQUITECTONICO" sheetId="20" state="hidden" r:id="rId10"/>
    <sheet name="PRESUPUESTO M.O nov" sheetId="21" r:id="rId11"/>
    <sheet name="PRESUPUESTO M.O ABRIL 12" sheetId="18" state="hidden" r:id="rId12"/>
    <sheet name="Hoja3" sheetId="19" state="hidden" r:id="rId13"/>
    <sheet name="PRESUPUESTO M.O" sheetId="16" state="hidden" r:id="rId14"/>
    <sheet name="PRESUPUESTO quita (3)" sheetId="14" state="hidden" r:id="rId15"/>
    <sheet name="PRESUPUESTO quita (2)" sheetId="13" state="hidden" r:id="rId16"/>
    <sheet name="PRESUPUESTO quita" sheetId="12" state="hidden" r:id="rId17"/>
    <sheet name="PRESUPUESTO" sheetId="5" state="hidden" r:id="rId18"/>
    <sheet name="SUMINISTRO" sheetId="6" state="hidden" r:id="rId19"/>
    <sheet name="Presupuesto total" sheetId="1" state="hidden" r:id="rId20"/>
  </sheets>
  <externalReferences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_xlnm._FilterDatabase" localSheetId="18" hidden="1">SUMINISTRO!$A$57:$F$80</definedName>
    <definedName name="OLE_LINK1" localSheetId="9">ARQUITECTONICO!#REF!</definedName>
    <definedName name="OLE_LINK1" localSheetId="4">M.O!$C$34</definedName>
    <definedName name="OLE_LINK1" localSheetId="17">PRESUPUESTO!$C$34</definedName>
    <definedName name="OLE_LINK1" localSheetId="13">'PRESUPUESTO M.O'!$C$35</definedName>
    <definedName name="OLE_LINK1" localSheetId="11">'PRESUPUESTO M.O ABRIL 12'!$C$35</definedName>
    <definedName name="OLE_LINK1" localSheetId="10">'PRESUPUESTO M.O nov'!$C$20</definedName>
    <definedName name="OLE_LINK1" localSheetId="16">'PRESUPUESTO quita'!$C$34</definedName>
    <definedName name="OLE_LINK1" localSheetId="15">'PRESUPUESTO quita (2)'!$C$34</definedName>
    <definedName name="OLE_LINK1" localSheetId="14">'PRESUPUESTO quita (3)'!$C$34</definedName>
    <definedName name="OLE_LINK1" localSheetId="8">'PRESUPUESTO valv 10julio (2)'!$C$35</definedName>
    <definedName name="OLE_LINK1" localSheetId="5">SUMINIS!#REF!</definedName>
  </definedNames>
  <calcPr calcId="152511"/>
  <fileRecoveryPr autoRecover="0"/>
</workbook>
</file>

<file path=xl/calcChain.xml><?xml version="1.0" encoding="utf-8"?>
<calcChain xmlns="http://schemas.openxmlformats.org/spreadsheetml/2006/main">
  <c r="E11" i="21" l="1"/>
  <c r="E12" i="21"/>
  <c r="E13" i="21"/>
  <c r="G549" i="21" l="1"/>
  <c r="G551" i="21" s="1"/>
  <c r="G554" i="21" s="1"/>
  <c r="G555" i="21" l="1"/>
  <c r="G556" i="21" s="1"/>
  <c r="H508" i="21"/>
  <c r="H504" i="21"/>
  <c r="I472" i="21"/>
  <c r="H469" i="21"/>
  <c r="H466" i="21"/>
  <c r="H462" i="21"/>
  <c r="I456" i="21"/>
  <c r="H448" i="21"/>
  <c r="H446" i="21"/>
  <c r="I444" i="21"/>
  <c r="H442" i="21"/>
  <c r="H439" i="21"/>
  <c r="H438" i="21"/>
  <c r="I428" i="21"/>
  <c r="H423" i="21"/>
  <c r="H419" i="21"/>
  <c r="I412" i="21"/>
  <c r="H407" i="21"/>
  <c r="H403" i="21"/>
  <c r="H386" i="21"/>
  <c r="I382" i="21"/>
  <c r="H371" i="21"/>
  <c r="H365" i="21"/>
  <c r="H362" i="21"/>
  <c r="I361" i="21"/>
  <c r="H358" i="21"/>
  <c r="H356" i="21"/>
  <c r="I354" i="21"/>
  <c r="H352" i="21"/>
  <c r="H348" i="21"/>
  <c r="H347" i="21"/>
  <c r="H344" i="21"/>
  <c r="I335" i="21"/>
  <c r="H329" i="21"/>
  <c r="H328" i="21"/>
  <c r="H325" i="21"/>
  <c r="H324" i="21"/>
  <c r="H319" i="21"/>
  <c r="I314" i="21"/>
  <c r="H312" i="21"/>
  <c r="H311" i="21"/>
  <c r="I306" i="21"/>
  <c r="H305" i="21"/>
  <c r="I302" i="21"/>
  <c r="H301" i="21"/>
  <c r="H295" i="21"/>
  <c r="H293" i="21"/>
  <c r="H291" i="21"/>
  <c r="H288" i="21"/>
  <c r="H286" i="21"/>
  <c r="H284" i="21"/>
  <c r="H282" i="21"/>
  <c r="H278" i="21"/>
  <c r="H277" i="21"/>
  <c r="H274" i="21"/>
  <c r="H273" i="21"/>
  <c r="I269" i="21"/>
  <c r="H268" i="21"/>
  <c r="H259" i="21"/>
  <c r="H257" i="21"/>
  <c r="H255" i="21"/>
  <c r="H253" i="21"/>
  <c r="H249" i="21"/>
  <c r="I248" i="21"/>
  <c r="I246" i="21"/>
  <c r="H245" i="21"/>
  <c r="I244" i="21"/>
  <c r="I234" i="21"/>
  <c r="H233" i="21"/>
  <c r="I230" i="21"/>
  <c r="H229" i="21"/>
  <c r="I226" i="21"/>
  <c r="H225" i="21"/>
  <c r="I222" i="21"/>
  <c r="H221" i="21"/>
  <c r="I218" i="21"/>
  <c r="H217" i="21"/>
  <c r="I214" i="21"/>
  <c r="H213" i="21"/>
  <c r="H208" i="21"/>
  <c r="I207" i="21"/>
  <c r="I205" i="21"/>
  <c r="H204" i="21"/>
  <c r="I203" i="21"/>
  <c r="I201" i="21"/>
  <c r="H200" i="21"/>
  <c r="I197" i="21"/>
  <c r="H196" i="21"/>
  <c r="I193" i="21"/>
  <c r="I185" i="21"/>
  <c r="I183" i="21"/>
  <c r="H170" i="21"/>
  <c r="H166" i="21"/>
  <c r="H165" i="21"/>
  <c r="H163" i="21"/>
  <c r="H162" i="21"/>
  <c r="I151" i="21"/>
  <c r="I150" i="21"/>
  <c r="I146" i="21"/>
  <c r="H145" i="21"/>
  <c r="I142" i="21"/>
  <c r="H141" i="21"/>
  <c r="H139" i="21"/>
  <c r="I138" i="21"/>
  <c r="I135" i="21"/>
  <c r="I125" i="21"/>
  <c r="I119" i="21"/>
  <c r="I109" i="21"/>
  <c r="H108" i="21"/>
  <c r="H104" i="21"/>
  <c r="I103" i="21"/>
  <c r="H100" i="21"/>
  <c r="H97" i="21"/>
  <c r="H96" i="21"/>
  <c r="I88" i="21"/>
  <c r="I82" i="21"/>
  <c r="I78" i="21"/>
  <c r="I69" i="21"/>
  <c r="H66" i="21"/>
  <c r="I65" i="21"/>
  <c r="H62" i="21"/>
  <c r="I61" i="21"/>
  <c r="I60" i="21"/>
  <c r="I57" i="21"/>
  <c r="I53" i="21"/>
  <c r="I45" i="21"/>
  <c r="H44" i="21"/>
  <c r="H41" i="21"/>
  <c r="H40" i="21"/>
  <c r="H38" i="21"/>
  <c r="H36" i="21"/>
  <c r="I29" i="21"/>
  <c r="I27" i="21"/>
  <c r="I25" i="21"/>
  <c r="I23" i="21"/>
  <c r="I21" i="21"/>
  <c r="I19" i="21"/>
  <c r="I12" i="21"/>
  <c r="H13" i="21"/>
  <c r="M520" i="21"/>
  <c r="M453" i="21"/>
  <c r="M388" i="21"/>
  <c r="M387" i="21"/>
  <c r="H52" i="21"/>
  <c r="I52" i="21"/>
  <c r="H53" i="21"/>
  <c r="I54" i="21"/>
  <c r="H56" i="21"/>
  <c r="I56" i="21"/>
  <c r="H57" i="21"/>
  <c r="I58" i="21"/>
  <c r="H60" i="21"/>
  <c r="H61" i="21"/>
  <c r="I62" i="21"/>
  <c r="I64" i="21"/>
  <c r="H65" i="21"/>
  <c r="I66" i="21"/>
  <c r="H68" i="21"/>
  <c r="I68" i="21"/>
  <c r="H69" i="21"/>
  <c r="I77" i="21"/>
  <c r="H78" i="21"/>
  <c r="H79" i="21"/>
  <c r="I79" i="21"/>
  <c r="H80" i="21"/>
  <c r="H82" i="21"/>
  <c r="H83" i="21"/>
  <c r="I83" i="21"/>
  <c r="I85" i="21"/>
  <c r="H87" i="21"/>
  <c r="I87" i="21"/>
  <c r="H95" i="21"/>
  <c r="I95" i="21"/>
  <c r="I96" i="21"/>
  <c r="H99" i="21"/>
  <c r="I99" i="21"/>
  <c r="I100" i="21"/>
  <c r="H103" i="21"/>
  <c r="I104" i="21"/>
  <c r="I107" i="21"/>
  <c r="I108" i="21"/>
  <c r="H111" i="21"/>
  <c r="I111" i="21"/>
  <c r="H118" i="21"/>
  <c r="I118" i="21"/>
  <c r="H120" i="21"/>
  <c r="I120" i="21"/>
  <c r="H122" i="21"/>
  <c r="I122" i="21"/>
  <c r="H123" i="21"/>
  <c r="I124" i="21"/>
  <c r="H125" i="21"/>
  <c r="H126" i="21"/>
  <c r="I126" i="21"/>
  <c r="H127" i="21"/>
  <c r="I128" i="21"/>
  <c r="H130" i="21"/>
  <c r="I130" i="21"/>
  <c r="H136" i="21"/>
  <c r="I136" i="21"/>
  <c r="H138" i="21"/>
  <c r="H140" i="21"/>
  <c r="I140" i="21"/>
  <c r="H142" i="21"/>
  <c r="H144" i="21"/>
  <c r="H146" i="21"/>
  <c r="I148" i="21"/>
  <c r="H150" i="21"/>
  <c r="H152" i="21"/>
  <c r="I152" i="21"/>
  <c r="H161" i="21"/>
  <c r="I164" i="21"/>
  <c r="I165" i="21"/>
  <c r="H169" i="21"/>
  <c r="I169" i="21"/>
  <c r="I172" i="21"/>
  <c r="H173" i="21"/>
  <c r="I173" i="21"/>
  <c r="H178" i="21"/>
  <c r="I178" i="21"/>
  <c r="H179" i="21"/>
  <c r="I179" i="21"/>
  <c r="H182" i="21"/>
  <c r="I182" i="21"/>
  <c r="H183" i="21"/>
  <c r="H185" i="21"/>
  <c r="H193" i="21"/>
  <c r="H195" i="21"/>
  <c r="I196" i="21"/>
  <c r="H197" i="21"/>
  <c r="H199" i="21"/>
  <c r="I200" i="21"/>
  <c r="H201" i="21"/>
  <c r="H202" i="21"/>
  <c r="I202" i="21"/>
  <c r="H203" i="21"/>
  <c r="I204" i="21"/>
  <c r="H205" i="21"/>
  <c r="H206" i="21"/>
  <c r="I206" i="21"/>
  <c r="H207" i="21"/>
  <c r="I208" i="21"/>
  <c r="H214" i="21"/>
  <c r="H215" i="21"/>
  <c r="I215" i="21"/>
  <c r="H216" i="21"/>
  <c r="I216" i="21"/>
  <c r="H218" i="21"/>
  <c r="H219" i="21"/>
  <c r="I219" i="21"/>
  <c r="H220" i="21"/>
  <c r="I220" i="21"/>
  <c r="H222" i="21"/>
  <c r="H223" i="21"/>
  <c r="I223" i="21"/>
  <c r="H224" i="21"/>
  <c r="I224" i="21"/>
  <c r="H226" i="21"/>
  <c r="H227" i="21"/>
  <c r="I227" i="21"/>
  <c r="H228" i="21"/>
  <c r="I228" i="21"/>
  <c r="H230" i="21"/>
  <c r="H231" i="21"/>
  <c r="I231" i="21"/>
  <c r="H232" i="21"/>
  <c r="I232" i="21"/>
  <c r="H234" i="21"/>
  <c r="H235" i="21"/>
  <c r="I235" i="21"/>
  <c r="H236" i="21"/>
  <c r="I236" i="21"/>
  <c r="H244" i="21"/>
  <c r="I245" i="21"/>
  <c r="H246" i="21"/>
  <c r="H247" i="21"/>
  <c r="I247" i="21"/>
  <c r="H248" i="21"/>
  <c r="I249" i="21"/>
  <c r="H254" i="21"/>
  <c r="I254" i="21"/>
  <c r="I255" i="21"/>
  <c r="H256" i="21"/>
  <c r="I256" i="21"/>
  <c r="H258" i="21"/>
  <c r="I258" i="21"/>
  <c r="I259" i="21"/>
  <c r="H260" i="21"/>
  <c r="I260" i="21"/>
  <c r="H267" i="21"/>
  <c r="I267" i="21"/>
  <c r="H269" i="21"/>
  <c r="H270" i="21"/>
  <c r="I270" i="21"/>
  <c r="H271" i="21"/>
  <c r="I271" i="21"/>
  <c r="I273" i="21"/>
  <c r="H275" i="21"/>
  <c r="I275" i="21"/>
  <c r="H276" i="21"/>
  <c r="I276" i="21"/>
  <c r="I277" i="21"/>
  <c r="H279" i="21"/>
  <c r="I279" i="21"/>
  <c r="H280" i="21"/>
  <c r="I280" i="21"/>
  <c r="I282" i="21"/>
  <c r="H283" i="21"/>
  <c r="I283" i="21"/>
  <c r="I284" i="21"/>
  <c r="H285" i="21"/>
  <c r="I285" i="21"/>
  <c r="I286" i="21"/>
  <c r="H287" i="21"/>
  <c r="I287" i="21"/>
  <c r="I288" i="21"/>
  <c r="H289" i="21"/>
  <c r="I289" i="21"/>
  <c r="I291" i="21"/>
  <c r="H292" i="21"/>
  <c r="I292" i="21"/>
  <c r="I293" i="21"/>
  <c r="H294" i="21"/>
  <c r="I294" i="21"/>
  <c r="I295" i="21"/>
  <c r="H296" i="21"/>
  <c r="I296" i="21"/>
  <c r="H297" i="21"/>
  <c r="I297" i="21"/>
  <c r="H298" i="21"/>
  <c r="I298" i="21"/>
  <c r="H299" i="21"/>
  <c r="I299" i="21"/>
  <c r="H302" i="21"/>
  <c r="H303" i="21"/>
  <c r="I303" i="21"/>
  <c r="H304" i="21"/>
  <c r="I304" i="21"/>
  <c r="H306" i="21"/>
  <c r="H307" i="21"/>
  <c r="I307" i="21"/>
  <c r="H308" i="21"/>
  <c r="I308" i="21"/>
  <c r="H310" i="21"/>
  <c r="I310" i="21"/>
  <c r="I311" i="21"/>
  <c r="H314" i="21"/>
  <c r="H315" i="21"/>
  <c r="I315" i="21"/>
  <c r="I319" i="21"/>
  <c r="H320" i="21"/>
  <c r="I320" i="21"/>
  <c r="H323" i="21"/>
  <c r="I323" i="21"/>
  <c r="I324" i="21"/>
  <c r="H326" i="21"/>
  <c r="I326" i="21"/>
  <c r="H327" i="21"/>
  <c r="I327" i="21"/>
  <c r="I328" i="21"/>
  <c r="H330" i="21"/>
  <c r="I330" i="21"/>
  <c r="H331" i="21"/>
  <c r="I331" i="21"/>
  <c r="H335" i="21"/>
  <c r="H342" i="21"/>
  <c r="I342" i="21"/>
  <c r="H345" i="21"/>
  <c r="I345" i="21"/>
  <c r="H346" i="21"/>
  <c r="I346" i="21"/>
  <c r="I347" i="21"/>
  <c r="H350" i="21"/>
  <c r="I350" i="21"/>
  <c r="I352" i="21"/>
  <c r="H354" i="21"/>
  <c r="I356" i="21"/>
  <c r="H357" i="21"/>
  <c r="I357" i="21"/>
  <c r="H359" i="21"/>
  <c r="I359" i="21"/>
  <c r="H361" i="21"/>
  <c r="I362" i="21"/>
  <c r="H364" i="21"/>
  <c r="I364" i="21"/>
  <c r="I365" i="21"/>
  <c r="H366" i="21"/>
  <c r="I366" i="21"/>
  <c r="H368" i="21"/>
  <c r="I368" i="21"/>
  <c r="I371" i="21"/>
  <c r="H373" i="21"/>
  <c r="I373" i="21"/>
  <c r="H375" i="21"/>
  <c r="I375" i="21"/>
  <c r="H377" i="21"/>
  <c r="I377" i="21"/>
  <c r="H380" i="21"/>
  <c r="I380" i="21"/>
  <c r="H382" i="21"/>
  <c r="H384" i="21"/>
  <c r="I384" i="21"/>
  <c r="H389" i="21"/>
  <c r="I389" i="21"/>
  <c r="H390" i="21"/>
  <c r="I390" i="21"/>
  <c r="H391" i="21"/>
  <c r="I391" i="21"/>
  <c r="H392" i="21"/>
  <c r="I392" i="21"/>
  <c r="H393" i="21"/>
  <c r="I393" i="21"/>
  <c r="H394" i="21"/>
  <c r="I394" i="21"/>
  <c r="H395" i="21"/>
  <c r="I395" i="21"/>
  <c r="H396" i="21"/>
  <c r="I396" i="21"/>
  <c r="H400" i="21"/>
  <c r="H401" i="21"/>
  <c r="H402" i="21"/>
  <c r="I402" i="21"/>
  <c r="H404" i="21"/>
  <c r="I405" i="21"/>
  <c r="H406" i="21"/>
  <c r="I406" i="21"/>
  <c r="H409" i="21"/>
  <c r="I409" i="21"/>
  <c r="H410" i="21"/>
  <c r="I410" i="21"/>
  <c r="H412" i="21"/>
  <c r="H413" i="21"/>
  <c r="I413" i="21"/>
  <c r="H414" i="21"/>
  <c r="I414" i="21"/>
  <c r="H416" i="21"/>
  <c r="H417" i="21"/>
  <c r="H418" i="21"/>
  <c r="I418" i="21"/>
  <c r="H420" i="21"/>
  <c r="I421" i="21"/>
  <c r="H422" i="21"/>
  <c r="I422" i="21"/>
  <c r="H425" i="21"/>
  <c r="I425" i="21"/>
  <c r="H426" i="21"/>
  <c r="I426" i="21"/>
  <c r="H428" i="21"/>
  <c r="H429" i="21"/>
  <c r="I429" i="21"/>
  <c r="H430" i="21"/>
  <c r="I430" i="21"/>
  <c r="I437" i="21"/>
  <c r="I439" i="21"/>
  <c r="H440" i="21"/>
  <c r="I443" i="21"/>
  <c r="H444" i="21"/>
  <c r="I445" i="21"/>
  <c r="I447" i="21"/>
  <c r="I448" i="21"/>
  <c r="H451" i="21"/>
  <c r="I451" i="21"/>
  <c r="I452" i="21"/>
  <c r="H454" i="21"/>
  <c r="I454" i="21"/>
  <c r="H456" i="21"/>
  <c r="H457" i="21"/>
  <c r="I457" i="21"/>
  <c r="H460" i="21"/>
  <c r="H461" i="21"/>
  <c r="I461" i="21"/>
  <c r="H464" i="21"/>
  <c r="I464" i="21"/>
  <c r="I466" i="21"/>
  <c r="I469" i="21"/>
  <c r="H472" i="21"/>
  <c r="H478" i="21"/>
  <c r="I478" i="21"/>
  <c r="I479" i="21"/>
  <c r="H480" i="21"/>
  <c r="I480" i="21"/>
  <c r="H485" i="21"/>
  <c r="I485" i="21"/>
  <c r="H490" i="21"/>
  <c r="I490" i="21"/>
  <c r="H491" i="21"/>
  <c r="I491" i="21"/>
  <c r="H492" i="21"/>
  <c r="I492" i="21"/>
  <c r="H493" i="21"/>
  <c r="I493" i="21"/>
  <c r="I494" i="21"/>
  <c r="I496" i="21"/>
  <c r="H498" i="21"/>
  <c r="I498" i="21"/>
  <c r="I501" i="21"/>
  <c r="H502" i="21"/>
  <c r="I502" i="21"/>
  <c r="H506" i="21"/>
  <c r="I506" i="21"/>
  <c r="I507" i="21"/>
  <c r="H509" i="21"/>
  <c r="I509" i="21"/>
  <c r="H510" i="21"/>
  <c r="I36" i="21"/>
  <c r="H37" i="21"/>
  <c r="I37" i="21"/>
  <c r="I38" i="21"/>
  <c r="H39" i="21"/>
  <c r="I39" i="21"/>
  <c r="I40" i="21"/>
  <c r="I41" i="21"/>
  <c r="H43" i="21"/>
  <c r="I44" i="21"/>
  <c r="H45" i="21"/>
  <c r="H47" i="21"/>
  <c r="I47" i="21"/>
  <c r="H11" i="21"/>
  <c r="I11" i="21"/>
  <c r="I30" i="21"/>
  <c r="H30" i="21"/>
  <c r="I28" i="21"/>
  <c r="H28" i="21"/>
  <c r="H27" i="21"/>
  <c r="I26" i="21"/>
  <c r="H26" i="21"/>
  <c r="I24" i="21"/>
  <c r="H24" i="21"/>
  <c r="H23" i="21"/>
  <c r="I22" i="21"/>
  <c r="H22" i="21"/>
  <c r="I20" i="21"/>
  <c r="H20" i="21"/>
  <c r="H19" i="21"/>
  <c r="H12" i="21"/>
  <c r="I14" i="21" l="1"/>
  <c r="H58" i="21"/>
  <c r="H70" i="21"/>
  <c r="I70" i="21"/>
  <c r="I80" i="21"/>
  <c r="I84" i="21"/>
  <c r="I123" i="21"/>
  <c r="I127" i="21"/>
  <c r="I171" i="21"/>
  <c r="I194" i="21"/>
  <c r="H198" i="21"/>
  <c r="H411" i="21"/>
  <c r="H415" i="21"/>
  <c r="H427" i="21"/>
  <c r="H431" i="21"/>
  <c r="H452" i="21"/>
  <c r="I474" i="21"/>
  <c r="I500" i="21"/>
  <c r="I504" i="21"/>
  <c r="H500" i="21"/>
  <c r="H496" i="21"/>
  <c r="I468" i="21"/>
  <c r="H447" i="21"/>
  <c r="H443" i="21"/>
  <c r="I198" i="21"/>
  <c r="H194" i="21"/>
  <c r="I167" i="21"/>
  <c r="I163" i="21"/>
  <c r="I147" i="21"/>
  <c r="I143" i="21"/>
  <c r="H119" i="21"/>
  <c r="I105" i="21"/>
  <c r="I101" i="21"/>
  <c r="H42" i="21"/>
  <c r="H46" i="21"/>
  <c r="I46" i="21"/>
  <c r="H54" i="21"/>
  <c r="I59" i="21"/>
  <c r="I63" i="21"/>
  <c r="I67" i="21"/>
  <c r="H67" i="21"/>
  <c r="H77" i="21"/>
  <c r="H81" i="21"/>
  <c r="H85" i="21"/>
  <c r="H89" i="21"/>
  <c r="I89" i="21"/>
  <c r="H98" i="21"/>
  <c r="H102" i="21"/>
  <c r="H106" i="21"/>
  <c r="H110" i="21"/>
  <c r="H124" i="21"/>
  <c r="I144" i="21"/>
  <c r="H148" i="21"/>
  <c r="H164" i="21"/>
  <c r="H168" i="21"/>
  <c r="I168" i="21"/>
  <c r="H172" i="21"/>
  <c r="H180" i="21"/>
  <c r="H184" i="21"/>
  <c r="I195" i="21"/>
  <c r="I199" i="21"/>
  <c r="I400" i="21"/>
  <c r="I404" i="21"/>
  <c r="I408" i="21"/>
  <c r="H408" i="21"/>
  <c r="I416" i="21"/>
  <c r="I420" i="21"/>
  <c r="I424" i="21"/>
  <c r="H424" i="21"/>
  <c r="I432" i="21"/>
  <c r="I458" i="21"/>
  <c r="H497" i="21"/>
  <c r="I497" i="21"/>
  <c r="H501" i="21"/>
  <c r="I42" i="21"/>
  <c r="H474" i="21"/>
  <c r="H468" i="21"/>
  <c r="I462" i="21"/>
  <c r="H458" i="21"/>
  <c r="I440" i="21"/>
  <c r="H432" i="21"/>
  <c r="H171" i="21"/>
  <c r="H167" i="21"/>
  <c r="H151" i="21"/>
  <c r="H147" i="21"/>
  <c r="H143" i="21"/>
  <c r="I139" i="21"/>
  <c r="H135" i="21"/>
  <c r="H128" i="21"/>
  <c r="H109" i="21"/>
  <c r="H105" i="21"/>
  <c r="H101" i="21"/>
  <c r="I97" i="21"/>
  <c r="H88" i="21"/>
  <c r="H84" i="21"/>
  <c r="I81" i="21"/>
  <c r="H63" i="21"/>
  <c r="H59" i="21"/>
  <c r="I43" i="21"/>
  <c r="H64" i="21"/>
  <c r="I86" i="21"/>
  <c r="H86" i="21"/>
  <c r="H107" i="21"/>
  <c r="I121" i="21"/>
  <c r="H121" i="21"/>
  <c r="I129" i="21"/>
  <c r="H129" i="21"/>
  <c r="H137" i="21"/>
  <c r="H149" i="21"/>
  <c r="I161" i="21"/>
  <c r="I181" i="21"/>
  <c r="H181" i="21"/>
  <c r="I401" i="21"/>
  <c r="H405" i="21"/>
  <c r="I417" i="21"/>
  <c r="H421" i="21"/>
  <c r="H437" i="21"/>
  <c r="H441" i="21"/>
  <c r="I441" i="21"/>
  <c r="H445" i="21"/>
  <c r="H450" i="21"/>
  <c r="I460" i="21"/>
  <c r="I465" i="21"/>
  <c r="H465" i="21"/>
  <c r="H471" i="21"/>
  <c r="H479" i="21"/>
  <c r="H494" i="21"/>
  <c r="I510" i="21"/>
  <c r="H495" i="21"/>
  <c r="H499" i="21"/>
  <c r="H503" i="21"/>
  <c r="H507" i="21"/>
  <c r="I13" i="21"/>
  <c r="I489" i="21"/>
  <c r="H489" i="21"/>
  <c r="I508" i="21"/>
  <c r="I503" i="21"/>
  <c r="I499" i="21"/>
  <c r="I495" i="21"/>
  <c r="I471" i="21"/>
  <c r="I450" i="21"/>
  <c r="I446" i="21"/>
  <c r="I442" i="21"/>
  <c r="I438" i="21"/>
  <c r="I431" i="21"/>
  <c r="I427" i="21"/>
  <c r="I423" i="21"/>
  <c r="I419" i="21"/>
  <c r="I415" i="21"/>
  <c r="I411" i="21"/>
  <c r="I407" i="21"/>
  <c r="I403" i="21"/>
  <c r="I386" i="21"/>
  <c r="I358" i="21"/>
  <c r="I348" i="21"/>
  <c r="I344" i="21"/>
  <c r="I329" i="21"/>
  <c r="I325" i="21"/>
  <c r="I312" i="21"/>
  <c r="I305" i="21"/>
  <c r="I301" i="21"/>
  <c r="I278" i="21"/>
  <c r="I274" i="21"/>
  <c r="I268" i="21"/>
  <c r="I257" i="21"/>
  <c r="I253" i="21"/>
  <c r="I233" i="21"/>
  <c r="I229" i="21"/>
  <c r="I225" i="21"/>
  <c r="I221" i="21"/>
  <c r="I217" i="21"/>
  <c r="I213" i="21"/>
  <c r="I184" i="21"/>
  <c r="I180" i="21"/>
  <c r="I170" i="21"/>
  <c r="I166" i="21"/>
  <c r="I162" i="21"/>
  <c r="I149" i="21"/>
  <c r="I145" i="21"/>
  <c r="I141" i="21"/>
  <c r="I137" i="21"/>
  <c r="I110" i="21"/>
  <c r="I106" i="21"/>
  <c r="I102" i="21"/>
  <c r="I98" i="21"/>
  <c r="H21" i="21"/>
  <c r="H25" i="21"/>
  <c r="H29" i="21"/>
  <c r="H14" i="21"/>
  <c r="E432" i="21"/>
  <c r="E431" i="21"/>
  <c r="E430" i="21"/>
  <c r="E429" i="21"/>
  <c r="E428" i="21"/>
  <c r="E427" i="21"/>
  <c r="E426" i="21"/>
  <c r="E425" i="21"/>
  <c r="E424" i="21"/>
  <c r="E423" i="21"/>
  <c r="E422" i="21"/>
  <c r="E421" i="21"/>
  <c r="E420" i="21"/>
  <c r="E419" i="21"/>
  <c r="E418" i="21"/>
  <c r="E417" i="21"/>
  <c r="E416" i="21"/>
  <c r="E415" i="21"/>
  <c r="E414" i="21"/>
  <c r="E413" i="21"/>
  <c r="E412" i="21"/>
  <c r="E411" i="21"/>
  <c r="E410" i="21"/>
  <c r="E409" i="21"/>
  <c r="E408" i="21"/>
  <c r="E407" i="21"/>
  <c r="E406" i="21"/>
  <c r="E405" i="21"/>
  <c r="E404" i="21"/>
  <c r="E403" i="21"/>
  <c r="E402" i="21"/>
  <c r="E401" i="21"/>
  <c r="E400" i="21"/>
  <c r="E380" i="21"/>
  <c r="E382" i="21"/>
  <c r="E384" i="21"/>
  <c r="E388" i="21"/>
  <c r="E387" i="21"/>
  <c r="E386" i="21"/>
  <c r="E377" i="21"/>
  <c r="E375" i="21"/>
  <c r="E373" i="21"/>
  <c r="E371" i="21"/>
  <c r="E368" i="21"/>
  <c r="E366" i="21"/>
  <c r="E365" i="21"/>
  <c r="E364" i="21"/>
  <c r="E362" i="21"/>
  <c r="E361" i="21"/>
  <c r="E359" i="21"/>
  <c r="E358" i="21"/>
  <c r="E357" i="21"/>
  <c r="E356" i="21"/>
  <c r="E354" i="21"/>
  <c r="E352" i="21"/>
  <c r="E350" i="21"/>
  <c r="E348" i="21"/>
  <c r="E347" i="21"/>
  <c r="E346" i="21"/>
  <c r="E345" i="21"/>
  <c r="E344" i="21"/>
  <c r="E342" i="21"/>
  <c r="E335" i="21"/>
  <c r="E331" i="21"/>
  <c r="E325" i="21"/>
  <c r="E324" i="21"/>
  <c r="E323" i="21"/>
  <c r="E320" i="21"/>
  <c r="E319" i="21"/>
  <c r="E315" i="21"/>
  <c r="E314" i="21"/>
  <c r="E312" i="21"/>
  <c r="E311" i="21"/>
  <c r="E310" i="21"/>
  <c r="E308" i="21"/>
  <c r="E307" i="21"/>
  <c r="E306" i="21"/>
  <c r="E305" i="21"/>
  <c r="E304" i="21"/>
  <c r="E303" i="21"/>
  <c r="E302" i="21"/>
  <c r="E301" i="21"/>
  <c r="E296" i="21"/>
  <c r="E294" i="21"/>
  <c r="E293" i="21"/>
  <c r="E292" i="21"/>
  <c r="E291" i="21"/>
  <c r="E289" i="21"/>
  <c r="E288" i="21"/>
  <c r="E287" i="21"/>
  <c r="E286" i="21"/>
  <c r="E285" i="21"/>
  <c r="E284" i="21"/>
  <c r="E283" i="21"/>
  <c r="E282" i="21"/>
  <c r="E280" i="21"/>
  <c r="E279" i="21"/>
  <c r="E278" i="21"/>
  <c r="E277" i="21"/>
  <c r="E276" i="21"/>
  <c r="E275" i="21"/>
  <c r="E274" i="21"/>
  <c r="E273" i="21"/>
  <c r="E271" i="21"/>
  <c r="E270" i="21"/>
  <c r="E269" i="21"/>
  <c r="E268" i="21"/>
  <c r="E267" i="21"/>
  <c r="E260" i="21"/>
  <c r="E259" i="21"/>
  <c r="E258" i="21"/>
  <c r="E257" i="21"/>
  <c r="E256" i="21"/>
  <c r="E255" i="21"/>
  <c r="E254" i="21"/>
  <c r="E253" i="21"/>
  <c r="E249" i="21"/>
  <c r="E248" i="21"/>
  <c r="E247" i="21"/>
  <c r="E246" i="21"/>
  <c r="E245" i="21"/>
  <c r="E244" i="21"/>
  <c r="E236" i="21"/>
  <c r="E235" i="21"/>
  <c r="E234" i="21"/>
  <c r="E233" i="21"/>
  <c r="E232" i="21"/>
  <c r="E231" i="21"/>
  <c r="E230" i="21"/>
  <c r="E229" i="21"/>
  <c r="E228" i="21"/>
  <c r="E227" i="21"/>
  <c r="E226" i="21"/>
  <c r="E225" i="21"/>
  <c r="E224" i="21"/>
  <c r="E223" i="21"/>
  <c r="E222" i="21"/>
  <c r="E221" i="21"/>
  <c r="E220" i="21"/>
  <c r="E219" i="21"/>
  <c r="E218" i="21"/>
  <c r="E217" i="21"/>
  <c r="E216" i="21"/>
  <c r="E215" i="21"/>
  <c r="E214" i="21"/>
  <c r="E213" i="21"/>
  <c r="E208" i="21"/>
  <c r="E207" i="21"/>
  <c r="E206" i="21"/>
  <c r="E205" i="21"/>
  <c r="E204" i="21"/>
  <c r="E203" i="21"/>
  <c r="E202" i="21"/>
  <c r="E201" i="21"/>
  <c r="E200" i="21"/>
  <c r="E199" i="21"/>
  <c r="E198" i="21"/>
  <c r="E197" i="21"/>
  <c r="E196" i="21"/>
  <c r="E195" i="21"/>
  <c r="E194" i="21"/>
  <c r="E193" i="21"/>
  <c r="E185" i="21"/>
  <c r="E184" i="21"/>
  <c r="E183" i="21"/>
  <c r="E182" i="21"/>
  <c r="E181" i="21"/>
  <c r="E180" i="21"/>
  <c r="E179" i="21"/>
  <c r="E178" i="21"/>
  <c r="E173" i="21"/>
  <c r="E172" i="21"/>
  <c r="E171" i="21"/>
  <c r="E170" i="21"/>
  <c r="E169" i="21"/>
  <c r="E168" i="21"/>
  <c r="E167" i="21"/>
  <c r="E166" i="21"/>
  <c r="E165" i="21"/>
  <c r="E164" i="21"/>
  <c r="E163" i="21"/>
  <c r="E162" i="21"/>
  <c r="E161" i="21"/>
  <c r="E152" i="21"/>
  <c r="E151" i="21"/>
  <c r="E150" i="21"/>
  <c r="E149" i="21"/>
  <c r="E148" i="21"/>
  <c r="E147" i="21"/>
  <c r="E146" i="21"/>
  <c r="E145" i="21"/>
  <c r="E144" i="21"/>
  <c r="E143" i="21"/>
  <c r="E142" i="21"/>
  <c r="E141" i="21"/>
  <c r="E140" i="21"/>
  <c r="E139" i="21"/>
  <c r="E138" i="21"/>
  <c r="E137" i="21"/>
  <c r="E136" i="21"/>
  <c r="E135" i="21"/>
  <c r="E130" i="21"/>
  <c r="E129" i="21"/>
  <c r="E128" i="21"/>
  <c r="E127" i="21"/>
  <c r="E126" i="21"/>
  <c r="E125" i="21"/>
  <c r="E124" i="21"/>
  <c r="E123" i="21"/>
  <c r="E122" i="21"/>
  <c r="E121" i="21"/>
  <c r="E120" i="21"/>
  <c r="E119" i="21"/>
  <c r="E118" i="21"/>
  <c r="E111" i="21"/>
  <c r="E110" i="21"/>
  <c r="E109" i="21"/>
  <c r="E108" i="21"/>
  <c r="E107" i="21"/>
  <c r="E106" i="21"/>
  <c r="E105" i="21"/>
  <c r="E104" i="21"/>
  <c r="E103" i="21"/>
  <c r="E102" i="21"/>
  <c r="E101" i="21"/>
  <c r="E100" i="21"/>
  <c r="E99" i="21"/>
  <c r="E98" i="21"/>
  <c r="E97" i="21"/>
  <c r="E96" i="21"/>
  <c r="E95" i="21"/>
  <c r="E89" i="21"/>
  <c r="E88" i="21"/>
  <c r="E87" i="21"/>
  <c r="E86" i="21"/>
  <c r="E85" i="21"/>
  <c r="E84" i="21"/>
  <c r="E83" i="21"/>
  <c r="E82" i="21"/>
  <c r="E81" i="21"/>
  <c r="E80" i="21"/>
  <c r="E79" i="21"/>
  <c r="E78" i="21"/>
  <c r="E77" i="21"/>
  <c r="E70" i="21"/>
  <c r="E69" i="21"/>
  <c r="E68" i="21"/>
  <c r="E67" i="21"/>
  <c r="E66" i="21"/>
  <c r="E65" i="21"/>
  <c r="E64" i="21"/>
  <c r="E63" i="21"/>
  <c r="E62" i="21"/>
  <c r="E61" i="21"/>
  <c r="E60" i="21"/>
  <c r="E59" i="21"/>
  <c r="E58" i="21"/>
  <c r="E57" i="21"/>
  <c r="E56" i="21"/>
  <c r="E54" i="21"/>
  <c r="E53" i="21"/>
  <c r="E52" i="21"/>
  <c r="E47" i="21"/>
  <c r="E46" i="21"/>
  <c r="E45" i="21"/>
  <c r="E44" i="21"/>
  <c r="E43" i="21"/>
  <c r="E42" i="21"/>
  <c r="E41" i="21"/>
  <c r="E40" i="21"/>
  <c r="E39" i="21"/>
  <c r="E38" i="21"/>
  <c r="E37" i="21"/>
  <c r="E36" i="21"/>
  <c r="E30" i="21"/>
  <c r="E29" i="21"/>
  <c r="E28" i="21"/>
  <c r="E27" i="21"/>
  <c r="E26" i="21"/>
  <c r="E25" i="21"/>
  <c r="E24" i="21"/>
  <c r="E23" i="21"/>
  <c r="E22" i="21"/>
  <c r="E21" i="21"/>
  <c r="E20" i="21"/>
  <c r="E19" i="21"/>
  <c r="E14" i="21"/>
  <c r="G486" i="21" l="1"/>
  <c r="G186" i="21" l="1"/>
  <c r="G210" i="21"/>
  <c r="G433" i="21"/>
  <c r="G175" i="21"/>
  <c r="G261" i="21"/>
  <c r="G188" i="21" l="1"/>
  <c r="H453" i="21" l="1"/>
  <c r="I453" i="21"/>
  <c r="G332" i="21" l="1"/>
  <c r="G482" i="21" l="1"/>
  <c r="C388" i="21" l="1"/>
  <c r="H388" i="21" l="1"/>
  <c r="I388" i="21"/>
  <c r="G397" i="21"/>
  <c r="H387" i="21"/>
  <c r="I387" i="21"/>
  <c r="E196" i="18"/>
  <c r="G392" i="21" l="1"/>
  <c r="G393" i="21"/>
  <c r="G394" i="21"/>
  <c r="G395" i="21"/>
  <c r="G396" i="21"/>
  <c r="G490" i="21"/>
  <c r="G154" i="21"/>
  <c r="G211" i="21"/>
  <c r="E55" i="18"/>
  <c r="E43" i="18"/>
  <c r="G43" i="18" s="1"/>
  <c r="E37" i="18"/>
  <c r="E36" i="18"/>
  <c r="G36" i="18" s="1"/>
  <c r="E42" i="18"/>
  <c r="G42" i="18" s="1"/>
  <c r="E38" i="18"/>
  <c r="E39" i="18"/>
  <c r="G39" i="18" s="1"/>
  <c r="E35" i="18"/>
  <c r="G35" i="18" s="1"/>
  <c r="E51" i="18"/>
  <c r="E52" i="18" s="1"/>
  <c r="G52" i="18" s="1"/>
  <c r="E45" i="18"/>
  <c r="G188" i="18"/>
  <c r="E115" i="18"/>
  <c r="G115" i="18" s="1"/>
  <c r="E114" i="18"/>
  <c r="G78" i="18"/>
  <c r="H72" i="18"/>
  <c r="H71" i="18"/>
  <c r="F77" i="18"/>
  <c r="G77" i="18" s="1"/>
  <c r="G76" i="18"/>
  <c r="G75" i="18"/>
  <c r="H36" i="18"/>
  <c r="E517" i="18"/>
  <c r="G517" i="18" s="1"/>
  <c r="E518" i="18"/>
  <c r="G518" i="18" s="1"/>
  <c r="E521" i="18"/>
  <c r="G521" i="18" s="1"/>
  <c r="E519" i="18"/>
  <c r="G519" i="18" s="1"/>
  <c r="E520" i="18"/>
  <c r="E153" i="18"/>
  <c r="G40" i="18"/>
  <c r="G41" i="18"/>
  <c r="G27" i="18"/>
  <c r="G28" i="18"/>
  <c r="G29" i="18"/>
  <c r="G26" i="18"/>
  <c r="E281" i="18"/>
  <c r="G281" i="18" s="1"/>
  <c r="E279" i="18"/>
  <c r="G279" i="18" s="1"/>
  <c r="E213" i="18"/>
  <c r="G213" i="18" s="1"/>
  <c r="E212" i="18"/>
  <c r="G212" i="18" s="1"/>
  <c r="E204" i="18"/>
  <c r="E203" i="18"/>
  <c r="E202" i="18"/>
  <c r="G202" i="18" s="1"/>
  <c r="E201" i="18"/>
  <c r="E200" i="18"/>
  <c r="G200" i="18" s="1"/>
  <c r="E199" i="18"/>
  <c r="E198" i="18"/>
  <c r="E176" i="18"/>
  <c r="G176" i="18" s="1"/>
  <c r="G189" i="18" s="1"/>
  <c r="E168" i="18"/>
  <c r="E177" i="18"/>
  <c r="E171" i="18"/>
  <c r="G171" i="18" s="1"/>
  <c r="E170" i="18"/>
  <c r="G170" i="18" s="1"/>
  <c r="E169" i="18"/>
  <c r="G169" i="18" s="1"/>
  <c r="E152" i="18"/>
  <c r="E167" i="18"/>
  <c r="E166" i="18"/>
  <c r="G166" i="18" s="1"/>
  <c r="E165" i="18"/>
  <c r="E156" i="18"/>
  <c r="E155" i="18"/>
  <c r="G155" i="18" s="1"/>
  <c r="E154" i="18"/>
  <c r="G154" i="18" s="1"/>
  <c r="E134" i="18"/>
  <c r="G134" i="18" s="1"/>
  <c r="E133" i="18"/>
  <c r="E132" i="18"/>
  <c r="G132" i="18" s="1"/>
  <c r="E150" i="18"/>
  <c r="G150" i="18" s="1"/>
  <c r="E128" i="18"/>
  <c r="E130" i="18"/>
  <c r="E110" i="18"/>
  <c r="G110" i="18" s="1"/>
  <c r="G122" i="18" s="1"/>
  <c r="E108" i="18"/>
  <c r="E107" i="18"/>
  <c r="E97" i="18"/>
  <c r="E96" i="18"/>
  <c r="E95" i="18"/>
  <c r="E92" i="18"/>
  <c r="G92" i="18" s="1"/>
  <c r="E93" i="18"/>
  <c r="E91" i="18"/>
  <c r="G91" i="18" s="1"/>
  <c r="E69" i="18"/>
  <c r="G69" i="18" s="1"/>
  <c r="E65" i="18"/>
  <c r="E64" i="18"/>
  <c r="E56" i="18"/>
  <c r="G56" i="18" s="1"/>
  <c r="E57" i="18"/>
  <c r="G57" i="18" s="1"/>
  <c r="E54" i="18"/>
  <c r="G54" i="18" s="1"/>
  <c r="G270" i="18"/>
  <c r="G271" i="18"/>
  <c r="G272" i="18"/>
  <c r="G273" i="18"/>
  <c r="E274" i="18"/>
  <c r="G274" i="18" s="1"/>
  <c r="G275" i="18"/>
  <c r="G277" i="18"/>
  <c r="G278" i="18"/>
  <c r="E280" i="18"/>
  <c r="G280" i="18" s="1"/>
  <c r="G282" i="18"/>
  <c r="G283" i="18"/>
  <c r="G284" i="18"/>
  <c r="G285" i="18"/>
  <c r="G286" i="18"/>
  <c r="G288" i="18"/>
  <c r="G289" i="18"/>
  <c r="G290" i="18"/>
  <c r="G291" i="18"/>
  <c r="G292" i="18"/>
  <c r="G293" i="18"/>
  <c r="E295" i="18"/>
  <c r="G295" i="18" s="1"/>
  <c r="E296" i="18"/>
  <c r="G296" i="18" s="1"/>
  <c r="E297" i="18"/>
  <c r="G297" i="18" s="1"/>
  <c r="G298" i="18"/>
  <c r="G299" i="18"/>
  <c r="E300" i="18"/>
  <c r="G300" i="18" s="1"/>
  <c r="G301" i="18"/>
  <c r="G302" i="18"/>
  <c r="G303" i="18"/>
  <c r="G305" i="18"/>
  <c r="G306" i="18"/>
  <c r="E307" i="18"/>
  <c r="G307" i="18" s="1"/>
  <c r="G308" i="18"/>
  <c r="G309" i="18"/>
  <c r="G310" i="18"/>
  <c r="G311" i="18"/>
  <c r="G313" i="18"/>
  <c r="G314" i="18"/>
  <c r="G315" i="18"/>
  <c r="G316" i="18"/>
  <c r="G318" i="18"/>
  <c r="G319" i="18"/>
  <c r="F330" i="18"/>
  <c r="G330" i="18" s="1"/>
  <c r="E322" i="18"/>
  <c r="G322" i="18" s="1"/>
  <c r="G329" i="18"/>
  <c r="E431" i="18"/>
  <c r="G431" i="18" s="1"/>
  <c r="F230" i="18"/>
  <c r="G230" i="18" s="1"/>
  <c r="E229" i="18"/>
  <c r="G438" i="18"/>
  <c r="E354" i="18"/>
  <c r="G354" i="18" s="1"/>
  <c r="G54" i="20"/>
  <c r="G57" i="20"/>
  <c r="G58" i="20"/>
  <c r="G59" i="20"/>
  <c r="G61" i="20"/>
  <c r="G62" i="20"/>
  <c r="G63" i="20"/>
  <c r="G64" i="20"/>
  <c r="G65" i="20"/>
  <c r="G66" i="20"/>
  <c r="G56" i="20"/>
  <c r="E60" i="20"/>
  <c r="G60" i="20" s="1"/>
  <c r="E24" i="20"/>
  <c r="G24" i="20" s="1"/>
  <c r="E51" i="20"/>
  <c r="G51" i="20" s="1"/>
  <c r="E48" i="20"/>
  <c r="G48" i="20" s="1"/>
  <c r="E47" i="20"/>
  <c r="G47" i="20" s="1"/>
  <c r="E46" i="20"/>
  <c r="G46" i="20" s="1"/>
  <c r="E29" i="20"/>
  <c r="G29" i="20" s="1"/>
  <c r="E30" i="20"/>
  <c r="G30" i="20" s="1"/>
  <c r="G31" i="20"/>
  <c r="G22" i="20"/>
  <c r="G21" i="20"/>
  <c r="G35" i="20"/>
  <c r="F89" i="20"/>
  <c r="G89" i="20" s="1"/>
  <c r="G88" i="20"/>
  <c r="G84" i="20"/>
  <c r="G83" i="20"/>
  <c r="G82" i="20"/>
  <c r="G81" i="20"/>
  <c r="G80" i="20"/>
  <c r="G79" i="20"/>
  <c r="G78" i="20"/>
  <c r="G77" i="20"/>
  <c r="G76" i="20"/>
  <c r="G37" i="20"/>
  <c r="G36" i="20"/>
  <c r="G53" i="20"/>
  <c r="G44" i="20"/>
  <c r="G43" i="20"/>
  <c r="G52" i="20"/>
  <c r="G42" i="20"/>
  <c r="G23" i="20"/>
  <c r="G40" i="20"/>
  <c r="G39" i="20"/>
  <c r="G27" i="20"/>
  <c r="G20" i="20"/>
  <c r="G74" i="20"/>
  <c r="G73" i="20"/>
  <c r="G71" i="20"/>
  <c r="G70" i="20"/>
  <c r="G69" i="20"/>
  <c r="G68" i="20"/>
  <c r="G41" i="20"/>
  <c r="G28" i="20"/>
  <c r="G25" i="20"/>
  <c r="G50" i="20"/>
  <c r="G49" i="20"/>
  <c r="G34" i="20"/>
  <c r="G33" i="20"/>
  <c r="G32" i="20"/>
  <c r="F335" i="18"/>
  <c r="G37" i="18"/>
  <c r="G323" i="18"/>
  <c r="G324" i="18"/>
  <c r="G325" i="18"/>
  <c r="G326" i="18"/>
  <c r="G327" i="18"/>
  <c r="G328" i="18"/>
  <c r="F65" i="18"/>
  <c r="H6" i="19"/>
  <c r="F5" i="19"/>
  <c r="G5" i="19" s="1"/>
  <c r="G4" i="19"/>
  <c r="F3" i="19"/>
  <c r="G3" i="19"/>
  <c r="F2" i="19"/>
  <c r="G2" i="19" s="1"/>
  <c r="C2" i="19"/>
  <c r="D2" i="19" s="1"/>
  <c r="G119" i="20"/>
  <c r="G125" i="20" s="1"/>
  <c r="G126" i="20" s="1"/>
  <c r="G127" i="20" s="1"/>
  <c r="I126" i="20" s="1"/>
  <c r="G120" i="20"/>
  <c r="G133" i="18"/>
  <c r="E62" i="18"/>
  <c r="G62" i="18" s="1"/>
  <c r="F531" i="18"/>
  <c r="F514" i="18"/>
  <c r="E509" i="18"/>
  <c r="G509" i="18" s="1"/>
  <c r="G502" i="18"/>
  <c r="G503" i="18" s="1"/>
  <c r="G492" i="18"/>
  <c r="G493" i="18" s="1"/>
  <c r="G489" i="18"/>
  <c r="G482" i="18"/>
  <c r="G480" i="18"/>
  <c r="G479" i="18"/>
  <c r="G477" i="18"/>
  <c r="G476" i="18"/>
  <c r="G474" i="18"/>
  <c r="G473" i="18"/>
  <c r="G472" i="18"/>
  <c r="G470" i="18"/>
  <c r="G469" i="18"/>
  <c r="G468" i="18"/>
  <c r="G466" i="18"/>
  <c r="G465" i="18"/>
  <c r="G464" i="18"/>
  <c r="G462" i="18"/>
  <c r="G461" i="18"/>
  <c r="G460" i="18"/>
  <c r="G459" i="18"/>
  <c r="G458" i="18"/>
  <c r="G456" i="18"/>
  <c r="G455" i="18"/>
  <c r="G454" i="18"/>
  <c r="G453" i="18"/>
  <c r="G452" i="18"/>
  <c r="G451" i="18"/>
  <c r="G450" i="18"/>
  <c r="G449" i="18"/>
  <c r="G483" i="18" s="1"/>
  <c r="G448" i="18"/>
  <c r="G447" i="18"/>
  <c r="G439" i="18"/>
  <c r="G437" i="18"/>
  <c r="G436" i="18"/>
  <c r="G435" i="18"/>
  <c r="G434" i="18"/>
  <c r="G433" i="18"/>
  <c r="G432" i="18"/>
  <c r="G430" i="18"/>
  <c r="G429" i="18"/>
  <c r="G428" i="18"/>
  <c r="G423" i="18"/>
  <c r="G422" i="18"/>
  <c r="G421" i="18"/>
  <c r="G420" i="18"/>
  <c r="G419" i="18"/>
  <c r="G418" i="18"/>
  <c r="G413" i="18"/>
  <c r="G412" i="18"/>
  <c r="G411" i="18"/>
  <c r="G410" i="18"/>
  <c r="G409" i="18"/>
  <c r="G408" i="18"/>
  <c r="G407" i="18"/>
  <c r="G406" i="18"/>
  <c r="G405" i="18"/>
  <c r="G404" i="18"/>
  <c r="G403" i="18"/>
  <c r="G402" i="18"/>
  <c r="G401" i="18"/>
  <c r="G400" i="18"/>
  <c r="G399" i="18"/>
  <c r="G398" i="18"/>
  <c r="G397" i="18"/>
  <c r="G396" i="18"/>
  <c r="G395" i="18"/>
  <c r="G394" i="18"/>
  <c r="G393" i="18"/>
  <c r="G392" i="18"/>
  <c r="G391" i="18"/>
  <c r="G390" i="18"/>
  <c r="G389" i="18"/>
  <c r="G388" i="18"/>
  <c r="G387" i="18"/>
  <c r="G386" i="18"/>
  <c r="G385" i="18"/>
  <c r="G384" i="18"/>
  <c r="G383" i="18"/>
  <c r="G382" i="18"/>
  <c r="G381" i="18"/>
  <c r="G380" i="18"/>
  <c r="G379" i="18"/>
  <c r="G378" i="18"/>
  <c r="G377" i="18"/>
  <c r="G376" i="18"/>
  <c r="G375" i="18"/>
  <c r="G374" i="18"/>
  <c r="G373" i="18"/>
  <c r="G372" i="18"/>
  <c r="G371" i="18"/>
  <c r="G370" i="18"/>
  <c r="G369" i="18"/>
  <c r="G368" i="18"/>
  <c r="G367" i="18"/>
  <c r="G366" i="18"/>
  <c r="G365" i="18"/>
  <c r="G364" i="18"/>
  <c r="G363" i="18"/>
  <c r="G362" i="18"/>
  <c r="G361" i="18"/>
  <c r="G360" i="18"/>
  <c r="G359" i="18"/>
  <c r="G358" i="18"/>
  <c r="G357" i="18"/>
  <c r="G356" i="18"/>
  <c r="G355" i="18"/>
  <c r="G353" i="18"/>
  <c r="G352" i="18"/>
  <c r="G351" i="18"/>
  <c r="G350" i="18"/>
  <c r="G349" i="18"/>
  <c r="G348" i="18"/>
  <c r="G347" i="18"/>
  <c r="G346" i="18"/>
  <c r="G345" i="18"/>
  <c r="G344" i="18"/>
  <c r="G343" i="18"/>
  <c r="G342" i="18"/>
  <c r="G341" i="18"/>
  <c r="G335" i="18"/>
  <c r="G334" i="18"/>
  <c r="G336" i="18" s="1"/>
  <c r="G262" i="18"/>
  <c r="G261" i="18"/>
  <c r="G260" i="18"/>
  <c r="G259" i="18"/>
  <c r="G258" i="18"/>
  <c r="G257" i="18"/>
  <c r="G256" i="18"/>
  <c r="G255" i="18"/>
  <c r="G254" i="18"/>
  <c r="G253" i="18"/>
  <c r="G252" i="18"/>
  <c r="G251" i="18"/>
  <c r="G264" i="18" s="1"/>
  <c r="G248" i="18"/>
  <c r="G247" i="18"/>
  <c r="F246" i="18"/>
  <c r="G246" i="18" s="1"/>
  <c r="F245" i="18"/>
  <c r="G245" i="18" s="1"/>
  <c r="G249" i="18" s="1"/>
  <c r="F244" i="18"/>
  <c r="E244" i="18"/>
  <c r="F243" i="18"/>
  <c r="G243" i="18" s="1"/>
  <c r="G240" i="18"/>
  <c r="G235" i="18"/>
  <c r="G234" i="18"/>
  <c r="G233" i="18"/>
  <c r="G232" i="18"/>
  <c r="G231" i="18"/>
  <c r="G229" i="18"/>
  <c r="G228" i="18"/>
  <c r="G227" i="18"/>
  <c r="G226" i="18"/>
  <c r="G225" i="18"/>
  <c r="G224" i="18"/>
  <c r="G223" i="18"/>
  <c r="G222" i="18"/>
  <c r="G221" i="18"/>
  <c r="G220" i="18"/>
  <c r="G219" i="18"/>
  <c r="G218" i="18"/>
  <c r="G217" i="18"/>
  <c r="G216" i="18"/>
  <c r="G215" i="18"/>
  <c r="G214" i="18"/>
  <c r="G210" i="18"/>
  <c r="G207" i="18"/>
  <c r="G206" i="18"/>
  <c r="G205" i="18"/>
  <c r="F202" i="18"/>
  <c r="F203" i="18" s="1"/>
  <c r="F201" i="18"/>
  <c r="G201" i="18" s="1"/>
  <c r="F199" i="18"/>
  <c r="F198" i="18"/>
  <c r="F197" i="18"/>
  <c r="G197" i="18" s="1"/>
  <c r="F196" i="18"/>
  <c r="G196" i="18" s="1"/>
  <c r="F195" i="18"/>
  <c r="G187" i="18"/>
  <c r="G186" i="18"/>
  <c r="G185" i="18"/>
  <c r="G184" i="18"/>
  <c r="G183" i="18"/>
  <c r="G182" i="18"/>
  <c r="G181" i="18"/>
  <c r="G180" i="18"/>
  <c r="G179" i="18"/>
  <c r="G178" i="18"/>
  <c r="G177" i="18"/>
  <c r="F168" i="18"/>
  <c r="G167" i="18"/>
  <c r="G165" i="18"/>
  <c r="J159" i="18"/>
  <c r="G156" i="18"/>
  <c r="F155" i="18"/>
  <c r="G153" i="18"/>
  <c r="G152" i="18"/>
  <c r="G151" i="18"/>
  <c r="G149" i="18"/>
  <c r="G148" i="18"/>
  <c r="G147" i="18"/>
  <c r="G146" i="18"/>
  <c r="G145" i="18"/>
  <c r="G144" i="18"/>
  <c r="G143" i="18"/>
  <c r="G142" i="18"/>
  <c r="G141" i="18"/>
  <c r="J140" i="18"/>
  <c r="J141" i="18" s="1"/>
  <c r="G140" i="18"/>
  <c r="G139" i="18"/>
  <c r="G138" i="18"/>
  <c r="F131" i="18"/>
  <c r="G131" i="18" s="1"/>
  <c r="F130" i="18"/>
  <c r="F129" i="18"/>
  <c r="F128" i="18"/>
  <c r="G121" i="18"/>
  <c r="G120" i="18"/>
  <c r="G119" i="18"/>
  <c r="G118" i="18"/>
  <c r="G117" i="18"/>
  <c r="G116" i="18"/>
  <c r="G114" i="18"/>
  <c r="G113" i="18"/>
  <c r="G112" i="18"/>
  <c r="G111" i="18"/>
  <c r="G109" i="18"/>
  <c r="G108" i="18"/>
  <c r="G107" i="18"/>
  <c r="G106" i="18"/>
  <c r="G105" i="18"/>
  <c r="G104" i="18"/>
  <c r="G103" i="18"/>
  <c r="F97" i="18"/>
  <c r="F96" i="18"/>
  <c r="G96" i="18" s="1"/>
  <c r="F95" i="18"/>
  <c r="G95" i="18" s="1"/>
  <c r="G94" i="18"/>
  <c r="F93" i="18"/>
  <c r="G93" i="18" s="1"/>
  <c r="F91" i="18"/>
  <c r="G84" i="18"/>
  <c r="G83" i="18"/>
  <c r="G82" i="18"/>
  <c r="G81" i="18"/>
  <c r="G80" i="18"/>
  <c r="G79" i="18"/>
  <c r="G74" i="18"/>
  <c r="G73" i="18"/>
  <c r="G72" i="18"/>
  <c r="G71" i="18"/>
  <c r="G68" i="18"/>
  <c r="G67" i="18"/>
  <c r="G66" i="18"/>
  <c r="G64" i="18"/>
  <c r="G63" i="18"/>
  <c r="G61" i="18"/>
  <c r="G55" i="18"/>
  <c r="G53" i="18"/>
  <c r="G51" i="18"/>
  <c r="G45" i="18"/>
  <c r="G38" i="18"/>
  <c r="E34" i="18"/>
  <c r="G34" i="18" s="1"/>
  <c r="E23" i="18"/>
  <c r="G23" i="18" s="1"/>
  <c r="E21" i="18"/>
  <c r="G21" i="18" s="1"/>
  <c r="E20" i="18"/>
  <c r="E22" i="18" s="1"/>
  <c r="G22" i="18" s="1"/>
  <c r="G14" i="18"/>
  <c r="G13" i="18"/>
  <c r="G30" i="18"/>
  <c r="G244" i="18"/>
  <c r="G20" i="18"/>
  <c r="G24" i="18" s="1"/>
  <c r="G18" i="18" s="1"/>
  <c r="J37" i="18"/>
  <c r="J40" i="18"/>
  <c r="G97" i="18"/>
  <c r="G338" i="16"/>
  <c r="G337" i="16"/>
  <c r="G336" i="16"/>
  <c r="G335" i="16"/>
  <c r="G334" i="16"/>
  <c r="G333" i="16"/>
  <c r="G332" i="16"/>
  <c r="G331" i="16"/>
  <c r="G330" i="16"/>
  <c r="G329" i="16"/>
  <c r="G328" i="16"/>
  <c r="G327" i="16"/>
  <c r="G325" i="16"/>
  <c r="G324" i="16"/>
  <c r="G323" i="16"/>
  <c r="G322" i="16"/>
  <c r="G321" i="16"/>
  <c r="G320" i="16"/>
  <c r="G319" i="16"/>
  <c r="G318" i="16"/>
  <c r="G317" i="16"/>
  <c r="G316" i="16"/>
  <c r="G315" i="16"/>
  <c r="G314" i="16"/>
  <c r="G313" i="16"/>
  <c r="G312" i="16"/>
  <c r="G311" i="16"/>
  <c r="G310" i="16"/>
  <c r="G309" i="16"/>
  <c r="G307" i="16"/>
  <c r="E306" i="16"/>
  <c r="G306" i="16" s="1"/>
  <c r="E305" i="16"/>
  <c r="G305" i="16" s="1"/>
  <c r="E304" i="16"/>
  <c r="G304" i="16" s="1"/>
  <c r="G303" i="16"/>
  <c r="G301" i="16"/>
  <c r="G300" i="16"/>
  <c r="G299" i="16"/>
  <c r="G298" i="16"/>
  <c r="G297" i="16"/>
  <c r="G296" i="16"/>
  <c r="G295" i="16"/>
  <c r="G294" i="16"/>
  <c r="G293" i="16"/>
  <c r="G292" i="16"/>
  <c r="G291" i="16"/>
  <c r="G290" i="16"/>
  <c r="G289" i="16"/>
  <c r="G288" i="16"/>
  <c r="G287" i="16"/>
  <c r="G286" i="16"/>
  <c r="G325" i="17"/>
  <c r="G317" i="17"/>
  <c r="G318" i="17"/>
  <c r="G316" i="17"/>
  <c r="J316" i="17"/>
  <c r="J317" i="17" s="1"/>
  <c r="J319" i="17" s="1"/>
  <c r="G296" i="17"/>
  <c r="G297" i="17"/>
  <c r="G287" i="17"/>
  <c r="G26" i="17"/>
  <c r="G27" i="17"/>
  <c r="G28" i="17"/>
  <c r="G30" i="17" s="1"/>
  <c r="G29" i="17"/>
  <c r="E34" i="17"/>
  <c r="G34" i="17" s="1"/>
  <c r="G35" i="17"/>
  <c r="E36" i="17"/>
  <c r="G36" i="17" s="1"/>
  <c r="G37" i="17"/>
  <c r="E38" i="17"/>
  <c r="G38" i="17" s="1"/>
  <c r="G39" i="17"/>
  <c r="G40" i="17"/>
  <c r="G41" i="17"/>
  <c r="E42" i="17"/>
  <c r="G42" i="17" s="1"/>
  <c r="E43" i="17"/>
  <c r="G43" i="17" s="1"/>
  <c r="E44" i="17"/>
  <c r="G44" i="17" s="1"/>
  <c r="E51" i="17"/>
  <c r="G51" i="17" s="1"/>
  <c r="G52" i="17"/>
  <c r="G53" i="17"/>
  <c r="G54" i="17"/>
  <c r="G55" i="17"/>
  <c r="G56" i="17"/>
  <c r="G57" i="17"/>
  <c r="G61" i="17"/>
  <c r="G62" i="17"/>
  <c r="G63" i="17"/>
  <c r="G64" i="17"/>
  <c r="G65" i="17"/>
  <c r="G66" i="17"/>
  <c r="G67" i="17"/>
  <c r="G68" i="17"/>
  <c r="G69" i="17"/>
  <c r="G70" i="17"/>
  <c r="G71" i="17"/>
  <c r="G72" i="17"/>
  <c r="G73" i="17"/>
  <c r="G74" i="17"/>
  <c r="F76" i="17"/>
  <c r="G76" i="17" s="1"/>
  <c r="F77" i="17"/>
  <c r="G77" i="17" s="1"/>
  <c r="F78" i="17"/>
  <c r="G78" i="17" s="1"/>
  <c r="G79" i="17"/>
  <c r="G80" i="17"/>
  <c r="G81" i="17"/>
  <c r="G82" i="17"/>
  <c r="G83" i="17"/>
  <c r="G84" i="17"/>
  <c r="G85" i="17"/>
  <c r="F104" i="17"/>
  <c r="G104" i="17" s="1"/>
  <c r="F105" i="17"/>
  <c r="G105" i="17" s="1"/>
  <c r="F106" i="17"/>
  <c r="G106" i="17" s="1"/>
  <c r="G107" i="17"/>
  <c r="G108" i="17"/>
  <c r="G109" i="17"/>
  <c r="G110" i="17"/>
  <c r="G111" i="17"/>
  <c r="G112" i="17"/>
  <c r="F113" i="17"/>
  <c r="G113" i="17" s="1"/>
  <c r="G114" i="17"/>
  <c r="G115" i="17"/>
  <c r="G116" i="17"/>
  <c r="G117" i="17"/>
  <c r="G118" i="17"/>
  <c r="G119" i="17"/>
  <c r="G120" i="17"/>
  <c r="G121" i="17"/>
  <c r="G122" i="17"/>
  <c r="G123" i="17"/>
  <c r="G124" i="17"/>
  <c r="G125" i="17"/>
  <c r="G126" i="17"/>
  <c r="G127" i="17"/>
  <c r="F92" i="17"/>
  <c r="G92" i="17" s="1"/>
  <c r="G93" i="17"/>
  <c r="F94" i="17"/>
  <c r="G94" i="17" s="1"/>
  <c r="G95" i="17"/>
  <c r="F96" i="17"/>
  <c r="G96" i="17" s="1"/>
  <c r="F97" i="17"/>
  <c r="G97" i="17" s="1"/>
  <c r="F98" i="17"/>
  <c r="G98" i="17" s="1"/>
  <c r="G146" i="17"/>
  <c r="F147" i="17"/>
  <c r="G147" i="17" s="1"/>
  <c r="F148" i="17"/>
  <c r="G148" i="17" s="1"/>
  <c r="F149" i="17"/>
  <c r="G149" i="17" s="1"/>
  <c r="F150" i="17"/>
  <c r="G150" i="17" s="1"/>
  <c r="F151" i="17"/>
  <c r="G151" i="17" s="1"/>
  <c r="G152" i="17"/>
  <c r="G153" i="17"/>
  <c r="G154" i="17"/>
  <c r="G155" i="17"/>
  <c r="G156" i="17"/>
  <c r="G157" i="17"/>
  <c r="G158" i="17"/>
  <c r="G159" i="17"/>
  <c r="G160" i="17"/>
  <c r="G161" i="17"/>
  <c r="G162" i="17"/>
  <c r="G163" i="17"/>
  <c r="G164" i="17"/>
  <c r="G165" i="17"/>
  <c r="F166" i="17"/>
  <c r="G166" i="17" s="1"/>
  <c r="G167" i="17"/>
  <c r="F134" i="17"/>
  <c r="G134" i="17" s="1"/>
  <c r="F135" i="17"/>
  <c r="G135" i="17" s="1"/>
  <c r="F136" i="17"/>
  <c r="G136" i="17" s="1"/>
  <c r="F137" i="17"/>
  <c r="G137" i="17" s="1"/>
  <c r="F140" i="17"/>
  <c r="G140" i="17" s="1"/>
  <c r="G190" i="17"/>
  <c r="F191" i="17"/>
  <c r="G191" i="17" s="1"/>
  <c r="G192" i="17"/>
  <c r="E193" i="17"/>
  <c r="G193" i="17" s="1"/>
  <c r="G194" i="17"/>
  <c r="G195" i="17"/>
  <c r="G196" i="17"/>
  <c r="G197" i="17"/>
  <c r="G198" i="17"/>
  <c r="G199" i="17"/>
  <c r="G200" i="17"/>
  <c r="G201" i="17"/>
  <c r="G202" i="17"/>
  <c r="G203" i="17"/>
  <c r="G204" i="17"/>
  <c r="G176" i="17"/>
  <c r="G177" i="17"/>
  <c r="G178" i="17"/>
  <c r="F179" i="17"/>
  <c r="G179" i="17" s="1"/>
  <c r="F180" i="17"/>
  <c r="G180" i="17" s="1"/>
  <c r="F181" i="17"/>
  <c r="F185" i="17" s="1"/>
  <c r="G185" i="17" s="1"/>
  <c r="E181" i="17"/>
  <c r="F182" i="17"/>
  <c r="G182" i="17"/>
  <c r="G183" i="17"/>
  <c r="G184" i="17"/>
  <c r="G227" i="17"/>
  <c r="G228" i="17"/>
  <c r="G229" i="17"/>
  <c r="F230" i="17"/>
  <c r="G230" i="17" s="1"/>
  <c r="G231" i="17"/>
  <c r="G232" i="17"/>
  <c r="G233" i="17"/>
  <c r="G234" i="17"/>
  <c r="G235" i="17"/>
  <c r="G236" i="17"/>
  <c r="G237" i="17"/>
  <c r="G238" i="17"/>
  <c r="G239" i="17"/>
  <c r="G240" i="17"/>
  <c r="G241" i="17"/>
  <c r="G242" i="17"/>
  <c r="G243" i="17"/>
  <c r="G244" i="17"/>
  <c r="G245" i="17"/>
  <c r="G246" i="17"/>
  <c r="G247" i="17"/>
  <c r="G248" i="17"/>
  <c r="G249" i="17"/>
  <c r="G250" i="17"/>
  <c r="G251" i="17"/>
  <c r="G252" i="17"/>
  <c r="F212" i="17"/>
  <c r="G212" i="17"/>
  <c r="E213" i="17"/>
  <c r="F213" i="17"/>
  <c r="F214" i="17"/>
  <c r="G214" i="17" s="1"/>
  <c r="F215" i="17"/>
  <c r="G215" i="17" s="1"/>
  <c r="F216" i="17"/>
  <c r="G216" i="17" s="1"/>
  <c r="G217" i="17"/>
  <c r="F218" i="17"/>
  <c r="G218" i="17"/>
  <c r="F219" i="17"/>
  <c r="G219" i="17"/>
  <c r="G220" i="17"/>
  <c r="G221" i="17"/>
  <c r="G222" i="17"/>
  <c r="G268" i="17"/>
  <c r="G269" i="17"/>
  <c r="G270" i="17"/>
  <c r="F271" i="17"/>
  <c r="G271" i="17"/>
  <c r="G272" i="17"/>
  <c r="G273" i="17"/>
  <c r="G274" i="17"/>
  <c r="G275" i="17"/>
  <c r="G276" i="17"/>
  <c r="G277" i="17"/>
  <c r="G278" i="17"/>
  <c r="G279" i="17"/>
  <c r="F260" i="17"/>
  <c r="G260" i="17" s="1"/>
  <c r="E261" i="17"/>
  <c r="G261" i="17" s="1"/>
  <c r="F261" i="17"/>
  <c r="F262" i="17"/>
  <c r="G262" i="17"/>
  <c r="F263" i="17"/>
  <c r="G263" i="17" s="1"/>
  <c r="G264" i="17"/>
  <c r="G265" i="17"/>
  <c r="G286" i="17"/>
  <c r="G288" i="17"/>
  <c r="G289" i="17"/>
  <c r="G290" i="17"/>
  <c r="G291" i="17"/>
  <c r="G292" i="17"/>
  <c r="G293" i="17"/>
  <c r="G294" i="17"/>
  <c r="G295" i="17"/>
  <c r="G300" i="17"/>
  <c r="G301" i="17"/>
  <c r="G302" i="17"/>
  <c r="G303" i="17"/>
  <c r="G305" i="17"/>
  <c r="E306" i="17"/>
  <c r="G306" i="17"/>
  <c r="E307" i="17"/>
  <c r="G307" i="17"/>
  <c r="E308" i="17"/>
  <c r="G308" i="17"/>
  <c r="G309" i="17"/>
  <c r="G311" i="17"/>
  <c r="G312" i="17"/>
  <c r="G313" i="17"/>
  <c r="G314" i="17"/>
  <c r="G315" i="17"/>
  <c r="G319" i="17"/>
  <c r="G320" i="17"/>
  <c r="G321" i="17"/>
  <c r="G322" i="17"/>
  <c r="G323" i="17"/>
  <c r="G324" i="17"/>
  <c r="G326" i="17"/>
  <c r="G327" i="17"/>
  <c r="G329" i="17"/>
  <c r="G330" i="17"/>
  <c r="G331" i="17"/>
  <c r="G332" i="17"/>
  <c r="G333" i="17"/>
  <c r="G334" i="17"/>
  <c r="G335" i="17"/>
  <c r="G336" i="17"/>
  <c r="G337" i="17"/>
  <c r="G338" i="17"/>
  <c r="G339" i="17"/>
  <c r="G340" i="17"/>
  <c r="G341" i="17"/>
  <c r="G342" i="17"/>
  <c r="E343" i="17"/>
  <c r="E344" i="17" s="1"/>
  <c r="G344" i="17" s="1"/>
  <c r="G343" i="17"/>
  <c r="G345" i="17"/>
  <c r="G346" i="17"/>
  <c r="F347" i="17"/>
  <c r="G347" i="17" s="1"/>
  <c r="G352" i="17"/>
  <c r="G353" i="17"/>
  <c r="G354" i="17"/>
  <c r="G355" i="17"/>
  <c r="G356" i="17"/>
  <c r="G357" i="17"/>
  <c r="G358" i="17"/>
  <c r="G359" i="17"/>
  <c r="G360" i="17"/>
  <c r="G361" i="17"/>
  <c r="G362" i="17"/>
  <c r="G363" i="17"/>
  <c r="G364" i="17"/>
  <c r="G365" i="17"/>
  <c r="G366" i="17"/>
  <c r="G367" i="17"/>
  <c r="G368" i="17"/>
  <c r="G369" i="17"/>
  <c r="G370" i="17"/>
  <c r="G371" i="17"/>
  <c r="G372" i="17"/>
  <c r="G373" i="17"/>
  <c r="G374" i="17"/>
  <c r="G375" i="17"/>
  <c r="G376" i="17"/>
  <c r="G377" i="17"/>
  <c r="G378" i="17"/>
  <c r="G379" i="17"/>
  <c r="G380" i="17"/>
  <c r="G381" i="17"/>
  <c r="G382" i="17"/>
  <c r="G383" i="17"/>
  <c r="G384" i="17"/>
  <c r="G385" i="17"/>
  <c r="G386" i="17"/>
  <c r="G387" i="17"/>
  <c r="G388" i="17"/>
  <c r="G389" i="17"/>
  <c r="G390" i="17"/>
  <c r="G391" i="17"/>
  <c r="G392" i="17"/>
  <c r="G393" i="17"/>
  <c r="G394" i="17"/>
  <c r="G395" i="17"/>
  <c r="G396" i="17"/>
  <c r="G397" i="17"/>
  <c r="G398" i="17"/>
  <c r="G399" i="17"/>
  <c r="G400" i="17"/>
  <c r="G401" i="17"/>
  <c r="G402" i="17"/>
  <c r="G403" i="17"/>
  <c r="G404" i="17"/>
  <c r="G405" i="17"/>
  <c r="G406" i="17"/>
  <c r="G407" i="17"/>
  <c r="G408" i="17"/>
  <c r="G409" i="17"/>
  <c r="G410" i="17"/>
  <c r="G411" i="17"/>
  <c r="G412" i="17"/>
  <c r="G413" i="17"/>
  <c r="G414" i="17"/>
  <c r="G415" i="17"/>
  <c r="G416" i="17"/>
  <c r="G417" i="17"/>
  <c r="G418" i="17"/>
  <c r="G419" i="17"/>
  <c r="G420" i="17"/>
  <c r="G421" i="17"/>
  <c r="G422" i="17"/>
  <c r="G423" i="17"/>
  <c r="G424" i="17"/>
  <c r="G429" i="17"/>
  <c r="G430" i="17"/>
  <c r="G431" i="17"/>
  <c r="G432" i="17"/>
  <c r="G436" i="17" s="1"/>
  <c r="G433" i="17"/>
  <c r="G434" i="17"/>
  <c r="G449" i="17"/>
  <c r="G450" i="17"/>
  <c r="G451" i="17"/>
  <c r="G452" i="17"/>
  <c r="G457" i="17"/>
  <c r="G458" i="17"/>
  <c r="G459" i="17"/>
  <c r="G460" i="17"/>
  <c r="G461" i="17"/>
  <c r="G462" i="17"/>
  <c r="G463" i="17"/>
  <c r="G464" i="17"/>
  <c r="G465" i="17"/>
  <c r="G466" i="17"/>
  <c r="G468" i="17"/>
  <c r="G469" i="17"/>
  <c r="G470" i="17"/>
  <c r="G471" i="17"/>
  <c r="G472" i="17"/>
  <c r="G474" i="17"/>
  <c r="G475" i="17"/>
  <c r="G476" i="17"/>
  <c r="G478" i="17"/>
  <c r="G479" i="17"/>
  <c r="G480" i="17"/>
  <c r="G482" i="17"/>
  <c r="G483" i="17"/>
  <c r="G484" i="17"/>
  <c r="G486" i="17"/>
  <c r="G487" i="17"/>
  <c r="G489" i="17"/>
  <c r="G490" i="17"/>
  <c r="G492" i="17"/>
  <c r="G505" i="17"/>
  <c r="G506" i="17" s="1"/>
  <c r="G502" i="17"/>
  <c r="G503" i="17" s="1"/>
  <c r="G499" i="17"/>
  <c r="E520" i="17"/>
  <c r="G520" i="17" s="1"/>
  <c r="E521" i="17"/>
  <c r="G521" i="17" s="1"/>
  <c r="E524" i="17"/>
  <c r="G524" i="17" s="1"/>
  <c r="E522" i="17"/>
  <c r="E523" i="17"/>
  <c r="E512" i="17"/>
  <c r="G512" i="17" s="1"/>
  <c r="G513" i="17"/>
  <c r="F517" i="17"/>
  <c r="F535" i="17"/>
  <c r="I505" i="17"/>
  <c r="G448" i="17"/>
  <c r="G447" i="17"/>
  <c r="E446" i="17"/>
  <c r="G446" i="17" s="1"/>
  <c r="G445" i="17"/>
  <c r="G444" i="17"/>
  <c r="G443" i="17"/>
  <c r="G442" i="17"/>
  <c r="G441" i="17"/>
  <c r="G440" i="17"/>
  <c r="G439" i="17"/>
  <c r="G349" i="17"/>
  <c r="B275" i="17"/>
  <c r="B276" i="17" s="1"/>
  <c r="B277" i="17" s="1"/>
  <c r="B278" i="17" s="1"/>
  <c r="B279" i="17" s="1"/>
  <c r="B261" i="17"/>
  <c r="B262" i="17" s="1"/>
  <c r="B263" i="17" s="1"/>
  <c r="B264" i="17" s="1"/>
  <c r="B268" i="17" s="1"/>
  <c r="B269" i="17" s="1"/>
  <c r="B270" i="17" s="1"/>
  <c r="G257" i="17"/>
  <c r="B228" i="17"/>
  <c r="B229" i="17" s="1"/>
  <c r="B230" i="17" s="1"/>
  <c r="B231" i="17" s="1"/>
  <c r="B232" i="17" s="1"/>
  <c r="B233" i="17" s="1"/>
  <c r="B234" i="17" s="1"/>
  <c r="B235" i="17" s="1"/>
  <c r="B236" i="17" s="1"/>
  <c r="B237" i="17" s="1"/>
  <c r="B238" i="17" s="1"/>
  <c r="B239" i="17" s="1"/>
  <c r="B240" i="17" s="1"/>
  <c r="B241" i="17" s="1"/>
  <c r="B242" i="17" s="1"/>
  <c r="B243" i="17" s="1"/>
  <c r="B244" i="17" s="1"/>
  <c r="B245" i="17" s="1"/>
  <c r="B246" i="17" s="1"/>
  <c r="B247" i="17" s="1"/>
  <c r="B248" i="17" s="1"/>
  <c r="B249" i="17" s="1"/>
  <c r="B250" i="17" s="1"/>
  <c r="B251" i="17" s="1"/>
  <c r="B252" i="17" s="1"/>
  <c r="G225" i="17"/>
  <c r="B213" i="17"/>
  <c r="B215" i="17" s="1"/>
  <c r="B216" i="17" s="1"/>
  <c r="B217" i="17" s="1"/>
  <c r="B218" i="17" s="1"/>
  <c r="B219" i="17" s="1"/>
  <c r="B220" i="17" s="1"/>
  <c r="B221" i="17" s="1"/>
  <c r="B222" i="17" s="1"/>
  <c r="B192" i="17"/>
  <c r="B193" i="17" s="1"/>
  <c r="B194" i="17" s="1"/>
  <c r="B195" i="17" s="1"/>
  <c r="B196" i="17" s="1"/>
  <c r="B197" i="17" s="1"/>
  <c r="B198" i="17" s="1"/>
  <c r="B199" i="17" s="1"/>
  <c r="B200" i="17" s="1"/>
  <c r="B201" i="17" s="1"/>
  <c r="B202" i="17" s="1"/>
  <c r="B203" i="17" s="1"/>
  <c r="B204" i="17" s="1"/>
  <c r="B177" i="17"/>
  <c r="B178" i="17" s="1"/>
  <c r="B179" i="17" s="1"/>
  <c r="B180" i="17" s="1"/>
  <c r="I184" i="17"/>
  <c r="J184" i="17" s="1"/>
  <c r="I170" i="17"/>
  <c r="J170" i="17" s="1"/>
  <c r="I167" i="17"/>
  <c r="B154" i="17"/>
  <c r="B155" i="17" s="1"/>
  <c r="B157" i="17" s="1"/>
  <c r="B158" i="17" s="1"/>
  <c r="B159" i="17" s="1"/>
  <c r="B160" i="17" s="1"/>
  <c r="B161" i="17" s="1"/>
  <c r="B162" i="17" s="1"/>
  <c r="B163" i="17" s="1"/>
  <c r="B164" i="17" s="1"/>
  <c r="B165" i="17" s="1"/>
  <c r="B166" i="17" s="1"/>
  <c r="B167" i="17" s="1"/>
  <c r="J148" i="17"/>
  <c r="J149" i="17" s="1"/>
  <c r="G144" i="17"/>
  <c r="B135" i="17"/>
  <c r="B136" i="17" s="1"/>
  <c r="B137" i="17" s="1"/>
  <c r="B138" i="17" s="1"/>
  <c r="B139" i="17" s="1"/>
  <c r="B140" i="17" s="1"/>
  <c r="B141" i="17" s="1"/>
  <c r="B106" i="17"/>
  <c r="B107" i="17" s="1"/>
  <c r="B108" i="17" s="1"/>
  <c r="B109" i="17" s="1"/>
  <c r="B110" i="17" s="1"/>
  <c r="B111" i="17" s="1"/>
  <c r="B112" i="17" s="1"/>
  <c r="B113" i="17" s="1"/>
  <c r="B114" i="17" s="1"/>
  <c r="B115" i="17" s="1"/>
  <c r="B116" i="17" s="1"/>
  <c r="B117" i="17" s="1"/>
  <c r="B118" i="17" s="1"/>
  <c r="B119" i="17" s="1"/>
  <c r="B120" i="17" s="1"/>
  <c r="B121" i="17" s="1"/>
  <c r="B122" i="17" s="1"/>
  <c r="B123" i="17" s="1"/>
  <c r="B124" i="17" s="1"/>
  <c r="B125" i="17" s="1"/>
  <c r="B126" i="17" s="1"/>
  <c r="B127" i="17" s="1"/>
  <c r="B104" i="17"/>
  <c r="B93" i="17"/>
  <c r="B94" i="17" s="1"/>
  <c r="B95" i="17" s="1"/>
  <c r="B96" i="17" s="1"/>
  <c r="B97" i="17" s="1"/>
  <c r="B98" i="17" s="1"/>
  <c r="B64" i="17"/>
  <c r="B65" i="17" s="1"/>
  <c r="B66" i="17" s="1"/>
  <c r="B67" i="17" s="1"/>
  <c r="B68" i="17" s="1"/>
  <c r="B69" i="17" s="1"/>
  <c r="B70" i="17" s="1"/>
  <c r="B71" i="17" s="1"/>
  <c r="B72" i="17" s="1"/>
  <c r="B73" i="17" s="1"/>
  <c r="B74" i="17" s="1"/>
  <c r="B75" i="17" s="1"/>
  <c r="I72" i="17"/>
  <c r="B52" i="17"/>
  <c r="B53" i="17" s="1"/>
  <c r="B54" i="17" s="1"/>
  <c r="B55" i="17" s="1"/>
  <c r="B56" i="17" s="1"/>
  <c r="B57" i="17" s="1"/>
  <c r="I44" i="17"/>
  <c r="B36" i="17"/>
  <c r="B37" i="17" s="1"/>
  <c r="B38" i="17" s="1"/>
  <c r="B39" i="17" s="1"/>
  <c r="B40" i="17" s="1"/>
  <c r="B41" i="17" s="1"/>
  <c r="B42" i="17" s="1"/>
  <c r="B43" i="17" s="1"/>
  <c r="I40" i="17"/>
  <c r="I41" i="17" s="1"/>
  <c r="I42" i="17" s="1"/>
  <c r="I37" i="17"/>
  <c r="I38" i="17" s="1"/>
  <c r="B27" i="17"/>
  <c r="B28" i="17" s="1"/>
  <c r="B29" i="17" s="1"/>
  <c r="I26" i="17"/>
  <c r="E20" i="17"/>
  <c r="G20" i="17" s="1"/>
  <c r="E21" i="17"/>
  <c r="G21" i="17" s="1"/>
  <c r="E23" i="17"/>
  <c r="G23" i="17" s="1"/>
  <c r="G13" i="17"/>
  <c r="G14" i="17"/>
  <c r="F515" i="16"/>
  <c r="E520" i="16"/>
  <c r="G520" i="16" s="1"/>
  <c r="E521" i="16"/>
  <c r="G521" i="16" s="1"/>
  <c r="E522" i="16"/>
  <c r="E519" i="16"/>
  <c r="G519" i="16" s="1"/>
  <c r="E518" i="16"/>
  <c r="G518" i="16" s="1"/>
  <c r="F271" i="16"/>
  <c r="G271" i="16" s="1"/>
  <c r="F230" i="16"/>
  <c r="F191" i="16"/>
  <c r="G191" i="16" s="1"/>
  <c r="F113" i="16"/>
  <c r="I167" i="16"/>
  <c r="G156" i="16"/>
  <c r="F263" i="16"/>
  <c r="G263" i="16" s="1"/>
  <c r="F262" i="16"/>
  <c r="F261" i="16"/>
  <c r="F260" i="16"/>
  <c r="F219" i="16"/>
  <c r="F218" i="16"/>
  <c r="F213" i="16"/>
  <c r="F214" i="16"/>
  <c r="F212" i="16"/>
  <c r="G212" i="16" s="1"/>
  <c r="F216" i="16"/>
  <c r="G216" i="16" s="1"/>
  <c r="F215" i="16"/>
  <c r="I184" i="16"/>
  <c r="J184" i="16" s="1"/>
  <c r="F181" i="16"/>
  <c r="F185" i="16" s="1"/>
  <c r="F182" i="16"/>
  <c r="G182" i="16" s="1"/>
  <c r="F179" i="16"/>
  <c r="G179" i="16" s="1"/>
  <c r="F135" i="16"/>
  <c r="F136" i="16"/>
  <c r="G136" i="16" s="1"/>
  <c r="F137" i="16"/>
  <c r="G137" i="16" s="1"/>
  <c r="F134" i="16"/>
  <c r="G134" i="16" s="1"/>
  <c r="F98" i="16"/>
  <c r="F141" i="16" s="1"/>
  <c r="F97" i="16"/>
  <c r="F139" i="16" s="1"/>
  <c r="G139" i="16" s="1"/>
  <c r="F96" i="16"/>
  <c r="F138" i="16" s="1"/>
  <c r="G138" i="16" s="1"/>
  <c r="B64" i="16"/>
  <c r="B65" i="16" s="1"/>
  <c r="B66" i="16" s="1"/>
  <c r="B67" i="16" s="1"/>
  <c r="B68" i="16" s="1"/>
  <c r="B69" i="16" s="1"/>
  <c r="B70" i="16" s="1"/>
  <c r="B71" i="16" s="1"/>
  <c r="B72" i="16" s="1"/>
  <c r="B73" i="16" s="1"/>
  <c r="B74" i="16" s="1"/>
  <c r="B75" i="16" s="1"/>
  <c r="I72" i="16"/>
  <c r="G70" i="16"/>
  <c r="G83" i="16"/>
  <c r="G84" i="16"/>
  <c r="G85" i="16"/>
  <c r="G78" i="16"/>
  <c r="I170" i="16"/>
  <c r="J170" i="16" s="1"/>
  <c r="F166" i="16"/>
  <c r="G166" i="16" s="1"/>
  <c r="F94" i="16"/>
  <c r="G94" i="16" s="1"/>
  <c r="F92" i="16"/>
  <c r="E44" i="16"/>
  <c r="E43" i="16"/>
  <c r="G43" i="16" s="1"/>
  <c r="I44" i="16"/>
  <c r="E42" i="16"/>
  <c r="G42" i="16" s="1"/>
  <c r="G44" i="16"/>
  <c r="E34" i="16"/>
  <c r="G34" i="16" s="1"/>
  <c r="G35" i="16"/>
  <c r="E36" i="16"/>
  <c r="G36" i="16" s="1"/>
  <c r="G37" i="16"/>
  <c r="E38" i="16"/>
  <c r="G38" i="16" s="1"/>
  <c r="G39" i="16"/>
  <c r="G40" i="16"/>
  <c r="G41" i="16"/>
  <c r="I40" i="16"/>
  <c r="J40" i="16" s="1"/>
  <c r="I37" i="16"/>
  <c r="J37" i="16" s="1"/>
  <c r="I26" i="16"/>
  <c r="G449" i="16"/>
  <c r="E213" i="16"/>
  <c r="G213" i="16" s="1"/>
  <c r="E51" i="16"/>
  <c r="G51" i="16" s="1"/>
  <c r="E193" i="16"/>
  <c r="G193" i="16" s="1"/>
  <c r="E181" i="16"/>
  <c r="E510" i="16"/>
  <c r="G510" i="16" s="1"/>
  <c r="G511" i="16"/>
  <c r="G503" i="16"/>
  <c r="G504" i="16" s="1"/>
  <c r="G500" i="16"/>
  <c r="G501" i="16" s="1"/>
  <c r="G497" i="16"/>
  <c r="G427" i="16"/>
  <c r="G428" i="16"/>
  <c r="G429" i="16"/>
  <c r="G430" i="16"/>
  <c r="G431" i="16"/>
  <c r="G432" i="16"/>
  <c r="G176" i="16"/>
  <c r="G178" i="16"/>
  <c r="G177" i="16"/>
  <c r="F180" i="16"/>
  <c r="G180" i="16" s="1"/>
  <c r="G183" i="16"/>
  <c r="G184" i="16"/>
  <c r="G185" i="16"/>
  <c r="G190" i="16"/>
  <c r="G192" i="16"/>
  <c r="G194" i="16"/>
  <c r="G195" i="16"/>
  <c r="G196" i="16"/>
  <c r="G197" i="16"/>
  <c r="G198" i="16"/>
  <c r="G199" i="16"/>
  <c r="G200" i="16"/>
  <c r="G201" i="16"/>
  <c r="G202" i="16"/>
  <c r="G203" i="16"/>
  <c r="G204" i="16"/>
  <c r="G53" i="16"/>
  <c r="G52" i="16"/>
  <c r="G54" i="16"/>
  <c r="G55" i="16"/>
  <c r="G56" i="16"/>
  <c r="G57" i="16"/>
  <c r="G62" i="16"/>
  <c r="G63" i="16"/>
  <c r="G64" i="16"/>
  <c r="G65" i="16"/>
  <c r="G66" i="16"/>
  <c r="G67" i="16"/>
  <c r="G68" i="16"/>
  <c r="G69" i="16"/>
  <c r="G71" i="16"/>
  <c r="G72" i="16"/>
  <c r="G73" i="16"/>
  <c r="G74" i="16"/>
  <c r="G76" i="16"/>
  <c r="G77" i="16"/>
  <c r="G79" i="16"/>
  <c r="G80" i="16"/>
  <c r="G81" i="16"/>
  <c r="G82" i="16"/>
  <c r="G61" i="16"/>
  <c r="G92" i="16"/>
  <c r="G93" i="16"/>
  <c r="G95" i="16"/>
  <c r="G98" i="16"/>
  <c r="G104" i="16"/>
  <c r="G105" i="16"/>
  <c r="G106" i="16"/>
  <c r="G107" i="16"/>
  <c r="G108" i="16"/>
  <c r="G109" i="16"/>
  <c r="G110" i="16"/>
  <c r="G111" i="16"/>
  <c r="G112" i="16"/>
  <c r="G113" i="16"/>
  <c r="G114" i="16"/>
  <c r="G115" i="16"/>
  <c r="G116" i="16"/>
  <c r="G117" i="16"/>
  <c r="G118" i="16"/>
  <c r="G119" i="16"/>
  <c r="G120" i="16"/>
  <c r="G121" i="16"/>
  <c r="G122" i="16"/>
  <c r="G123" i="16"/>
  <c r="G124" i="16"/>
  <c r="G125" i="16"/>
  <c r="G126" i="16"/>
  <c r="G127" i="16"/>
  <c r="G135" i="16"/>
  <c r="F140" i="16"/>
  <c r="G140" i="16" s="1"/>
  <c r="G141" i="16"/>
  <c r="G147" i="16"/>
  <c r="G148" i="16"/>
  <c r="G149" i="16"/>
  <c r="G150" i="16"/>
  <c r="G151" i="16"/>
  <c r="G152" i="16"/>
  <c r="G153" i="16"/>
  <c r="G154" i="16"/>
  <c r="G155" i="16"/>
  <c r="G157" i="16"/>
  <c r="G158" i="16"/>
  <c r="G159" i="16"/>
  <c r="G160" i="16"/>
  <c r="G161" i="16"/>
  <c r="G162" i="16"/>
  <c r="G163" i="16"/>
  <c r="G164" i="16"/>
  <c r="G165" i="16"/>
  <c r="G167" i="16"/>
  <c r="G146" i="16"/>
  <c r="G214" i="16"/>
  <c r="G215" i="16"/>
  <c r="G217" i="16"/>
  <c r="G218" i="16"/>
  <c r="G219" i="16"/>
  <c r="G220" i="16"/>
  <c r="G221" i="16"/>
  <c r="G222" i="16"/>
  <c r="G227" i="16"/>
  <c r="G228" i="16"/>
  <c r="G229" i="16"/>
  <c r="G230" i="16"/>
  <c r="G231" i="16"/>
  <c r="G232" i="16"/>
  <c r="G233" i="16"/>
  <c r="G234" i="16"/>
  <c r="G235" i="16"/>
  <c r="G236" i="16"/>
  <c r="G237" i="16"/>
  <c r="G238" i="16"/>
  <c r="G239" i="16"/>
  <c r="G240" i="16"/>
  <c r="G241" i="16"/>
  <c r="G242" i="16"/>
  <c r="G243" i="16"/>
  <c r="G244" i="16"/>
  <c r="G245" i="16"/>
  <c r="G246" i="16"/>
  <c r="G247" i="16"/>
  <c r="G248" i="16"/>
  <c r="G249" i="16"/>
  <c r="G250" i="16"/>
  <c r="G251" i="16"/>
  <c r="G252" i="16"/>
  <c r="G27" i="16"/>
  <c r="G28" i="16"/>
  <c r="G29" i="16"/>
  <c r="G26" i="16"/>
  <c r="G268" i="16"/>
  <c r="G269" i="16"/>
  <c r="G270" i="16"/>
  <c r="G272" i="16"/>
  <c r="G273" i="16"/>
  <c r="G274" i="16"/>
  <c r="G275" i="16"/>
  <c r="G276" i="16"/>
  <c r="G277" i="16"/>
  <c r="G278" i="16"/>
  <c r="G279" i="16"/>
  <c r="G260" i="16"/>
  <c r="E261" i="16"/>
  <c r="G262" i="16"/>
  <c r="G264" i="16"/>
  <c r="G265" i="16"/>
  <c r="G339" i="16"/>
  <c r="G340" i="16"/>
  <c r="E341" i="16"/>
  <c r="G341" i="16" s="1"/>
  <c r="G343" i="16"/>
  <c r="G344" i="16"/>
  <c r="F345" i="16"/>
  <c r="G345" i="16" s="1"/>
  <c r="G350" i="16"/>
  <c r="G351" i="16"/>
  <c r="G352" i="16"/>
  <c r="G424" i="16" s="1"/>
  <c r="G353" i="16"/>
  <c r="G354" i="16"/>
  <c r="G355" i="16"/>
  <c r="G356" i="16"/>
  <c r="G357" i="16"/>
  <c r="G358" i="16"/>
  <c r="G359" i="16"/>
  <c r="G360" i="16"/>
  <c r="G361" i="16"/>
  <c r="G362" i="16"/>
  <c r="G363" i="16"/>
  <c r="G364" i="16"/>
  <c r="G365" i="16"/>
  <c r="G366" i="16"/>
  <c r="G367" i="16"/>
  <c r="G368" i="16"/>
  <c r="G369" i="16"/>
  <c r="G370" i="16"/>
  <c r="G371" i="16"/>
  <c r="G372" i="16"/>
  <c r="G373" i="16"/>
  <c r="G374" i="16"/>
  <c r="G375" i="16"/>
  <c r="G376" i="16"/>
  <c r="G377" i="16"/>
  <c r="G378" i="16"/>
  <c r="G379" i="16"/>
  <c r="G380" i="16"/>
  <c r="G381" i="16"/>
  <c r="G382" i="16"/>
  <c r="G383" i="16"/>
  <c r="G384" i="16"/>
  <c r="G385" i="16"/>
  <c r="G386" i="16"/>
  <c r="G387" i="16"/>
  <c r="G388" i="16"/>
  <c r="G389" i="16"/>
  <c r="G390" i="16"/>
  <c r="G391" i="16"/>
  <c r="G392" i="16"/>
  <c r="G393" i="16"/>
  <c r="G394" i="16"/>
  <c r="G395" i="16"/>
  <c r="G396" i="16"/>
  <c r="G397" i="16"/>
  <c r="G398" i="16"/>
  <c r="G399" i="16"/>
  <c r="G400" i="16"/>
  <c r="G401" i="16"/>
  <c r="G402" i="16"/>
  <c r="G403" i="16"/>
  <c r="G404" i="16"/>
  <c r="G405" i="16"/>
  <c r="G406" i="16"/>
  <c r="G407" i="16"/>
  <c r="G408" i="16"/>
  <c r="G409" i="16"/>
  <c r="G410" i="16"/>
  <c r="G411" i="16"/>
  <c r="G412" i="16"/>
  <c r="G413" i="16"/>
  <c r="G414" i="16"/>
  <c r="G415" i="16"/>
  <c r="G416" i="16"/>
  <c r="G417" i="16"/>
  <c r="G418" i="16"/>
  <c r="G419" i="16"/>
  <c r="G420" i="16"/>
  <c r="G421" i="16"/>
  <c r="G422" i="16"/>
  <c r="G447" i="16"/>
  <c r="G451" i="16" s="1"/>
  <c r="G448" i="16"/>
  <c r="G450" i="16"/>
  <c r="G455" i="16"/>
  <c r="G456" i="16"/>
  <c r="G457" i="16"/>
  <c r="G458" i="16"/>
  <c r="G459" i="16"/>
  <c r="G460" i="16"/>
  <c r="G461" i="16"/>
  <c r="G462" i="16"/>
  <c r="G463" i="16"/>
  <c r="G464" i="16"/>
  <c r="G466" i="16"/>
  <c r="G467" i="16"/>
  <c r="G468" i="16"/>
  <c r="G469" i="16"/>
  <c r="G470" i="16"/>
  <c r="G472" i="16"/>
  <c r="G473" i="16"/>
  <c r="G474" i="16"/>
  <c r="G476" i="16"/>
  <c r="G477" i="16"/>
  <c r="G478" i="16"/>
  <c r="G480" i="16"/>
  <c r="G481" i="16"/>
  <c r="G482" i="16"/>
  <c r="G484" i="16"/>
  <c r="G485" i="16"/>
  <c r="G487" i="16"/>
  <c r="G488" i="16"/>
  <c r="G490" i="16"/>
  <c r="F533" i="16"/>
  <c r="I503" i="16"/>
  <c r="G446" i="16"/>
  <c r="G445" i="16"/>
  <c r="E444" i="16"/>
  <c r="G444" i="16" s="1"/>
  <c r="G443" i="16"/>
  <c r="G442" i="16"/>
  <c r="G441" i="16"/>
  <c r="G440" i="16"/>
  <c r="G439" i="16"/>
  <c r="G438" i="16"/>
  <c r="G437" i="16"/>
  <c r="G347" i="16"/>
  <c r="B275" i="16"/>
  <c r="B276" i="16" s="1"/>
  <c r="B277" i="16" s="1"/>
  <c r="B278" i="16" s="1"/>
  <c r="B279" i="16" s="1"/>
  <c r="B261" i="16"/>
  <c r="B262" i="16" s="1"/>
  <c r="B263" i="16" s="1"/>
  <c r="B264" i="16" s="1"/>
  <c r="B268" i="16" s="1"/>
  <c r="B269" i="16" s="1"/>
  <c r="B270" i="16" s="1"/>
  <c r="G257" i="16"/>
  <c r="B228" i="16"/>
  <c r="B229" i="16" s="1"/>
  <c r="B230" i="16" s="1"/>
  <c r="B231" i="16" s="1"/>
  <c r="B232" i="16" s="1"/>
  <c r="B233" i="16" s="1"/>
  <c r="B234" i="16" s="1"/>
  <c r="B235" i="16" s="1"/>
  <c r="B236" i="16" s="1"/>
  <c r="B237" i="16" s="1"/>
  <c r="B238" i="16" s="1"/>
  <c r="B239" i="16" s="1"/>
  <c r="B240" i="16" s="1"/>
  <c r="B241" i="16" s="1"/>
  <c r="B242" i="16" s="1"/>
  <c r="B243" i="16" s="1"/>
  <c r="B244" i="16" s="1"/>
  <c r="B245" i="16" s="1"/>
  <c r="B246" i="16" s="1"/>
  <c r="B247" i="16" s="1"/>
  <c r="B248" i="16" s="1"/>
  <c r="B249" i="16" s="1"/>
  <c r="B250" i="16" s="1"/>
  <c r="B251" i="16" s="1"/>
  <c r="B252" i="16" s="1"/>
  <c r="G225" i="16"/>
  <c r="B213" i="16"/>
  <c r="B215" i="16" s="1"/>
  <c r="B216" i="16" s="1"/>
  <c r="B217" i="16" s="1"/>
  <c r="B218" i="16" s="1"/>
  <c r="B219" i="16" s="1"/>
  <c r="B220" i="16" s="1"/>
  <c r="B221" i="16" s="1"/>
  <c r="B222" i="16" s="1"/>
  <c r="B192" i="16"/>
  <c r="B193" i="16" s="1"/>
  <c r="B194" i="16" s="1"/>
  <c r="B195" i="16" s="1"/>
  <c r="B196" i="16" s="1"/>
  <c r="B197" i="16" s="1"/>
  <c r="B198" i="16" s="1"/>
  <c r="B199" i="16" s="1"/>
  <c r="B200" i="16" s="1"/>
  <c r="B201" i="16" s="1"/>
  <c r="B202" i="16" s="1"/>
  <c r="B203" i="16" s="1"/>
  <c r="B204" i="16" s="1"/>
  <c r="B177" i="16"/>
  <c r="B178" i="16" s="1"/>
  <c r="B179" i="16" s="1"/>
  <c r="B180" i="16" s="1"/>
  <c r="B154" i="16"/>
  <c r="B155" i="16" s="1"/>
  <c r="B157" i="16" s="1"/>
  <c r="B158" i="16" s="1"/>
  <c r="B159" i="16" s="1"/>
  <c r="B160" i="16" s="1"/>
  <c r="B161" i="16" s="1"/>
  <c r="B162" i="16" s="1"/>
  <c r="B163" i="16" s="1"/>
  <c r="B164" i="16" s="1"/>
  <c r="B165" i="16" s="1"/>
  <c r="B166" i="16" s="1"/>
  <c r="B167" i="16" s="1"/>
  <c r="J148" i="16"/>
  <c r="J149" i="16" s="1"/>
  <c r="G144" i="16"/>
  <c r="B135" i="16"/>
  <c r="B136" i="16" s="1"/>
  <c r="B137" i="16" s="1"/>
  <c r="B138" i="16" s="1"/>
  <c r="B139" i="16" s="1"/>
  <c r="B140" i="16" s="1"/>
  <c r="B141" i="16" s="1"/>
  <c r="B106" i="16"/>
  <c r="B107" i="16" s="1"/>
  <c r="B108" i="16" s="1"/>
  <c r="B109" i="16" s="1"/>
  <c r="B110" i="16" s="1"/>
  <c r="B111" i="16" s="1"/>
  <c r="B112" i="16" s="1"/>
  <c r="B113" i="16" s="1"/>
  <c r="B114" i="16" s="1"/>
  <c r="B115" i="16" s="1"/>
  <c r="B116" i="16" s="1"/>
  <c r="B117" i="16" s="1"/>
  <c r="B118" i="16" s="1"/>
  <c r="B119" i="16" s="1"/>
  <c r="B120" i="16" s="1"/>
  <c r="B121" i="16" s="1"/>
  <c r="B122" i="16" s="1"/>
  <c r="B123" i="16" s="1"/>
  <c r="B124" i="16" s="1"/>
  <c r="B125" i="16" s="1"/>
  <c r="B126" i="16" s="1"/>
  <c r="B127" i="16" s="1"/>
  <c r="B104" i="16"/>
  <c r="B93" i="16"/>
  <c r="B94" i="16" s="1"/>
  <c r="B95" i="16" s="1"/>
  <c r="B96" i="16" s="1"/>
  <c r="B97" i="16" s="1"/>
  <c r="B98" i="16" s="1"/>
  <c r="B52" i="16"/>
  <c r="B53" i="16" s="1"/>
  <c r="B54" i="16" s="1"/>
  <c r="B55" i="16" s="1"/>
  <c r="B56" i="16" s="1"/>
  <c r="B57" i="16" s="1"/>
  <c r="B36" i="16"/>
  <c r="B37" i="16"/>
  <c r="B38" i="16" s="1"/>
  <c r="B39" i="16" s="1"/>
  <c r="B40" i="16" s="1"/>
  <c r="B41" i="16" s="1"/>
  <c r="B42" i="16" s="1"/>
  <c r="B43" i="16" s="1"/>
  <c r="B27" i="16"/>
  <c r="B28" i="16" s="1"/>
  <c r="B29" i="16" s="1"/>
  <c r="E23" i="16"/>
  <c r="G23" i="16" s="1"/>
  <c r="E21" i="16"/>
  <c r="G21" i="16" s="1"/>
  <c r="E20" i="16"/>
  <c r="G20" i="16" s="1"/>
  <c r="G14" i="16"/>
  <c r="G13" i="16"/>
  <c r="D7" i="15"/>
  <c r="D5" i="15"/>
  <c r="D19" i="15" s="1"/>
  <c r="D3" i="15"/>
  <c r="G12" i="15"/>
  <c r="G13" i="15"/>
  <c r="A13" i="15" s="1"/>
  <c r="G14" i="15"/>
  <c r="G17" i="15"/>
  <c r="A17" i="15" s="1"/>
  <c r="G18" i="15"/>
  <c r="A18" i="15" s="1"/>
  <c r="G19" i="15"/>
  <c r="G20" i="15"/>
  <c r="G21" i="15"/>
  <c r="G22" i="15"/>
  <c r="G23" i="15"/>
  <c r="G11" i="15"/>
  <c r="F16" i="15"/>
  <c r="G16" i="15" s="1"/>
  <c r="F15" i="15"/>
  <c r="G15" i="15" s="1"/>
  <c r="J147" i="14"/>
  <c r="J148" i="14" s="1"/>
  <c r="B214" i="16"/>
  <c r="I485" i="14"/>
  <c r="G41" i="14"/>
  <c r="G42" i="14"/>
  <c r="G43" i="14"/>
  <c r="E35" i="14"/>
  <c r="G35" i="14" s="1"/>
  <c r="B35" i="14"/>
  <c r="B36" i="14"/>
  <c r="B37" i="14" s="1"/>
  <c r="B38" i="14" s="1"/>
  <c r="B39" i="14" s="1"/>
  <c r="B40" i="14" s="1"/>
  <c r="B41" i="14" s="1"/>
  <c r="B42" i="14" s="1"/>
  <c r="E36" i="14"/>
  <c r="G36" i="14" s="1"/>
  <c r="E37" i="14"/>
  <c r="G37" i="14" s="1"/>
  <c r="G27" i="14"/>
  <c r="G28" i="14"/>
  <c r="G29" i="14"/>
  <c r="G26" i="14"/>
  <c r="G38" i="14"/>
  <c r="G39" i="14"/>
  <c r="G40" i="14"/>
  <c r="G34" i="14"/>
  <c r="E493" i="14"/>
  <c r="E490" i="14" s="1"/>
  <c r="G492" i="14"/>
  <c r="G494" i="14"/>
  <c r="G495" i="14"/>
  <c r="G496" i="14"/>
  <c r="G50" i="14"/>
  <c r="G51" i="14"/>
  <c r="G52" i="14"/>
  <c r="G53" i="14"/>
  <c r="G54" i="14"/>
  <c r="G55" i="14"/>
  <c r="G56" i="14"/>
  <c r="G60" i="14"/>
  <c r="G61" i="14"/>
  <c r="G62" i="14"/>
  <c r="G63" i="14"/>
  <c r="G64" i="14"/>
  <c r="G65" i="14"/>
  <c r="G66" i="14"/>
  <c r="G67" i="14"/>
  <c r="G68" i="14"/>
  <c r="G69" i="14"/>
  <c r="G70" i="14"/>
  <c r="G71" i="14"/>
  <c r="G72" i="14"/>
  <c r="G73" i="14"/>
  <c r="G74" i="14"/>
  <c r="G75" i="14"/>
  <c r="G76" i="14"/>
  <c r="G77" i="14"/>
  <c r="G78" i="14"/>
  <c r="G79" i="14"/>
  <c r="G80" i="14"/>
  <c r="G81" i="14"/>
  <c r="G82" i="14"/>
  <c r="G103" i="14"/>
  <c r="G104" i="14"/>
  <c r="G105" i="14"/>
  <c r="G106" i="14"/>
  <c r="G107" i="14"/>
  <c r="G108" i="14"/>
  <c r="G109" i="14"/>
  <c r="G110" i="14"/>
  <c r="G111" i="14"/>
  <c r="G112" i="14"/>
  <c r="G113" i="14"/>
  <c r="G114" i="14"/>
  <c r="G115" i="14"/>
  <c r="G116" i="14"/>
  <c r="G117" i="14"/>
  <c r="G118" i="14"/>
  <c r="G119" i="14"/>
  <c r="G120" i="14"/>
  <c r="G121" i="14"/>
  <c r="G122" i="14"/>
  <c r="G123" i="14"/>
  <c r="G124" i="14"/>
  <c r="G125" i="14"/>
  <c r="G126" i="14"/>
  <c r="G91" i="14"/>
  <c r="G92" i="14"/>
  <c r="G93" i="14"/>
  <c r="G94" i="14"/>
  <c r="G95" i="14"/>
  <c r="G96" i="14"/>
  <c r="F97" i="14"/>
  <c r="G97" i="14" s="1"/>
  <c r="G145" i="14"/>
  <c r="G146" i="14"/>
  <c r="G147" i="14"/>
  <c r="G148" i="14"/>
  <c r="G149" i="14"/>
  <c r="G150" i="14"/>
  <c r="G151" i="14"/>
  <c r="G152" i="14"/>
  <c r="G153" i="14"/>
  <c r="G154" i="14"/>
  <c r="G155" i="14"/>
  <c r="G156" i="14"/>
  <c r="G157" i="14"/>
  <c r="G158" i="14"/>
  <c r="G159" i="14"/>
  <c r="G160" i="14"/>
  <c r="G161" i="14"/>
  <c r="G162" i="14"/>
  <c r="F163" i="14"/>
  <c r="G163" i="14" s="1"/>
  <c r="G164" i="14"/>
  <c r="G165" i="14"/>
  <c r="G133" i="14"/>
  <c r="G134" i="14"/>
  <c r="G135" i="14"/>
  <c r="G136" i="14"/>
  <c r="G137" i="14"/>
  <c r="G138" i="14"/>
  <c r="F139" i="14"/>
  <c r="G139" i="14" s="1"/>
  <c r="G140" i="14"/>
  <c r="G188" i="14"/>
  <c r="G189" i="14"/>
  <c r="G190" i="14"/>
  <c r="G191" i="14"/>
  <c r="G192" i="14"/>
  <c r="G193" i="14"/>
  <c r="G194" i="14"/>
  <c r="G195" i="14"/>
  <c r="G196" i="14"/>
  <c r="G197" i="14"/>
  <c r="G198" i="14"/>
  <c r="G199" i="14"/>
  <c r="G200" i="14"/>
  <c r="G201" i="14"/>
  <c r="G202" i="14"/>
  <c r="G174" i="14"/>
  <c r="G175" i="14"/>
  <c r="G176" i="14"/>
  <c r="G177" i="14"/>
  <c r="F178" i="14"/>
  <c r="G178" i="14" s="1"/>
  <c r="G179" i="14"/>
  <c r="G180" i="14"/>
  <c r="G181" i="14"/>
  <c r="G182" i="14"/>
  <c r="G183" i="14"/>
  <c r="G225" i="14"/>
  <c r="G226" i="14"/>
  <c r="G227" i="14"/>
  <c r="G228" i="14"/>
  <c r="G229" i="14"/>
  <c r="G230" i="14"/>
  <c r="G231" i="14"/>
  <c r="G232" i="14"/>
  <c r="G233" i="14"/>
  <c r="G234" i="14"/>
  <c r="G235" i="14"/>
  <c r="G236" i="14"/>
  <c r="G237" i="14"/>
  <c r="G238" i="14"/>
  <c r="G239" i="14"/>
  <c r="G240" i="14"/>
  <c r="G241" i="14"/>
  <c r="G242" i="14"/>
  <c r="G243" i="14"/>
  <c r="G244" i="14"/>
  <c r="G245" i="14"/>
  <c r="G246" i="14"/>
  <c r="G247" i="14"/>
  <c r="G248" i="14"/>
  <c r="G249" i="14"/>
  <c r="G250" i="14"/>
  <c r="G210" i="14"/>
  <c r="G211" i="14"/>
  <c r="G212" i="14"/>
  <c r="G213" i="14"/>
  <c r="G214" i="14"/>
  <c r="G215" i="14"/>
  <c r="G216" i="14"/>
  <c r="G217" i="14"/>
  <c r="G218" i="14"/>
  <c r="G219" i="14"/>
  <c r="G220" i="14"/>
  <c r="G266" i="14"/>
  <c r="G267" i="14"/>
  <c r="G268" i="14"/>
  <c r="G269" i="14"/>
  <c r="G270" i="14"/>
  <c r="G271" i="14"/>
  <c r="G272" i="14"/>
  <c r="G273" i="14"/>
  <c r="G274" i="14"/>
  <c r="G275" i="14"/>
  <c r="G276" i="14"/>
  <c r="G277" i="14"/>
  <c r="G258" i="14"/>
  <c r="E259" i="14"/>
  <c r="G259" i="14" s="1"/>
  <c r="G260" i="14"/>
  <c r="G261" i="14"/>
  <c r="G262" i="14"/>
  <c r="G263" i="14"/>
  <c r="G284" i="14"/>
  <c r="G285" i="14"/>
  <c r="G286" i="14"/>
  <c r="G287" i="14"/>
  <c r="G288" i="14"/>
  <c r="G289" i="14"/>
  <c r="G290" i="14"/>
  <c r="G291" i="14"/>
  <c r="F292" i="14"/>
  <c r="G292" i="14" s="1"/>
  <c r="G293" i="14"/>
  <c r="G294" i="14"/>
  <c r="G295" i="14"/>
  <c r="G296" i="14"/>
  <c r="G297" i="14"/>
  <c r="G298" i="14"/>
  <c r="G299" i="14"/>
  <c r="G300" i="14"/>
  <c r="G301" i="14"/>
  <c r="G302" i="14"/>
  <c r="G303" i="14"/>
  <c r="G304" i="14"/>
  <c r="G305" i="14"/>
  <c r="G306" i="14"/>
  <c r="G307" i="14"/>
  <c r="G308" i="14"/>
  <c r="G309" i="14"/>
  <c r="G310" i="14"/>
  <c r="G311" i="14"/>
  <c r="G312" i="14"/>
  <c r="G313" i="14"/>
  <c r="G314" i="14"/>
  <c r="G315" i="14"/>
  <c r="G316" i="14"/>
  <c r="G317" i="14"/>
  <c r="G318" i="14"/>
  <c r="G319" i="14"/>
  <c r="G320" i="14"/>
  <c r="G321" i="14"/>
  <c r="G322" i="14"/>
  <c r="G323" i="14"/>
  <c r="G324" i="14"/>
  <c r="G325" i="14"/>
  <c r="G326" i="14"/>
  <c r="G327" i="14"/>
  <c r="G328" i="14"/>
  <c r="G329" i="14"/>
  <c r="E330" i="14"/>
  <c r="G330" i="14" s="1"/>
  <c r="G331" i="14"/>
  <c r="G332" i="14"/>
  <c r="F333" i="14"/>
  <c r="G333" i="14" s="1"/>
  <c r="G338" i="14"/>
  <c r="G339" i="14"/>
  <c r="G340" i="14"/>
  <c r="G341" i="14"/>
  <c r="G342" i="14"/>
  <c r="G343" i="14"/>
  <c r="G344" i="14"/>
  <c r="G345" i="14"/>
  <c r="G346" i="14"/>
  <c r="G347" i="14"/>
  <c r="G348" i="14"/>
  <c r="G349" i="14"/>
  <c r="G350" i="14"/>
  <c r="G351" i="14"/>
  <c r="G352" i="14"/>
  <c r="G353" i="14"/>
  <c r="G354" i="14"/>
  <c r="G355" i="14"/>
  <c r="G356" i="14"/>
  <c r="G357" i="14"/>
  <c r="G358" i="14"/>
  <c r="G359" i="14"/>
  <c r="G360" i="14"/>
  <c r="G361" i="14"/>
  <c r="G362" i="14"/>
  <c r="G363" i="14"/>
  <c r="G364" i="14"/>
  <c r="G365" i="14"/>
  <c r="G366" i="14"/>
  <c r="G367" i="14"/>
  <c r="G368" i="14"/>
  <c r="G369" i="14"/>
  <c r="G370" i="14"/>
  <c r="G371" i="14"/>
  <c r="G372" i="14"/>
  <c r="G373" i="14"/>
  <c r="G374" i="14"/>
  <c r="G375" i="14"/>
  <c r="G376" i="14"/>
  <c r="G377" i="14"/>
  <c r="G378" i="14"/>
  <c r="G379" i="14"/>
  <c r="G380" i="14"/>
  <c r="G381" i="14"/>
  <c r="G382" i="14"/>
  <c r="G383" i="14"/>
  <c r="G384" i="14"/>
  <c r="G385" i="14"/>
  <c r="G386" i="14"/>
  <c r="G387" i="14"/>
  <c r="G388" i="14"/>
  <c r="G389" i="14"/>
  <c r="G390" i="14"/>
  <c r="G391" i="14"/>
  <c r="G392" i="14"/>
  <c r="G393" i="14"/>
  <c r="G394" i="14"/>
  <c r="G395" i="14"/>
  <c r="G396" i="14"/>
  <c r="G397" i="14"/>
  <c r="G398" i="14"/>
  <c r="G399" i="14"/>
  <c r="G400" i="14"/>
  <c r="G401" i="14"/>
  <c r="G402" i="14"/>
  <c r="G403" i="14"/>
  <c r="G404" i="14"/>
  <c r="G405" i="14"/>
  <c r="G406" i="14"/>
  <c r="G407" i="14"/>
  <c r="G408" i="14"/>
  <c r="G409" i="14"/>
  <c r="G410" i="14"/>
  <c r="G415" i="14"/>
  <c r="G416" i="14"/>
  <c r="G417" i="14"/>
  <c r="G418" i="14"/>
  <c r="G419" i="14"/>
  <c r="G420" i="14"/>
  <c r="G436" i="14"/>
  <c r="G437" i="14"/>
  <c r="G438" i="14"/>
  <c r="G443" i="14"/>
  <c r="G444" i="14"/>
  <c r="G445" i="14"/>
  <c r="G446" i="14"/>
  <c r="G447" i="14"/>
  <c r="G448" i="14"/>
  <c r="G449" i="14"/>
  <c r="G450" i="14"/>
  <c r="G451" i="14"/>
  <c r="G452" i="14"/>
  <c r="G454" i="14"/>
  <c r="G455" i="14"/>
  <c r="G456" i="14"/>
  <c r="G457" i="14"/>
  <c r="G458" i="14"/>
  <c r="G460" i="14"/>
  <c r="G461" i="14"/>
  <c r="G462" i="14"/>
  <c r="G464" i="14"/>
  <c r="G465" i="14"/>
  <c r="G466" i="14"/>
  <c r="G468" i="14"/>
  <c r="G469" i="14"/>
  <c r="G470" i="14"/>
  <c r="G472" i="14"/>
  <c r="G473" i="14"/>
  <c r="G475" i="14"/>
  <c r="G476" i="14"/>
  <c r="G478" i="14"/>
  <c r="G485" i="14"/>
  <c r="G486" i="14" s="1"/>
  <c r="G482" i="14"/>
  <c r="G483" i="14" s="1"/>
  <c r="G487" i="14" s="1"/>
  <c r="G335" i="14"/>
  <c r="G427" i="14"/>
  <c r="G428" i="14"/>
  <c r="G429" i="14"/>
  <c r="G430" i="14"/>
  <c r="G431" i="14"/>
  <c r="G432" i="14"/>
  <c r="E433" i="14"/>
  <c r="G433" i="14" s="1"/>
  <c r="G434" i="14"/>
  <c r="G435" i="14"/>
  <c r="F506" i="14"/>
  <c r="G426" i="14"/>
  <c r="B273" i="14"/>
  <c r="B274" i="14" s="1"/>
  <c r="B275" i="14" s="1"/>
  <c r="B276" i="14" s="1"/>
  <c r="B277" i="14" s="1"/>
  <c r="B259" i="14"/>
  <c r="B260" i="14" s="1"/>
  <c r="B261" i="14"/>
  <c r="B262" i="14" s="1"/>
  <c r="B266" i="14" s="1"/>
  <c r="B267" i="14" s="1"/>
  <c r="B268" i="14" s="1"/>
  <c r="G255" i="14"/>
  <c r="B226" i="14"/>
  <c r="B227" i="14" s="1"/>
  <c r="B228" i="14" s="1"/>
  <c r="B229" i="14" s="1"/>
  <c r="B230" i="14" s="1"/>
  <c r="B231" i="14" s="1"/>
  <c r="B232" i="14" s="1"/>
  <c r="B233" i="14" s="1"/>
  <c r="B234" i="14" s="1"/>
  <c r="B235" i="14" s="1"/>
  <c r="B236" i="14" s="1"/>
  <c r="B237" i="14" s="1"/>
  <c r="B238" i="14" s="1"/>
  <c r="B239" i="14" s="1"/>
  <c r="B240" i="14" s="1"/>
  <c r="B241" i="14" s="1"/>
  <c r="B242" i="14" s="1"/>
  <c r="B243" i="14" s="1"/>
  <c r="B244" i="14" s="1"/>
  <c r="B245" i="14" s="1"/>
  <c r="B246" i="14" s="1"/>
  <c r="B247" i="14" s="1"/>
  <c r="B248" i="14" s="1"/>
  <c r="B249" i="14" s="1"/>
  <c r="B250" i="14" s="1"/>
  <c r="G223" i="14"/>
  <c r="B211" i="14"/>
  <c r="B213" i="14" s="1"/>
  <c r="B214" i="14" s="1"/>
  <c r="B215" i="14" s="1"/>
  <c r="B216" i="14" s="1"/>
  <c r="B217" i="14" s="1"/>
  <c r="B218" i="14" s="1"/>
  <c r="B219" i="14" s="1"/>
  <c r="B220" i="14" s="1"/>
  <c r="B190" i="14"/>
  <c r="B191" i="14" s="1"/>
  <c r="B192" i="14" s="1"/>
  <c r="B193" i="14" s="1"/>
  <c r="B194" i="14" s="1"/>
  <c r="B195" i="14" s="1"/>
  <c r="B196" i="14" s="1"/>
  <c r="B197" i="14" s="1"/>
  <c r="B198" i="14" s="1"/>
  <c r="B199" i="14" s="1"/>
  <c r="B200" i="14" s="1"/>
  <c r="B201" i="14" s="1"/>
  <c r="B202" i="14" s="1"/>
  <c r="B175" i="14"/>
  <c r="B176" i="14" s="1"/>
  <c r="B177" i="14" s="1"/>
  <c r="B178" i="14" s="1"/>
  <c r="B153" i="14"/>
  <c r="B154" i="14" s="1"/>
  <c r="B155" i="14" s="1"/>
  <c r="B156" i="14" s="1"/>
  <c r="B157" i="14" s="1"/>
  <c r="B158" i="14" s="1"/>
  <c r="B159" i="14" s="1"/>
  <c r="B160" i="14" s="1"/>
  <c r="B161" i="14" s="1"/>
  <c r="B162" i="14" s="1"/>
  <c r="B163" i="14" s="1"/>
  <c r="B164" i="14" s="1"/>
  <c r="B165" i="14" s="1"/>
  <c r="G143" i="14"/>
  <c r="B134" i="14"/>
  <c r="B135" i="14" s="1"/>
  <c r="B136" i="14" s="1"/>
  <c r="B137" i="14" s="1"/>
  <c r="B138" i="14" s="1"/>
  <c r="B139" i="14" s="1"/>
  <c r="B140" i="14" s="1"/>
  <c r="B105" i="14"/>
  <c r="B106" i="14" s="1"/>
  <c r="B107" i="14" s="1"/>
  <c r="B108" i="14" s="1"/>
  <c r="B109" i="14" s="1"/>
  <c r="B110" i="14" s="1"/>
  <c r="B111" i="14" s="1"/>
  <c r="B112" i="14" s="1"/>
  <c r="B113" i="14" s="1"/>
  <c r="B114" i="14" s="1"/>
  <c r="B115" i="14" s="1"/>
  <c r="B116" i="14" s="1"/>
  <c r="B117" i="14" s="1"/>
  <c r="B118" i="14" s="1"/>
  <c r="B119" i="14" s="1"/>
  <c r="B120" i="14" s="1"/>
  <c r="B121" i="14" s="1"/>
  <c r="B122" i="14" s="1"/>
  <c r="B123" i="14" s="1"/>
  <c r="B124" i="14" s="1"/>
  <c r="B125" i="14" s="1"/>
  <c r="B126" i="14" s="1"/>
  <c r="B103" i="14"/>
  <c r="B92" i="14"/>
  <c r="B93" i="14" s="1"/>
  <c r="B94" i="14" s="1"/>
  <c r="B95" i="14" s="1"/>
  <c r="B96" i="14" s="1"/>
  <c r="B97" i="14" s="1"/>
  <c r="B82" i="14"/>
  <c r="B63" i="14"/>
  <c r="B64" i="14" s="1"/>
  <c r="B65" i="14" s="1"/>
  <c r="B66" i="14" s="1"/>
  <c r="B67" i="14" s="1"/>
  <c r="B68" i="14" s="1"/>
  <c r="B69" i="14" s="1"/>
  <c r="B70" i="14" s="1"/>
  <c r="B71" i="14" s="1"/>
  <c r="B72" i="14" s="1"/>
  <c r="B73" i="14" s="1"/>
  <c r="B74" i="14" s="1"/>
  <c r="B51" i="14"/>
  <c r="B52" i="14" s="1"/>
  <c r="B53" i="14" s="1"/>
  <c r="B54" i="14" s="1"/>
  <c r="B55" i="14" s="1"/>
  <c r="B56" i="14" s="1"/>
  <c r="B27" i="14"/>
  <c r="B28" i="14"/>
  <c r="B29" i="14" s="1"/>
  <c r="E23" i="14"/>
  <c r="G23" i="14" s="1"/>
  <c r="E21" i="14"/>
  <c r="G21" i="14" s="1"/>
  <c r="E20" i="14"/>
  <c r="E22" i="14" s="1"/>
  <c r="G22" i="14" s="1"/>
  <c r="G14" i="14"/>
  <c r="G16" i="14" s="1"/>
  <c r="G11" i="14" s="1"/>
  <c r="G13" i="14"/>
  <c r="G260" i="13"/>
  <c r="G261" i="13"/>
  <c r="G262" i="13"/>
  <c r="G268" i="13"/>
  <c r="G267" i="13"/>
  <c r="G269" i="13"/>
  <c r="G270" i="13"/>
  <c r="G271" i="13"/>
  <c r="G272" i="13"/>
  <c r="G273" i="13"/>
  <c r="G274" i="13"/>
  <c r="G275" i="13"/>
  <c r="G276" i="13"/>
  <c r="G277" i="13"/>
  <c r="G266" i="13"/>
  <c r="G211" i="13"/>
  <c r="G212" i="13"/>
  <c r="G213" i="13"/>
  <c r="G214" i="13"/>
  <c r="G215" i="13"/>
  <c r="G216" i="13"/>
  <c r="G217" i="13"/>
  <c r="G218" i="13"/>
  <c r="G219" i="13"/>
  <c r="G220" i="13"/>
  <c r="G189" i="13"/>
  <c r="G190" i="13"/>
  <c r="G204" i="13" s="1"/>
  <c r="G191" i="13"/>
  <c r="G192" i="13"/>
  <c r="G193" i="13"/>
  <c r="G194" i="13"/>
  <c r="G195" i="13"/>
  <c r="G196" i="13"/>
  <c r="G197" i="13"/>
  <c r="G198" i="13"/>
  <c r="G199" i="13"/>
  <c r="G200" i="13"/>
  <c r="G201" i="13"/>
  <c r="G202" i="13"/>
  <c r="G188" i="13"/>
  <c r="G175" i="13"/>
  <c r="G176" i="13"/>
  <c r="G177" i="13"/>
  <c r="G179" i="13"/>
  <c r="G180" i="13"/>
  <c r="G181" i="13"/>
  <c r="G182" i="13"/>
  <c r="G183" i="13"/>
  <c r="G147" i="13"/>
  <c r="G148" i="13"/>
  <c r="G149" i="13"/>
  <c r="G150" i="13"/>
  <c r="G151" i="13"/>
  <c r="G152" i="13"/>
  <c r="G153" i="13"/>
  <c r="G154" i="13"/>
  <c r="G155" i="13"/>
  <c r="G156" i="13"/>
  <c r="G157" i="13"/>
  <c r="G158" i="13"/>
  <c r="G159" i="13"/>
  <c r="G160" i="13"/>
  <c r="G161" i="13"/>
  <c r="G162" i="13"/>
  <c r="G164" i="13"/>
  <c r="G165" i="13"/>
  <c r="G134" i="13"/>
  <c r="G135" i="13"/>
  <c r="G136" i="13"/>
  <c r="G137" i="13"/>
  <c r="G138" i="13"/>
  <c r="G140" i="13"/>
  <c r="AN124" i="13"/>
  <c r="G109" i="13"/>
  <c r="G110" i="13"/>
  <c r="G111" i="13"/>
  <c r="G112" i="13"/>
  <c r="G113" i="13"/>
  <c r="G114" i="13"/>
  <c r="G115" i="13"/>
  <c r="G116" i="13"/>
  <c r="G117" i="13"/>
  <c r="G118" i="13"/>
  <c r="G119" i="13"/>
  <c r="G120" i="13"/>
  <c r="G121" i="13"/>
  <c r="G122" i="13"/>
  <c r="G123" i="13"/>
  <c r="G124" i="13"/>
  <c r="G108" i="13"/>
  <c r="G74" i="13"/>
  <c r="G75" i="13"/>
  <c r="G76" i="13"/>
  <c r="G77" i="13"/>
  <c r="G78" i="13"/>
  <c r="G60" i="13"/>
  <c r="G61" i="13"/>
  <c r="G62" i="13"/>
  <c r="G63" i="13"/>
  <c r="G64" i="13"/>
  <c r="G65" i="13"/>
  <c r="G66" i="13"/>
  <c r="G67" i="13"/>
  <c r="G68" i="13"/>
  <c r="G69" i="13"/>
  <c r="G70" i="13"/>
  <c r="G71" i="13"/>
  <c r="G59" i="13"/>
  <c r="G49" i="13"/>
  <c r="G50" i="13"/>
  <c r="G51" i="13"/>
  <c r="G52" i="13"/>
  <c r="G53" i="13"/>
  <c r="G54" i="13"/>
  <c r="G36" i="13"/>
  <c r="G37" i="13"/>
  <c r="G38" i="13"/>
  <c r="G39" i="13"/>
  <c r="G40" i="13"/>
  <c r="G146" i="13"/>
  <c r="AL489" i="13"/>
  <c r="AM479" i="13"/>
  <c r="AM478" i="13"/>
  <c r="AM477" i="13"/>
  <c r="AK476" i="13"/>
  <c r="AM476" i="13" s="1"/>
  <c r="AM475" i="13"/>
  <c r="AM469" i="13"/>
  <c r="AM467" i="13"/>
  <c r="AM466" i="13"/>
  <c r="AM464" i="13"/>
  <c r="AM463" i="13"/>
  <c r="AM461" i="13"/>
  <c r="AM460" i="13"/>
  <c r="AM459" i="13"/>
  <c r="AM457" i="13"/>
  <c r="AM456" i="13"/>
  <c r="AM455" i="13"/>
  <c r="AM453" i="13"/>
  <c r="AM452" i="13"/>
  <c r="AM451" i="13"/>
  <c r="AM449" i="13"/>
  <c r="AM448" i="13"/>
  <c r="AM447" i="13"/>
  <c r="AM446" i="13"/>
  <c r="AM445" i="13"/>
  <c r="AM443" i="13"/>
  <c r="AM442" i="13"/>
  <c r="AM441" i="13"/>
  <c r="AM440" i="13"/>
  <c r="AM439" i="13"/>
  <c r="AM438" i="13"/>
  <c r="AM437" i="13"/>
  <c r="AM436" i="13"/>
  <c r="AM435" i="13"/>
  <c r="AM434" i="13"/>
  <c r="AM470" i="13" s="1"/>
  <c r="AM429" i="13"/>
  <c r="AM428" i="13"/>
  <c r="AM427" i="13"/>
  <c r="AM426" i="13"/>
  <c r="AM425" i="13"/>
  <c r="AK424" i="13"/>
  <c r="AM424" i="13" s="1"/>
  <c r="AM423" i="13"/>
  <c r="AM422" i="13"/>
  <c r="AM421" i="13"/>
  <c r="AM420" i="13"/>
  <c r="AM419" i="13"/>
  <c r="AM418" i="13"/>
  <c r="AM417" i="13"/>
  <c r="AM411" i="13"/>
  <c r="AM410" i="13"/>
  <c r="AM409" i="13"/>
  <c r="AM408" i="13"/>
  <c r="AM407" i="13"/>
  <c r="AM406" i="13"/>
  <c r="AM405" i="13"/>
  <c r="AM404" i="13"/>
  <c r="AM403" i="13"/>
  <c r="AM402" i="13"/>
  <c r="AM401" i="13"/>
  <c r="AM400" i="13"/>
  <c r="AM399" i="13"/>
  <c r="AM398" i="13"/>
  <c r="AM397" i="13"/>
  <c r="AM396" i="13"/>
  <c r="AM395" i="13"/>
  <c r="AM394" i="13"/>
  <c r="AM393" i="13"/>
  <c r="AM392" i="13"/>
  <c r="AM391" i="13"/>
  <c r="AM390" i="13"/>
  <c r="AM389" i="13"/>
  <c r="AM388" i="13"/>
  <c r="AM387" i="13"/>
  <c r="AM386" i="13"/>
  <c r="AM385" i="13"/>
  <c r="AM384" i="13"/>
  <c r="AM382" i="13"/>
  <c r="AM381" i="13"/>
  <c r="AM380" i="13"/>
  <c r="AM379" i="13"/>
  <c r="AM378" i="13"/>
  <c r="AM377" i="13"/>
  <c r="AM376" i="13"/>
  <c r="AM375" i="13"/>
  <c r="AM374" i="13"/>
  <c r="AM373" i="13"/>
  <c r="AM372" i="13"/>
  <c r="AM371" i="13"/>
  <c r="AM370" i="13"/>
  <c r="AM369" i="13"/>
  <c r="AM368" i="13"/>
  <c r="AM367" i="13"/>
  <c r="AM366" i="13"/>
  <c r="AM365" i="13"/>
  <c r="AM364" i="13"/>
  <c r="AM363" i="13"/>
  <c r="AM362" i="13"/>
  <c r="AM361" i="13"/>
  <c r="AM359" i="13"/>
  <c r="AM358" i="13"/>
  <c r="AM357" i="13"/>
  <c r="AM356" i="13"/>
  <c r="AM355" i="13"/>
  <c r="AM354" i="13"/>
  <c r="AM353" i="13"/>
  <c r="AM352" i="13"/>
  <c r="AM351" i="13"/>
  <c r="AM350" i="13"/>
  <c r="AM349" i="13"/>
  <c r="AM348" i="13"/>
  <c r="AM347" i="13"/>
  <c r="AM346" i="13"/>
  <c r="AM345" i="13"/>
  <c r="AM344" i="13"/>
  <c r="AM343" i="13"/>
  <c r="AM342" i="13"/>
  <c r="AM341" i="13"/>
  <c r="AM340" i="13"/>
  <c r="AM339" i="13"/>
  <c r="AM413" i="13" s="1"/>
  <c r="AM336" i="13"/>
  <c r="AL333" i="13"/>
  <c r="AM332" i="13" s="1"/>
  <c r="AM330" i="13"/>
  <c r="AK329" i="13"/>
  <c r="AM329" i="13" s="1"/>
  <c r="AM328" i="13"/>
  <c r="AM327" i="13"/>
  <c r="AM325" i="13"/>
  <c r="AM324" i="13"/>
  <c r="AM322" i="13"/>
  <c r="AM320" i="13"/>
  <c r="AM319" i="13"/>
  <c r="AM318" i="13"/>
  <c r="AM317" i="13"/>
  <c r="AM316" i="13"/>
  <c r="AM315" i="13"/>
  <c r="AM313" i="13"/>
  <c r="AM312" i="13"/>
  <c r="AM311" i="13"/>
  <c r="AM310" i="13"/>
  <c r="AM309" i="13"/>
  <c r="AM307" i="13"/>
  <c r="AM306" i="13"/>
  <c r="AM305" i="13"/>
  <c r="AM304" i="13"/>
  <c r="AM303" i="13"/>
  <c r="AM302" i="13"/>
  <c r="AM301" i="13"/>
  <c r="AM300" i="13"/>
  <c r="AM298" i="13"/>
  <c r="AM296" i="13"/>
  <c r="AM295" i="13"/>
  <c r="AM293" i="13"/>
  <c r="AL292" i="13"/>
  <c r="AM292" i="13" s="1"/>
  <c r="AM291" i="13"/>
  <c r="AM290" i="13"/>
  <c r="AM289" i="13"/>
  <c r="AM288" i="13"/>
  <c r="AM286" i="13"/>
  <c r="AM284" i="13"/>
  <c r="AM277" i="13"/>
  <c r="AM276" i="13"/>
  <c r="AM275" i="13"/>
  <c r="AM274" i="13"/>
  <c r="AM273" i="13"/>
  <c r="AM272" i="13"/>
  <c r="AM271" i="13"/>
  <c r="AM270" i="13"/>
  <c r="AM269" i="13"/>
  <c r="AM268" i="13"/>
  <c r="AM267" i="13"/>
  <c r="AM266" i="13"/>
  <c r="AM263" i="13"/>
  <c r="AM262" i="13"/>
  <c r="AM261" i="13"/>
  <c r="AM260" i="13"/>
  <c r="AK259" i="13"/>
  <c r="AM259" i="13" s="1"/>
  <c r="AM264" i="13" s="1"/>
  <c r="AM258" i="13"/>
  <c r="AM255" i="13"/>
  <c r="AM250" i="13"/>
  <c r="AM249" i="13"/>
  <c r="AM248" i="13"/>
  <c r="AM247" i="13"/>
  <c r="AM246" i="13"/>
  <c r="AM245" i="13"/>
  <c r="AM244" i="13"/>
  <c r="AM243" i="13"/>
  <c r="AM242" i="13"/>
  <c r="AM241" i="13"/>
  <c r="AM240" i="13"/>
  <c r="AM239" i="13"/>
  <c r="AM238" i="13"/>
  <c r="AM237" i="13"/>
  <c r="AM236" i="13"/>
  <c r="AM235" i="13"/>
  <c r="AM234" i="13"/>
  <c r="AM233" i="13"/>
  <c r="AM232" i="13"/>
  <c r="AM231" i="13"/>
  <c r="AM230" i="13"/>
  <c r="AM229" i="13"/>
  <c r="AM228" i="13"/>
  <c r="AM227" i="13"/>
  <c r="AM226" i="13"/>
  <c r="AM225" i="13"/>
  <c r="AM252" i="13" s="1"/>
  <c r="AM223" i="13"/>
  <c r="AM220" i="13"/>
  <c r="AM219" i="13"/>
  <c r="AM218" i="13"/>
  <c r="AM217" i="13"/>
  <c r="AM216" i="13"/>
  <c r="AM215" i="13"/>
  <c r="AM214" i="13"/>
  <c r="AM213" i="13"/>
  <c r="AM212" i="13"/>
  <c r="AM211" i="13"/>
  <c r="AM210" i="13"/>
  <c r="AM222" i="13" s="1"/>
  <c r="AM202" i="13"/>
  <c r="AM201" i="13"/>
  <c r="AM200" i="13"/>
  <c r="AM199" i="13"/>
  <c r="AM198" i="13"/>
  <c r="AM197" i="13"/>
  <c r="AM196" i="13"/>
  <c r="AM195" i="13"/>
  <c r="AM194" i="13"/>
  <c r="AM193" i="13"/>
  <c r="AM192" i="13"/>
  <c r="AM191" i="13"/>
  <c r="AM190" i="13"/>
  <c r="AM189" i="13"/>
  <c r="AM188" i="13"/>
  <c r="AM182" i="13"/>
  <c r="AM181" i="13"/>
  <c r="AM180" i="13"/>
  <c r="AM179" i="13"/>
  <c r="AL178" i="13"/>
  <c r="AM178" i="13" s="1"/>
  <c r="AM177" i="13"/>
  <c r="AM176" i="13"/>
  <c r="AM175" i="13"/>
  <c r="AM174" i="13"/>
  <c r="AM185" i="13" s="1"/>
  <c r="AM165" i="13"/>
  <c r="AM164" i="13"/>
  <c r="AL163" i="13"/>
  <c r="AM163" i="13" s="1"/>
  <c r="AM162" i="13"/>
  <c r="AM161" i="13"/>
  <c r="AM160" i="13"/>
  <c r="AM159" i="13"/>
  <c r="AM158" i="13"/>
  <c r="AM157" i="13"/>
  <c r="AM156" i="13"/>
  <c r="AM155" i="13"/>
  <c r="AM154" i="13"/>
  <c r="AM153" i="13"/>
  <c r="AM152" i="13"/>
  <c r="AM151" i="13"/>
  <c r="AM150" i="13"/>
  <c r="AM149" i="13"/>
  <c r="AM148" i="13"/>
  <c r="AM147" i="13"/>
  <c r="AM146" i="13"/>
  <c r="AM167" i="13" s="1"/>
  <c r="AM145" i="13"/>
  <c r="AM143" i="13"/>
  <c r="AM140" i="13"/>
  <c r="AL139" i="13"/>
  <c r="AM139" i="13" s="1"/>
  <c r="AM138" i="13"/>
  <c r="AM137" i="13"/>
  <c r="AM136" i="13"/>
  <c r="AM135" i="13"/>
  <c r="AM134" i="13"/>
  <c r="AM133" i="13"/>
  <c r="AM125" i="13"/>
  <c r="AM124" i="13"/>
  <c r="AM123" i="13"/>
  <c r="AM122" i="13"/>
  <c r="AM121" i="13"/>
  <c r="AM120" i="13"/>
  <c r="AM119" i="13"/>
  <c r="AM118" i="13"/>
  <c r="AM117" i="13"/>
  <c r="AM116" i="13"/>
  <c r="AM115" i="13"/>
  <c r="AM114" i="13"/>
  <c r="AM113" i="13"/>
  <c r="AM112" i="13"/>
  <c r="AM111" i="13"/>
  <c r="AM110" i="13"/>
  <c r="AM109" i="13"/>
  <c r="AM108" i="13"/>
  <c r="AM107" i="13"/>
  <c r="AM106" i="13"/>
  <c r="AM105" i="13"/>
  <c r="AM104" i="13"/>
  <c r="AM127" i="13" s="1"/>
  <c r="AM103" i="13"/>
  <c r="AM102" i="13"/>
  <c r="AM101" i="13"/>
  <c r="AL95" i="13"/>
  <c r="AM95" i="13" s="1"/>
  <c r="AM94" i="13"/>
  <c r="AM93" i="13"/>
  <c r="AM92" i="13"/>
  <c r="AM91" i="13"/>
  <c r="AM90" i="13"/>
  <c r="AM89" i="13"/>
  <c r="AM80" i="13"/>
  <c r="AM79" i="13"/>
  <c r="AM78" i="13"/>
  <c r="AM77" i="13"/>
  <c r="AM76" i="13"/>
  <c r="AM75" i="13"/>
  <c r="AM74" i="13"/>
  <c r="AM73" i="13"/>
  <c r="AM72" i="13"/>
  <c r="AM71" i="13"/>
  <c r="AM70" i="13"/>
  <c r="AM69" i="13"/>
  <c r="AM68" i="13"/>
  <c r="AM67" i="13"/>
  <c r="AM66" i="13"/>
  <c r="AM65" i="13"/>
  <c r="AM64" i="13"/>
  <c r="AM63" i="13"/>
  <c r="AM62" i="13"/>
  <c r="AM61" i="13"/>
  <c r="AM60" i="13"/>
  <c r="AM59" i="13"/>
  <c r="AM58" i="13"/>
  <c r="AM54" i="13"/>
  <c r="AM53" i="13"/>
  <c r="AM52" i="13"/>
  <c r="AM51" i="13"/>
  <c r="AM50" i="13"/>
  <c r="AM49" i="13"/>
  <c r="AM48" i="13"/>
  <c r="AM56" i="13" s="1"/>
  <c r="AM40" i="13"/>
  <c r="AM39" i="13"/>
  <c r="AM38" i="13"/>
  <c r="AM37" i="13"/>
  <c r="AM36" i="13"/>
  <c r="AK35" i="13"/>
  <c r="AM35" i="13" s="1"/>
  <c r="AM34" i="13"/>
  <c r="AM29" i="13"/>
  <c r="AM28" i="13"/>
  <c r="AM27" i="13"/>
  <c r="AM26" i="13"/>
  <c r="G20" i="14"/>
  <c r="AM279" i="13"/>
  <c r="AB534" i="13"/>
  <c r="AB524" i="13"/>
  <c r="AB525" i="13" s="1"/>
  <c r="F498" i="13"/>
  <c r="AG498" i="13"/>
  <c r="G488" i="13"/>
  <c r="AB487" i="13"/>
  <c r="G487" i="13"/>
  <c r="AH488" i="13"/>
  <c r="Z486" i="13"/>
  <c r="G486" i="13"/>
  <c r="AH487" i="13"/>
  <c r="Z485" i="13"/>
  <c r="E485" i="13"/>
  <c r="G485" i="13" s="1"/>
  <c r="AH486" i="13"/>
  <c r="Z484" i="13"/>
  <c r="G484" i="13"/>
  <c r="AF485" i="13"/>
  <c r="AH485" i="13" s="1"/>
  <c r="Z483" i="13"/>
  <c r="AH484" i="13"/>
  <c r="G478" i="13"/>
  <c r="AH478" i="13"/>
  <c r="G476" i="13"/>
  <c r="G475" i="13"/>
  <c r="AH476" i="13"/>
  <c r="AH475" i="13"/>
  <c r="G473" i="13"/>
  <c r="G472" i="13"/>
  <c r="AH473" i="13"/>
  <c r="AH472" i="13"/>
  <c r="G470" i="13"/>
  <c r="G469" i="13"/>
  <c r="AH470" i="13"/>
  <c r="G468" i="13"/>
  <c r="AH469" i="13"/>
  <c r="AH468" i="13"/>
  <c r="G466" i="13"/>
  <c r="G465" i="13"/>
  <c r="AH466" i="13"/>
  <c r="G464" i="13"/>
  <c r="AH465" i="13"/>
  <c r="AH464" i="13"/>
  <c r="G462" i="13"/>
  <c r="G461" i="13"/>
  <c r="AH462" i="13"/>
  <c r="G460" i="13"/>
  <c r="AH461" i="13"/>
  <c r="AH460" i="13"/>
  <c r="G458" i="13"/>
  <c r="G457" i="13"/>
  <c r="AH458" i="13"/>
  <c r="G456" i="13"/>
  <c r="AH457" i="13"/>
  <c r="G455" i="13"/>
  <c r="AH456" i="13"/>
  <c r="G454" i="13"/>
  <c r="AH455" i="13"/>
  <c r="AH454" i="13"/>
  <c r="G452" i="13"/>
  <c r="G451" i="13"/>
  <c r="AH452" i="13"/>
  <c r="G450" i="13"/>
  <c r="AH451" i="13"/>
  <c r="G449" i="13"/>
  <c r="AH450" i="13"/>
  <c r="G448" i="13"/>
  <c r="AH449" i="13"/>
  <c r="G447" i="13"/>
  <c r="AH448" i="13"/>
  <c r="G446" i="13"/>
  <c r="AH447" i="13"/>
  <c r="G445" i="13"/>
  <c r="AH446" i="13"/>
  <c r="G444" i="13"/>
  <c r="AH445" i="13"/>
  <c r="G443" i="13"/>
  <c r="AH444" i="13"/>
  <c r="AH443" i="13"/>
  <c r="AH479" i="13" s="1"/>
  <c r="G438" i="13"/>
  <c r="G437" i="13"/>
  <c r="AH438" i="13"/>
  <c r="G436" i="13"/>
  <c r="G439" i="13" s="1"/>
  <c r="AH437" i="13"/>
  <c r="G435" i="13"/>
  <c r="AH436" i="13"/>
  <c r="G434" i="13"/>
  <c r="AH435" i="13"/>
  <c r="E433" i="13"/>
  <c r="G433" i="13" s="1"/>
  <c r="AH434" i="13"/>
  <c r="G432" i="13"/>
  <c r="AF433" i="13"/>
  <c r="AH433" i="13" s="1"/>
  <c r="G431" i="13"/>
  <c r="AH432" i="13"/>
  <c r="G430" i="13"/>
  <c r="AH431" i="13"/>
  <c r="G429" i="13"/>
  <c r="AH430" i="13"/>
  <c r="G428" i="13"/>
  <c r="AH429" i="13"/>
  <c r="G427" i="13"/>
  <c r="AH428" i="13"/>
  <c r="G426" i="13"/>
  <c r="AH427" i="13"/>
  <c r="AH426" i="13"/>
  <c r="G420" i="13"/>
  <c r="W420" i="13" s="1"/>
  <c r="G419" i="13"/>
  <c r="AH420" i="13"/>
  <c r="G418" i="13"/>
  <c r="AH419" i="13"/>
  <c r="G417" i="13"/>
  <c r="G422" i="13" s="1"/>
  <c r="AH418" i="13"/>
  <c r="G416" i="13"/>
  <c r="AH417" i="13"/>
  <c r="W415" i="13"/>
  <c r="G415" i="13"/>
  <c r="AH416" i="13"/>
  <c r="AH415" i="13"/>
  <c r="AH422" i="13" s="1"/>
  <c r="G410" i="13"/>
  <c r="G409" i="13"/>
  <c r="AH410" i="13"/>
  <c r="G408" i="13"/>
  <c r="AH409" i="13"/>
  <c r="G407" i="13"/>
  <c r="AH408" i="13"/>
  <c r="G406" i="13"/>
  <c r="AH407" i="13"/>
  <c r="G405" i="13"/>
  <c r="AH406" i="13"/>
  <c r="G404" i="13"/>
  <c r="AH405" i="13"/>
  <c r="G403" i="13"/>
  <c r="AH404" i="13"/>
  <c r="G402" i="13"/>
  <c r="AH403" i="13"/>
  <c r="G401" i="13"/>
  <c r="AH402" i="13"/>
  <c r="G400" i="13"/>
  <c r="AH401" i="13"/>
  <c r="G399" i="13"/>
  <c r="AH400" i="13"/>
  <c r="G398" i="13"/>
  <c r="AH399" i="13"/>
  <c r="G397" i="13"/>
  <c r="AH398" i="13"/>
  <c r="G396" i="13"/>
  <c r="AH397" i="13"/>
  <c r="G395" i="13"/>
  <c r="AH396" i="13"/>
  <c r="G394" i="13"/>
  <c r="AH395" i="13"/>
  <c r="G393" i="13"/>
  <c r="AH394" i="13"/>
  <c r="G392" i="13"/>
  <c r="AH393" i="13"/>
  <c r="G391" i="13"/>
  <c r="AH392" i="13"/>
  <c r="G390" i="13"/>
  <c r="AH391" i="13"/>
  <c r="G389" i="13"/>
  <c r="AH390" i="13"/>
  <c r="G388" i="13"/>
  <c r="AH389" i="13"/>
  <c r="G387" i="13"/>
  <c r="AH388" i="13"/>
  <c r="G386" i="13"/>
  <c r="AH387" i="13"/>
  <c r="G385" i="13"/>
  <c r="AH386" i="13"/>
  <c r="G384" i="13"/>
  <c r="AH385" i="13"/>
  <c r="G383" i="13"/>
  <c r="AH384" i="13"/>
  <c r="AH383" i="13"/>
  <c r="G381" i="13"/>
  <c r="G380" i="13"/>
  <c r="AH381" i="13"/>
  <c r="G379" i="13"/>
  <c r="AH380" i="13"/>
  <c r="G378" i="13"/>
  <c r="AH379" i="13"/>
  <c r="G377" i="13"/>
  <c r="AH378" i="13"/>
  <c r="G376" i="13"/>
  <c r="AH377" i="13"/>
  <c r="G375" i="13"/>
  <c r="AH376" i="13"/>
  <c r="G374" i="13"/>
  <c r="AH375" i="13"/>
  <c r="G373" i="13"/>
  <c r="AH374" i="13"/>
  <c r="G372" i="13"/>
  <c r="AH373" i="13"/>
  <c r="G371" i="13"/>
  <c r="AH372" i="13"/>
  <c r="G370" i="13"/>
  <c r="AH371" i="13"/>
  <c r="G369" i="13"/>
  <c r="AH370" i="13"/>
  <c r="G368" i="13"/>
  <c r="AH369" i="13"/>
  <c r="G367" i="13"/>
  <c r="AH368" i="13"/>
  <c r="G366" i="13"/>
  <c r="AH367" i="13"/>
  <c r="G365" i="13"/>
  <c r="AH366" i="13"/>
  <c r="G364" i="13"/>
  <c r="AH365" i="13"/>
  <c r="G363" i="13"/>
  <c r="AH364" i="13"/>
  <c r="G362" i="13"/>
  <c r="AH363" i="13"/>
  <c r="G361" i="13"/>
  <c r="AH362" i="13"/>
  <c r="G360" i="13"/>
  <c r="AH361" i="13"/>
  <c r="AH360" i="13"/>
  <c r="G358" i="13"/>
  <c r="G357" i="13"/>
  <c r="AH358" i="13"/>
  <c r="G356" i="13"/>
  <c r="AH357" i="13"/>
  <c r="G355" i="13"/>
  <c r="AH356" i="13"/>
  <c r="G354" i="13"/>
  <c r="AH355" i="13"/>
  <c r="G353" i="13"/>
  <c r="AH354" i="13"/>
  <c r="G352" i="13"/>
  <c r="AH353" i="13"/>
  <c r="G351" i="13"/>
  <c r="AH352" i="13"/>
  <c r="G350" i="13"/>
  <c r="AH351" i="13"/>
  <c r="G349" i="13"/>
  <c r="AH350" i="13"/>
  <c r="G348" i="13"/>
  <c r="AH349" i="13"/>
  <c r="G347" i="13"/>
  <c r="AH348" i="13"/>
  <c r="G346" i="13"/>
  <c r="AH347" i="13"/>
  <c r="G345" i="13"/>
  <c r="AH346" i="13"/>
  <c r="G344" i="13"/>
  <c r="AH345" i="13"/>
  <c r="G343" i="13"/>
  <c r="AH344" i="13"/>
  <c r="G342" i="13"/>
  <c r="AH343" i="13"/>
  <c r="G341" i="13"/>
  <c r="AH342" i="13"/>
  <c r="G340" i="13"/>
  <c r="AH341" i="13"/>
  <c r="G339" i="13"/>
  <c r="AH340" i="13"/>
  <c r="G338" i="13"/>
  <c r="AH339" i="13"/>
  <c r="AH412" i="13" s="1"/>
  <c r="AH338" i="13"/>
  <c r="G335" i="13"/>
  <c r="AH335" i="13"/>
  <c r="F333" i="13"/>
  <c r="G333" i="13" s="1"/>
  <c r="AG333" i="13"/>
  <c r="AH333" i="13" s="1"/>
  <c r="G331" i="13"/>
  <c r="E330" i="13"/>
  <c r="G330" i="13" s="1"/>
  <c r="AH331" i="13"/>
  <c r="G329" i="13"/>
  <c r="AF330" i="13"/>
  <c r="AH330" i="13" s="1"/>
  <c r="G328" i="13"/>
  <c r="AH329" i="13"/>
  <c r="AH328" i="13"/>
  <c r="G325" i="13"/>
  <c r="AH325" i="13"/>
  <c r="G324" i="13"/>
  <c r="AH324" i="13"/>
  <c r="G322" i="13"/>
  <c r="AH322" i="13"/>
  <c r="G320" i="13"/>
  <c r="AH320" i="13"/>
  <c r="G319" i="13"/>
  <c r="AH319" i="13"/>
  <c r="G318" i="13"/>
  <c r="AH318" i="13"/>
  <c r="G317" i="13"/>
  <c r="AH317" i="13"/>
  <c r="AH316" i="13"/>
  <c r="G316" i="13"/>
  <c r="AH315" i="13"/>
  <c r="G315" i="13"/>
  <c r="AH313" i="13"/>
  <c r="G313" i="13"/>
  <c r="AH312" i="13"/>
  <c r="G312" i="13"/>
  <c r="AH311" i="13"/>
  <c r="G311" i="13"/>
  <c r="AH310" i="13"/>
  <c r="G310" i="13"/>
  <c r="AH309" i="13"/>
  <c r="G309" i="13"/>
  <c r="AH307" i="13"/>
  <c r="G307" i="13"/>
  <c r="AH306" i="13"/>
  <c r="AC306" i="13"/>
  <c r="AC307" i="13" s="1"/>
  <c r="AC308" i="13" s="1"/>
  <c r="G306" i="13"/>
  <c r="AH305" i="13"/>
  <c r="G305" i="13"/>
  <c r="AH304" i="13"/>
  <c r="G304" i="13"/>
  <c r="AH303" i="13"/>
  <c r="G303" i="13"/>
  <c r="AH302" i="13"/>
  <c r="G302" i="13"/>
  <c r="AH301" i="13"/>
  <c r="G301" i="13"/>
  <c r="AH300" i="13"/>
  <c r="G300" i="13"/>
  <c r="G299" i="13"/>
  <c r="AH298" i="13"/>
  <c r="G298" i="13"/>
  <c r="AH296" i="13"/>
  <c r="G296" i="13"/>
  <c r="AH295" i="13"/>
  <c r="G295" i="13"/>
  <c r="AH293" i="13"/>
  <c r="G293" i="13"/>
  <c r="AG292" i="13"/>
  <c r="AH292" i="13" s="1"/>
  <c r="F292" i="13"/>
  <c r="G292" i="13" s="1"/>
  <c r="AH291" i="13"/>
  <c r="G291" i="13"/>
  <c r="AH290" i="13"/>
  <c r="G290" i="13"/>
  <c r="AH289" i="13"/>
  <c r="G289" i="13"/>
  <c r="AH288" i="13"/>
  <c r="G288" i="13"/>
  <c r="AH286" i="13"/>
  <c r="G286" i="13"/>
  <c r="AH284" i="13"/>
  <c r="G284" i="13"/>
  <c r="AH277" i="13"/>
  <c r="AH276" i="13"/>
  <c r="AH275" i="13"/>
  <c r="AH274" i="13"/>
  <c r="AH273" i="13"/>
  <c r="AC273" i="13"/>
  <c r="AC274" i="13" s="1"/>
  <c r="AC275" i="13" s="1"/>
  <c r="AC276" i="13" s="1"/>
  <c r="AC277" i="13" s="1"/>
  <c r="X273" i="13"/>
  <c r="B273" i="13"/>
  <c r="B274" i="13" s="1"/>
  <c r="B275" i="13" s="1"/>
  <c r="B276" i="13" s="1"/>
  <c r="B277" i="13" s="1"/>
  <c r="AH272" i="13"/>
  <c r="AH271" i="13"/>
  <c r="W271" i="13"/>
  <c r="X271" i="13" s="1"/>
  <c r="AH270" i="13"/>
  <c r="AH269" i="13"/>
  <c r="AH268" i="13"/>
  <c r="AH267" i="13"/>
  <c r="AH279" i="13" s="1"/>
  <c r="AH266" i="13"/>
  <c r="AH263" i="13"/>
  <c r="G263" i="13"/>
  <c r="AH262" i="13"/>
  <c r="AH261" i="13"/>
  <c r="AH260" i="13"/>
  <c r="AF259" i="13"/>
  <c r="AH259" i="13" s="1"/>
  <c r="AC259" i="13"/>
  <c r="AC260" i="13" s="1"/>
  <c r="AC261" i="13" s="1"/>
  <c r="AC262" i="13" s="1"/>
  <c r="AC266" i="13" s="1"/>
  <c r="AC267" i="13" s="1"/>
  <c r="AC268" i="13" s="1"/>
  <c r="E259" i="13"/>
  <c r="G259" i="13" s="1"/>
  <c r="B259" i="13"/>
  <c r="B260" i="13" s="1"/>
  <c r="B261" i="13" s="1"/>
  <c r="B262" i="13" s="1"/>
  <c r="B266" i="13" s="1"/>
  <c r="B267" i="13" s="1"/>
  <c r="B268" i="13" s="1"/>
  <c r="AH258" i="13"/>
  <c r="G258" i="13"/>
  <c r="G264" i="13" s="1"/>
  <c r="AH255" i="13"/>
  <c r="G255" i="13"/>
  <c r="AH250" i="13"/>
  <c r="G250" i="13"/>
  <c r="AH249" i="13"/>
  <c r="G249" i="13"/>
  <c r="AH248" i="13"/>
  <c r="G248" i="13"/>
  <c r="AH247" i="13"/>
  <c r="G247" i="13"/>
  <c r="AH246" i="13"/>
  <c r="G246" i="13"/>
  <c r="AH245" i="13"/>
  <c r="G245" i="13"/>
  <c r="AH244" i="13"/>
  <c r="G244" i="13"/>
  <c r="AH243" i="13"/>
  <c r="G243" i="13"/>
  <c r="AH242" i="13"/>
  <c r="G242" i="13"/>
  <c r="AH241" i="13"/>
  <c r="G241" i="13"/>
  <c r="AH240" i="13"/>
  <c r="G240" i="13"/>
  <c r="AH239" i="13"/>
  <c r="G239" i="13"/>
  <c r="AH238" i="13"/>
  <c r="G238" i="13"/>
  <c r="AH237" i="13"/>
  <c r="X237" i="13"/>
  <c r="Z237" i="13" s="1"/>
  <c r="G237" i="13"/>
  <c r="AH236" i="13"/>
  <c r="X236" i="13"/>
  <c r="Z236" i="13" s="1"/>
  <c r="G236" i="13"/>
  <c r="AH235" i="13"/>
  <c r="X235" i="13"/>
  <c r="Z235" i="13" s="1"/>
  <c r="G235" i="13"/>
  <c r="AH234" i="13"/>
  <c r="X234" i="13"/>
  <c r="Z234" i="13" s="1"/>
  <c r="G234" i="13"/>
  <c r="AH233" i="13"/>
  <c r="G233" i="13"/>
  <c r="AH232" i="13"/>
  <c r="X232" i="13"/>
  <c r="Z232" i="13" s="1"/>
  <c r="G232" i="13"/>
  <c r="AH231" i="13"/>
  <c r="X231" i="13"/>
  <c r="Z231" i="13" s="1"/>
  <c r="G231" i="13"/>
  <c r="AH230" i="13"/>
  <c r="G230" i="13"/>
  <c r="AH229" i="13"/>
  <c r="G229" i="13"/>
  <c r="AH228" i="13"/>
  <c r="G228" i="13"/>
  <c r="AH227" i="13"/>
  <c r="AH252" i="13" s="1"/>
  <c r="G227" i="13"/>
  <c r="AH226" i="13"/>
  <c r="AC226" i="13"/>
  <c r="AC227" i="13" s="1"/>
  <c r="AC228" i="13" s="1"/>
  <c r="AC229" i="13" s="1"/>
  <c r="AC230" i="13" s="1"/>
  <c r="AC231" i="13" s="1"/>
  <c r="AC232" i="13" s="1"/>
  <c r="AC233" i="13" s="1"/>
  <c r="AC234" i="13" s="1"/>
  <c r="AC235" i="13" s="1"/>
  <c r="AC236" i="13" s="1"/>
  <c r="AC237" i="13" s="1"/>
  <c r="AC238" i="13" s="1"/>
  <c r="AC239" i="13" s="1"/>
  <c r="AC240" i="13" s="1"/>
  <c r="AC241" i="13" s="1"/>
  <c r="AC242" i="13" s="1"/>
  <c r="AC243" i="13" s="1"/>
  <c r="AC244" i="13" s="1"/>
  <c r="AC245" i="13" s="1"/>
  <c r="AC246" i="13" s="1"/>
  <c r="AC247" i="13" s="1"/>
  <c r="AC248" i="13" s="1"/>
  <c r="AC249" i="13" s="1"/>
  <c r="AC250" i="13" s="1"/>
  <c r="G226" i="13"/>
  <c r="B226" i="13"/>
  <c r="B227" i="13" s="1"/>
  <c r="B228" i="13" s="1"/>
  <c r="B229" i="13" s="1"/>
  <c r="B230" i="13" s="1"/>
  <c r="B231" i="13" s="1"/>
  <c r="B232" i="13" s="1"/>
  <c r="B233" i="13" s="1"/>
  <c r="B234" i="13" s="1"/>
  <c r="B235" i="13" s="1"/>
  <c r="B236" i="13" s="1"/>
  <c r="B237" i="13" s="1"/>
  <c r="B238" i="13" s="1"/>
  <c r="B239" i="13" s="1"/>
  <c r="B240" i="13" s="1"/>
  <c r="B241" i="13" s="1"/>
  <c r="B242" i="13" s="1"/>
  <c r="B243" i="13" s="1"/>
  <c r="B244" i="13" s="1"/>
  <c r="B245" i="13" s="1"/>
  <c r="B246" i="13" s="1"/>
  <c r="B247" i="13" s="1"/>
  <c r="B248" i="13" s="1"/>
  <c r="B249" i="13" s="1"/>
  <c r="B250" i="13" s="1"/>
  <c r="AH225" i="13"/>
  <c r="G225" i="13"/>
  <c r="G252" i="13" s="1"/>
  <c r="AH223" i="13"/>
  <c r="G223" i="13"/>
  <c r="AH220" i="13"/>
  <c r="AH219" i="13"/>
  <c r="AH218" i="13"/>
  <c r="AH217" i="13"/>
  <c r="AH216" i="13"/>
  <c r="AH215" i="13"/>
  <c r="AH214" i="13"/>
  <c r="AH213" i="13"/>
  <c r="AH212" i="13"/>
  <c r="AH211" i="13"/>
  <c r="AC211" i="13"/>
  <c r="AC212" i="13" s="1"/>
  <c r="AC213" i="13" s="1"/>
  <c r="AC214" i="13" s="1"/>
  <c r="AC215" i="13" s="1"/>
  <c r="AC216" i="13" s="1"/>
  <c r="AC217" i="13" s="1"/>
  <c r="AC218" i="13" s="1"/>
  <c r="B211" i="13"/>
  <c r="B213" i="13" s="1"/>
  <c r="B214" i="13" s="1"/>
  <c r="B215" i="13" s="1"/>
  <c r="B216" i="13" s="1"/>
  <c r="B217" i="13" s="1"/>
  <c r="B218" i="13" s="1"/>
  <c r="B219" i="13" s="1"/>
  <c r="B220" i="13" s="1"/>
  <c r="AH210" i="13"/>
  <c r="G210" i="13"/>
  <c r="AH202" i="13"/>
  <c r="AH201" i="13"/>
  <c r="AH200" i="13"/>
  <c r="AH199" i="13"/>
  <c r="AH198" i="13"/>
  <c r="AH197" i="13"/>
  <c r="AH196" i="13"/>
  <c r="AH195" i="13"/>
  <c r="AH194" i="13"/>
  <c r="AH193" i="13"/>
  <c r="AH192" i="13"/>
  <c r="AH191" i="13"/>
  <c r="AH190" i="13"/>
  <c r="AC190" i="13"/>
  <c r="AC191" i="13" s="1"/>
  <c r="AC192" i="13" s="1"/>
  <c r="AC193" i="13" s="1"/>
  <c r="AC194" i="13" s="1"/>
  <c r="AC195" i="13" s="1"/>
  <c r="AC196" i="13" s="1"/>
  <c r="AC197" i="13" s="1"/>
  <c r="AC198" i="13" s="1"/>
  <c r="AC199" i="13" s="1"/>
  <c r="AC200" i="13" s="1"/>
  <c r="AC201" i="13" s="1"/>
  <c r="AC202" i="13" s="1"/>
  <c r="B190" i="13"/>
  <c r="B191" i="13" s="1"/>
  <c r="B192" i="13" s="1"/>
  <c r="B193" i="13" s="1"/>
  <c r="B194" i="13" s="1"/>
  <c r="B195" i="13" s="1"/>
  <c r="B196" i="13" s="1"/>
  <c r="B197" i="13" s="1"/>
  <c r="B198" i="13" s="1"/>
  <c r="B199" i="13" s="1"/>
  <c r="B200" i="13" s="1"/>
  <c r="B201" i="13" s="1"/>
  <c r="B202" i="13" s="1"/>
  <c r="AH189" i="13"/>
  <c r="AH188" i="13"/>
  <c r="AH204" i="13" s="1"/>
  <c r="AH183" i="13"/>
  <c r="AH182" i="13"/>
  <c r="AH181" i="13"/>
  <c r="AH180" i="13"/>
  <c r="AH179" i="13"/>
  <c r="AG178" i="13"/>
  <c r="AH178" i="13" s="1"/>
  <c r="F178" i="13"/>
  <c r="G178" i="13" s="1"/>
  <c r="AH177" i="13"/>
  <c r="AH176" i="13"/>
  <c r="AH175" i="13"/>
  <c r="AC175" i="13"/>
  <c r="AC176" i="13"/>
  <c r="AC177" i="13" s="1"/>
  <c r="AC178" i="13" s="1"/>
  <c r="AC179" i="13" s="1"/>
  <c r="B175" i="13"/>
  <c r="B176" i="13"/>
  <c r="B177" i="13" s="1"/>
  <c r="B178" i="13" s="1"/>
  <c r="AH174" i="13"/>
  <c r="AH185" i="13" s="1"/>
  <c r="G174" i="13"/>
  <c r="G185" i="13" s="1"/>
  <c r="AH165" i="13"/>
  <c r="Y165" i="13"/>
  <c r="AH164" i="13"/>
  <c r="AG163" i="13"/>
  <c r="AH163" i="13" s="1"/>
  <c r="X163" i="13"/>
  <c r="F163" i="13"/>
  <c r="G163" i="13" s="1"/>
  <c r="AH162" i="13"/>
  <c r="AH161" i="13"/>
  <c r="AH160" i="13"/>
  <c r="AH159" i="13"/>
  <c r="AH158" i="13"/>
  <c r="AH157" i="13"/>
  <c r="AH156" i="13"/>
  <c r="W156" i="13"/>
  <c r="Y156" i="13" s="1"/>
  <c r="AH155" i="13"/>
  <c r="Y155" i="13"/>
  <c r="AH154" i="13"/>
  <c r="Y154" i="13"/>
  <c r="AH153" i="13"/>
  <c r="AC153" i="13"/>
  <c r="AC154" i="13" s="1"/>
  <c r="AC155" i="13" s="1"/>
  <c r="AC156" i="13" s="1"/>
  <c r="AC157" i="13" s="1"/>
  <c r="AC158" i="13" s="1"/>
  <c r="AC159" i="13" s="1"/>
  <c r="AC160" i="13" s="1"/>
  <c r="AC161" i="13" s="1"/>
  <c r="AC162" i="13" s="1"/>
  <c r="AC163" i="13" s="1"/>
  <c r="AC164" i="13" s="1"/>
  <c r="AC165" i="13" s="1"/>
  <c r="Y153" i="13"/>
  <c r="B153" i="13"/>
  <c r="B154" i="13" s="1"/>
  <c r="B155" i="13" s="1"/>
  <c r="B156" i="13" s="1"/>
  <c r="B157" i="13" s="1"/>
  <c r="B158" i="13" s="1"/>
  <c r="B159" i="13" s="1"/>
  <c r="B160" i="13" s="1"/>
  <c r="B161" i="13" s="1"/>
  <c r="B162" i="13" s="1"/>
  <c r="B163" i="13" s="1"/>
  <c r="B164" i="13" s="1"/>
  <c r="B165" i="13" s="1"/>
  <c r="AH152" i="13"/>
  <c r="Y152" i="13"/>
  <c r="AH151" i="13"/>
  <c r="X151" i="13"/>
  <c r="Z151" i="13" s="1"/>
  <c r="AH150" i="13"/>
  <c r="X150" i="13"/>
  <c r="Z150" i="13" s="1"/>
  <c r="AH149" i="13"/>
  <c r="X149" i="13"/>
  <c r="Z149" i="13" s="1"/>
  <c r="AH148" i="13"/>
  <c r="X148" i="13"/>
  <c r="Z148" i="13" s="1"/>
  <c r="AH147" i="13"/>
  <c r="X147" i="13"/>
  <c r="Z147" i="13" s="1"/>
  <c r="AH146" i="13"/>
  <c r="AH167" i="13" s="1"/>
  <c r="X146" i="13"/>
  <c r="Z146" i="13" s="1"/>
  <c r="AH145" i="13"/>
  <c r="G145" i="13"/>
  <c r="AH143" i="13"/>
  <c r="G143" i="13"/>
  <c r="AH140" i="13"/>
  <c r="AG139" i="13"/>
  <c r="AH139" i="13" s="1"/>
  <c r="F139" i="13"/>
  <c r="G139" i="13" s="1"/>
  <c r="AH138" i="13"/>
  <c r="AH137" i="13"/>
  <c r="AH136" i="13"/>
  <c r="AH135" i="13"/>
  <c r="AH134" i="13"/>
  <c r="AC134" i="13"/>
  <c r="AC135" i="13" s="1"/>
  <c r="AC136" i="13" s="1"/>
  <c r="AC137" i="13" s="1"/>
  <c r="AC138" i="13" s="1"/>
  <c r="AC139" i="13" s="1"/>
  <c r="AC140" i="13" s="1"/>
  <c r="B134" i="13"/>
  <c r="B135" i="13" s="1"/>
  <c r="B136" i="13" s="1"/>
  <c r="B137" i="13" s="1"/>
  <c r="B138" i="13" s="1"/>
  <c r="B139" i="13" s="1"/>
  <c r="B140" i="13" s="1"/>
  <c r="AH133" i="13"/>
  <c r="G133" i="13"/>
  <c r="AH125" i="13"/>
  <c r="G125" i="13"/>
  <c r="AH124" i="13"/>
  <c r="AH123" i="13"/>
  <c r="AH122" i="13"/>
  <c r="AH121" i="13"/>
  <c r="W121" i="13"/>
  <c r="AH120" i="13"/>
  <c r="W120" i="13"/>
  <c r="AH119" i="13"/>
  <c r="AH118" i="13"/>
  <c r="AH117" i="13"/>
  <c r="AH116" i="13"/>
  <c r="AH115" i="13"/>
  <c r="AH114" i="13"/>
  <c r="AH113" i="13"/>
  <c r="AH112" i="13"/>
  <c r="AH111" i="13"/>
  <c r="AH110" i="13"/>
  <c r="AH109" i="13"/>
  <c r="AH108" i="13"/>
  <c r="AH107" i="13"/>
  <c r="G107" i="13"/>
  <c r="AH106" i="13"/>
  <c r="G106" i="13"/>
  <c r="AH105" i="13"/>
  <c r="W105" i="13"/>
  <c r="G105" i="13"/>
  <c r="AH104" i="13"/>
  <c r="W104" i="13"/>
  <c r="G104" i="13"/>
  <c r="AH103" i="13"/>
  <c r="AC103" i="13"/>
  <c r="AC104" i="13" s="1"/>
  <c r="AC105" i="13" s="1"/>
  <c r="AC106" i="13" s="1"/>
  <c r="AC107" i="13" s="1"/>
  <c r="AC108" i="13" s="1"/>
  <c r="AC109" i="13" s="1"/>
  <c r="AC110" i="13" s="1"/>
  <c r="AC111" i="13" s="1"/>
  <c r="AC112" i="13" s="1"/>
  <c r="AC113" i="13" s="1"/>
  <c r="AC114" i="13" s="1"/>
  <c r="AC115" i="13" s="1"/>
  <c r="AC116" i="13" s="1"/>
  <c r="AC117" i="13" s="1"/>
  <c r="AC118" i="13" s="1"/>
  <c r="AC119" i="13" s="1"/>
  <c r="AC120" i="13" s="1"/>
  <c r="AC121" i="13" s="1"/>
  <c r="AC122" i="13" s="1"/>
  <c r="AC123" i="13" s="1"/>
  <c r="AC124" i="13" s="1"/>
  <c r="X103" i="13"/>
  <c r="G103" i="13"/>
  <c r="B103" i="13"/>
  <c r="B104" i="13" s="1"/>
  <c r="B105" i="13" s="1"/>
  <c r="B106" i="13" s="1"/>
  <c r="B107" i="13" s="1"/>
  <c r="B108" i="13" s="1"/>
  <c r="B109" i="13" s="1"/>
  <c r="B110" i="13" s="1"/>
  <c r="B111" i="13" s="1"/>
  <c r="B112" i="13" s="1"/>
  <c r="B113" i="13" s="1"/>
  <c r="B114" i="13" s="1"/>
  <c r="B115" i="13" s="1"/>
  <c r="B116" i="13" s="1"/>
  <c r="B117" i="13" s="1"/>
  <c r="B118" i="13" s="1"/>
  <c r="B119" i="13" s="1"/>
  <c r="B120" i="13" s="1"/>
  <c r="B121" i="13" s="1"/>
  <c r="B122" i="13" s="1"/>
  <c r="B123" i="13" s="1"/>
  <c r="B124" i="13" s="1"/>
  <c r="AH102" i="13"/>
  <c r="X102" i="13"/>
  <c r="G102" i="13"/>
  <c r="AH101" i="13"/>
  <c r="AC101" i="13"/>
  <c r="X101" i="13"/>
  <c r="G101" i="13"/>
  <c r="G127" i="13" s="1"/>
  <c r="B101" i="13"/>
  <c r="AG95" i="13"/>
  <c r="AH95" i="13" s="1"/>
  <c r="F95" i="13"/>
  <c r="G95" i="13" s="1"/>
  <c r="AH94" i="13"/>
  <c r="G94" i="13"/>
  <c r="AH93" i="13"/>
  <c r="G93" i="13"/>
  <c r="AH92" i="13"/>
  <c r="G92" i="13"/>
  <c r="AH91" i="13"/>
  <c r="G91" i="13"/>
  <c r="AH90" i="13"/>
  <c r="AC90" i="13"/>
  <c r="AC91" i="13" s="1"/>
  <c r="AC92" i="13" s="1"/>
  <c r="AC93" i="13" s="1"/>
  <c r="AC94" i="13" s="1"/>
  <c r="AC95" i="13" s="1"/>
  <c r="G90" i="13"/>
  <c r="B90" i="13"/>
  <c r="B91" i="13" s="1"/>
  <c r="B92" i="13" s="1"/>
  <c r="B93" i="13" s="1"/>
  <c r="B94" i="13" s="1"/>
  <c r="B95" i="13" s="1"/>
  <c r="AH89" i="13"/>
  <c r="G89" i="13"/>
  <c r="AH80" i="13"/>
  <c r="AC80" i="13"/>
  <c r="G80" i="13"/>
  <c r="B80" i="13"/>
  <c r="AH79" i="13"/>
  <c r="G79" i="13"/>
  <c r="AH78" i="13"/>
  <c r="AH77" i="13"/>
  <c r="AH76" i="13"/>
  <c r="AH75" i="13"/>
  <c r="X75" i="13"/>
  <c r="AH74" i="13"/>
  <c r="X74" i="13"/>
  <c r="AH73" i="13"/>
  <c r="X73" i="13"/>
  <c r="G73" i="13"/>
  <c r="AH72" i="13"/>
  <c r="G72" i="13"/>
  <c r="AH71" i="13"/>
  <c r="AH70" i="13"/>
  <c r="AH69" i="13"/>
  <c r="AH68" i="13"/>
  <c r="AH67" i="13"/>
  <c r="AH66" i="13"/>
  <c r="W66" i="13"/>
  <c r="AH65" i="13"/>
  <c r="W65" i="13"/>
  <c r="AH64" i="13"/>
  <c r="AH63" i="13"/>
  <c r="AH62" i="13"/>
  <c r="AH61" i="13"/>
  <c r="AC61" i="13"/>
  <c r="AC62" i="13" s="1"/>
  <c r="AC63" i="13" s="1"/>
  <c r="AC64" i="13" s="1"/>
  <c r="AC65" i="13" s="1"/>
  <c r="AC66" i="13" s="1"/>
  <c r="AC67" i="13" s="1"/>
  <c r="AC68" i="13" s="1"/>
  <c r="AC69" i="13" s="1"/>
  <c r="AC70" i="13" s="1"/>
  <c r="AC71" i="13" s="1"/>
  <c r="AC72" i="13" s="1"/>
  <c r="B61" i="13"/>
  <c r="B62" i="13"/>
  <c r="B63" i="13" s="1"/>
  <c r="B64" i="13" s="1"/>
  <c r="B65" i="13" s="1"/>
  <c r="B66" i="13" s="1"/>
  <c r="B67" i="13" s="1"/>
  <c r="B68" i="13" s="1"/>
  <c r="B69" i="13" s="1"/>
  <c r="B70" i="13" s="1"/>
  <c r="B71" i="13" s="1"/>
  <c r="B72" i="13" s="1"/>
  <c r="AH60" i="13"/>
  <c r="AH59" i="13"/>
  <c r="AH58" i="13"/>
  <c r="G58" i="13"/>
  <c r="AH54" i="13"/>
  <c r="AH53" i="13"/>
  <c r="AH52" i="13"/>
  <c r="AH51" i="13"/>
  <c r="AH50" i="13"/>
  <c r="AH49" i="13"/>
  <c r="AC49" i="13"/>
  <c r="AC50" i="13"/>
  <c r="AC51" i="13" s="1"/>
  <c r="AC52" i="13" s="1"/>
  <c r="AC53" i="13" s="1"/>
  <c r="AC54" i="13" s="1"/>
  <c r="B49" i="13"/>
  <c r="B50" i="13" s="1"/>
  <c r="B51" i="13" s="1"/>
  <c r="B52" i="13" s="1"/>
  <c r="B53" i="13" s="1"/>
  <c r="B54" i="13" s="1"/>
  <c r="AH48" i="13"/>
  <c r="G48" i="13"/>
  <c r="AH40" i="13"/>
  <c r="AH39" i="13"/>
  <c r="AH38" i="13"/>
  <c r="AH37" i="13"/>
  <c r="AH36" i="13"/>
  <c r="AF35" i="13"/>
  <c r="AH35" i="13" s="1"/>
  <c r="AC35" i="13"/>
  <c r="AC36" i="13" s="1"/>
  <c r="AC37" i="13" s="1"/>
  <c r="AC38" i="13" s="1"/>
  <c r="AC39" i="13" s="1"/>
  <c r="AC40" i="13" s="1"/>
  <c r="E35" i="13"/>
  <c r="G35" i="13" s="1"/>
  <c r="B35" i="13"/>
  <c r="B36" i="13" s="1"/>
  <c r="B37" i="13" s="1"/>
  <c r="B38" i="13" s="1"/>
  <c r="B39" i="13" s="1"/>
  <c r="B40" i="13" s="1"/>
  <c r="AH34" i="13"/>
  <c r="G34" i="13"/>
  <c r="AH29" i="13"/>
  <c r="G29" i="13"/>
  <c r="AH28" i="13"/>
  <c r="G28" i="13"/>
  <c r="AH27" i="13"/>
  <c r="AC27" i="13"/>
  <c r="AC28" i="13" s="1"/>
  <c r="AC29" i="13" s="1"/>
  <c r="W27" i="13"/>
  <c r="G27" i="13"/>
  <c r="B27" i="13"/>
  <c r="B28" i="13" s="1"/>
  <c r="B29" i="13" s="1"/>
  <c r="AH26" i="13"/>
  <c r="G26" i="13"/>
  <c r="E23" i="13"/>
  <c r="G23" i="13" s="1"/>
  <c r="E21" i="13"/>
  <c r="G21" i="13" s="1"/>
  <c r="E20" i="13"/>
  <c r="E22" i="13" s="1"/>
  <c r="G22" i="13" s="1"/>
  <c r="G14" i="13"/>
  <c r="G13" i="13"/>
  <c r="AM281" i="13"/>
  <c r="G412" i="13"/>
  <c r="G56" i="13"/>
  <c r="G222" i="13"/>
  <c r="B180" i="13"/>
  <c r="B181" i="13" s="1"/>
  <c r="B182" i="13" s="1"/>
  <c r="B183" i="13" s="1"/>
  <c r="B179" i="13"/>
  <c r="G83" i="13"/>
  <c r="B212" i="13"/>
  <c r="G479" i="13"/>
  <c r="AH509" i="12"/>
  <c r="AI499" i="12"/>
  <c r="AI498" i="12"/>
  <c r="AI497" i="12"/>
  <c r="AG496" i="12"/>
  <c r="AI496" i="12" s="1"/>
  <c r="AI495" i="12"/>
  <c r="AI486" i="12"/>
  <c r="AI490" i="12"/>
  <c r="AI480" i="12"/>
  <c r="AI477" i="12"/>
  <c r="AI475" i="12"/>
  <c r="AI474" i="12"/>
  <c r="AI472" i="12"/>
  <c r="AI471" i="12"/>
  <c r="AI469" i="12"/>
  <c r="AI468" i="12"/>
  <c r="AI467" i="12"/>
  <c r="AI465" i="12"/>
  <c r="AI464" i="12"/>
  <c r="AI463" i="12"/>
  <c r="AI461" i="12"/>
  <c r="AI460" i="12"/>
  <c r="AI459" i="12"/>
  <c r="AI457" i="12"/>
  <c r="AI456" i="12"/>
  <c r="AI455" i="12"/>
  <c r="AI454" i="12"/>
  <c r="AI453" i="12"/>
  <c r="AI451" i="12"/>
  <c r="AI450" i="12"/>
  <c r="AI449" i="12"/>
  <c r="AI448" i="12"/>
  <c r="AI447" i="12"/>
  <c r="AI446" i="12"/>
  <c r="AI445" i="12"/>
  <c r="AI444" i="12"/>
  <c r="AI443" i="12"/>
  <c r="AI442" i="12"/>
  <c r="AI437" i="12"/>
  <c r="AI436" i="12"/>
  <c r="AI435" i="12"/>
  <c r="AI434" i="12"/>
  <c r="AI433" i="12"/>
  <c r="AI432" i="12"/>
  <c r="AG432" i="12"/>
  <c r="AI431" i="12"/>
  <c r="AI430" i="12"/>
  <c r="AI429" i="12"/>
  <c r="AI428" i="12"/>
  <c r="AI427" i="12"/>
  <c r="AI426" i="12"/>
  <c r="AI425" i="12"/>
  <c r="AI419" i="12"/>
  <c r="AI418" i="12"/>
  <c r="AI417" i="12"/>
  <c r="AI416" i="12"/>
  <c r="AI415" i="12"/>
  <c r="AI414" i="12"/>
  <c r="AI409" i="12"/>
  <c r="AI408" i="12"/>
  <c r="AI407" i="12"/>
  <c r="AI406" i="12"/>
  <c r="AI405" i="12"/>
  <c r="AI404" i="12"/>
  <c r="AI403" i="12"/>
  <c r="AI402" i="12"/>
  <c r="AI401" i="12"/>
  <c r="AI400" i="12"/>
  <c r="AI399" i="12"/>
  <c r="AI398" i="12"/>
  <c r="AI397" i="12"/>
  <c r="AI396" i="12"/>
  <c r="AI395" i="12"/>
  <c r="AI394" i="12"/>
  <c r="AI393" i="12"/>
  <c r="AI392" i="12"/>
  <c r="AI391" i="12"/>
  <c r="AI390" i="12"/>
  <c r="AI389" i="12"/>
  <c r="AI388" i="12"/>
  <c r="AI387" i="12"/>
  <c r="AI386" i="12"/>
  <c r="AI385" i="12"/>
  <c r="AI384" i="12"/>
  <c r="AI383" i="12"/>
  <c r="AI382" i="12"/>
  <c r="AI380" i="12"/>
  <c r="AI379" i="12"/>
  <c r="AI378" i="12"/>
  <c r="AI377" i="12"/>
  <c r="AI376" i="12"/>
  <c r="AI375" i="12"/>
  <c r="AI374" i="12"/>
  <c r="AI373" i="12"/>
  <c r="AI372" i="12"/>
  <c r="AI371" i="12"/>
  <c r="AI370" i="12"/>
  <c r="AI369" i="12"/>
  <c r="AI368" i="12"/>
  <c r="AI367" i="12"/>
  <c r="AI366" i="12"/>
  <c r="AI365" i="12"/>
  <c r="AI364" i="12"/>
  <c r="AI363" i="12"/>
  <c r="AI362" i="12"/>
  <c r="AI361" i="12"/>
  <c r="AI360" i="12"/>
  <c r="AI359" i="12"/>
  <c r="AI357" i="12"/>
  <c r="AI356" i="12"/>
  <c r="AI355" i="12"/>
  <c r="AI354" i="12"/>
  <c r="AI353" i="12"/>
  <c r="AI352" i="12"/>
  <c r="AI351" i="12"/>
  <c r="AI350" i="12"/>
  <c r="AI349" i="12"/>
  <c r="AI348" i="12"/>
  <c r="AI347" i="12"/>
  <c r="AI346" i="12"/>
  <c r="AI345" i="12"/>
  <c r="AI344" i="12"/>
  <c r="AI343" i="12"/>
  <c r="AI342" i="12"/>
  <c r="AI341" i="12"/>
  <c r="AI340" i="12"/>
  <c r="AI339" i="12"/>
  <c r="AI338" i="12"/>
  <c r="AI337" i="12"/>
  <c r="AI334" i="12"/>
  <c r="AH332" i="12"/>
  <c r="AI332" i="12" s="1"/>
  <c r="AI330" i="12"/>
  <c r="AG329" i="12"/>
  <c r="AI329" i="12" s="1"/>
  <c r="AI328" i="12"/>
  <c r="AI327" i="12"/>
  <c r="AI325" i="12"/>
  <c r="AI324" i="12"/>
  <c r="AI322" i="12"/>
  <c r="AI320" i="12"/>
  <c r="AI319" i="12"/>
  <c r="AI318" i="12"/>
  <c r="AI317" i="12"/>
  <c r="AI316" i="12"/>
  <c r="AI315" i="12"/>
  <c r="AI313" i="12"/>
  <c r="AI312" i="12"/>
  <c r="AI311" i="12"/>
  <c r="AI310" i="12"/>
  <c r="AI309" i="12"/>
  <c r="AI307" i="12"/>
  <c r="AI306" i="12"/>
  <c r="AC306" i="12"/>
  <c r="AC307" i="12" s="1"/>
  <c r="AC308" i="12" s="1"/>
  <c r="AI305" i="12"/>
  <c r="AI304" i="12"/>
  <c r="AI303" i="12"/>
  <c r="AI302" i="12"/>
  <c r="AI301" i="12"/>
  <c r="AI300" i="12"/>
  <c r="AI298" i="12"/>
  <c r="AI296" i="12"/>
  <c r="AI295" i="12"/>
  <c r="AI293" i="12"/>
  <c r="AH292" i="12"/>
  <c r="AI292" i="12" s="1"/>
  <c r="AI291" i="12"/>
  <c r="AI290" i="12"/>
  <c r="AI289" i="12"/>
  <c r="AI288" i="12"/>
  <c r="AI286" i="12"/>
  <c r="AI284" i="12"/>
  <c r="AI277" i="12"/>
  <c r="AI276" i="12"/>
  <c r="AI275" i="12"/>
  <c r="AI274" i="12"/>
  <c r="AI273" i="12"/>
  <c r="AC273" i="12"/>
  <c r="AC274" i="12" s="1"/>
  <c r="AC275" i="12" s="1"/>
  <c r="AC276" i="12" s="1"/>
  <c r="AC277" i="12" s="1"/>
  <c r="AI272" i="12"/>
  <c r="AI271" i="12"/>
  <c r="AI270" i="12"/>
  <c r="AI269" i="12"/>
  <c r="AI268" i="12"/>
  <c r="AI279" i="12" s="1"/>
  <c r="AI267" i="12"/>
  <c r="AI266" i="12"/>
  <c r="AI263" i="12"/>
  <c r="AI262" i="12"/>
  <c r="AI261" i="12"/>
  <c r="AI260" i="12"/>
  <c r="AG259" i="12"/>
  <c r="AI259" i="12" s="1"/>
  <c r="AC259" i="12"/>
  <c r="AC260" i="12" s="1"/>
  <c r="AC261" i="12" s="1"/>
  <c r="AC262" i="12" s="1"/>
  <c r="AC266" i="12" s="1"/>
  <c r="AC267" i="12" s="1"/>
  <c r="AC268" i="12" s="1"/>
  <c r="AI258" i="12"/>
  <c r="AI255" i="12"/>
  <c r="AI250" i="12"/>
  <c r="AI249" i="12"/>
  <c r="AI248" i="12"/>
  <c r="AI247" i="12"/>
  <c r="AI246" i="12"/>
  <c r="AI245" i="12"/>
  <c r="AI244" i="12"/>
  <c r="AI243" i="12"/>
  <c r="AI242" i="12"/>
  <c r="AI241" i="12"/>
  <c r="AI240" i="12"/>
  <c r="AI239" i="12"/>
  <c r="AI238" i="12"/>
  <c r="AI237" i="12"/>
  <c r="AI236" i="12"/>
  <c r="AI235" i="12"/>
  <c r="AI234" i="12"/>
  <c r="AI233" i="12"/>
  <c r="AI232" i="12"/>
  <c r="AI231" i="12"/>
  <c r="AI230" i="12"/>
  <c r="AI229" i="12"/>
  <c r="AI228" i="12"/>
  <c r="AI227" i="12"/>
  <c r="AI226" i="12"/>
  <c r="AC226" i="12"/>
  <c r="AC227" i="12" s="1"/>
  <c r="AC228" i="12" s="1"/>
  <c r="AC229" i="12" s="1"/>
  <c r="AC230" i="12" s="1"/>
  <c r="AC231" i="12" s="1"/>
  <c r="AC232" i="12" s="1"/>
  <c r="AC233" i="12" s="1"/>
  <c r="AC234" i="12" s="1"/>
  <c r="AC235" i="12" s="1"/>
  <c r="AC236" i="12" s="1"/>
  <c r="AC237" i="12" s="1"/>
  <c r="AC238" i="12" s="1"/>
  <c r="AC239" i="12" s="1"/>
  <c r="AC240" i="12" s="1"/>
  <c r="AC241" i="12" s="1"/>
  <c r="AC242" i="12" s="1"/>
  <c r="AC243" i="12" s="1"/>
  <c r="AC244" i="12" s="1"/>
  <c r="AC245" i="12" s="1"/>
  <c r="AC246" i="12" s="1"/>
  <c r="AC247" i="12" s="1"/>
  <c r="AC248" i="12" s="1"/>
  <c r="AC249" i="12" s="1"/>
  <c r="AC250" i="12" s="1"/>
  <c r="AI225" i="12"/>
  <c r="AI223" i="12"/>
  <c r="AI220" i="12"/>
  <c r="AI219" i="12"/>
  <c r="AI218" i="12"/>
  <c r="AI217" i="12"/>
  <c r="AI216" i="12"/>
  <c r="AI215" i="12"/>
  <c r="AI214" i="12"/>
  <c r="AI213" i="12"/>
  <c r="AI212" i="12"/>
  <c r="AI211" i="12"/>
  <c r="AC211" i="12"/>
  <c r="AC212" i="12" s="1"/>
  <c r="AC213" i="12" s="1"/>
  <c r="AC214" i="12" s="1"/>
  <c r="AC215" i="12" s="1"/>
  <c r="AC216" i="12" s="1"/>
  <c r="AC217" i="12" s="1"/>
  <c r="AC218" i="12" s="1"/>
  <c r="AI210" i="12"/>
  <c r="AI202" i="12"/>
  <c r="AI201" i="12"/>
  <c r="AI200" i="12"/>
  <c r="AI199" i="12"/>
  <c r="AI198" i="12"/>
  <c r="AI197" i="12"/>
  <c r="AI196" i="12"/>
  <c r="AI195" i="12"/>
  <c r="AI194" i="12"/>
  <c r="AI193" i="12"/>
  <c r="AI192" i="12"/>
  <c r="AI191" i="12"/>
  <c r="AI190" i="12"/>
  <c r="AC190" i="12"/>
  <c r="AC191" i="12" s="1"/>
  <c r="AC192" i="12" s="1"/>
  <c r="AC193" i="12" s="1"/>
  <c r="AC194" i="12" s="1"/>
  <c r="AC195" i="12" s="1"/>
  <c r="AC196" i="12" s="1"/>
  <c r="AC197" i="12" s="1"/>
  <c r="AC198" i="12" s="1"/>
  <c r="AC199" i="12" s="1"/>
  <c r="AC200" i="12" s="1"/>
  <c r="AC201" i="12" s="1"/>
  <c r="AC202" i="12" s="1"/>
  <c r="AI189" i="12"/>
  <c r="AI188" i="12"/>
  <c r="AI183" i="12"/>
  <c r="AI182" i="12"/>
  <c r="AI181" i="12"/>
  <c r="AI180" i="12"/>
  <c r="AI179" i="12"/>
  <c r="AH178" i="12"/>
  <c r="AI178" i="12" s="1"/>
  <c r="AI177" i="12"/>
  <c r="AI176" i="12"/>
  <c r="AI175" i="12"/>
  <c r="AC175" i="12"/>
  <c r="AC176" i="12" s="1"/>
  <c r="AC177" i="12" s="1"/>
  <c r="AC178" i="12" s="1"/>
  <c r="AI174" i="12"/>
  <c r="AI165" i="12"/>
  <c r="AI164" i="12"/>
  <c r="AH163" i="12"/>
  <c r="AI163" i="12" s="1"/>
  <c r="AI162" i="12"/>
  <c r="AI161" i="12"/>
  <c r="AI160" i="12"/>
  <c r="AI159" i="12"/>
  <c r="AI158" i="12"/>
  <c r="AI157" i="12"/>
  <c r="AI156" i="12"/>
  <c r="AI155" i="12"/>
  <c r="AI154" i="12"/>
  <c r="AI153" i="12"/>
  <c r="AC153" i="12"/>
  <c r="AC154" i="12" s="1"/>
  <c r="AC155" i="12" s="1"/>
  <c r="AC156" i="12" s="1"/>
  <c r="AC157" i="12" s="1"/>
  <c r="AC158" i="12" s="1"/>
  <c r="AC159" i="12" s="1"/>
  <c r="AC160" i="12" s="1"/>
  <c r="AC161" i="12" s="1"/>
  <c r="AC162" i="12" s="1"/>
  <c r="AC163" i="12" s="1"/>
  <c r="AC164" i="12" s="1"/>
  <c r="AC165" i="12" s="1"/>
  <c r="AI152" i="12"/>
  <c r="AI151" i="12"/>
  <c r="AI150" i="12"/>
  <c r="AI149" i="12"/>
  <c r="AI148" i="12"/>
  <c r="AI147" i="12"/>
  <c r="AI146" i="12"/>
  <c r="AI145" i="12"/>
  <c r="AI143" i="12"/>
  <c r="AI140" i="12"/>
  <c r="AH139" i="12"/>
  <c r="AI139" i="12" s="1"/>
  <c r="AI138" i="12"/>
  <c r="AI137" i="12"/>
  <c r="AI136" i="12"/>
  <c r="AI135" i="12"/>
  <c r="AI134" i="12"/>
  <c r="AC134" i="12"/>
  <c r="AC135" i="12" s="1"/>
  <c r="AC136" i="12" s="1"/>
  <c r="AC137" i="12" s="1"/>
  <c r="AC138" i="12" s="1"/>
  <c r="AC139" i="12" s="1"/>
  <c r="AC140" i="12" s="1"/>
  <c r="AI133" i="12"/>
  <c r="AI125" i="12"/>
  <c r="AI124" i="12"/>
  <c r="AI123" i="12"/>
  <c r="AI122" i="12"/>
  <c r="AI121" i="12"/>
  <c r="AI120" i="12"/>
  <c r="AI119" i="12"/>
  <c r="AI118" i="12"/>
  <c r="AI117" i="12"/>
  <c r="AI116" i="12"/>
  <c r="AI115" i="12"/>
  <c r="AI114" i="12"/>
  <c r="AI113" i="12"/>
  <c r="AI112" i="12"/>
  <c r="AI111" i="12"/>
  <c r="AI110" i="12"/>
  <c r="AI109" i="12"/>
  <c r="AI108" i="12"/>
  <c r="AI107" i="12"/>
  <c r="AI106" i="12"/>
  <c r="AI105" i="12"/>
  <c r="AI104" i="12"/>
  <c r="AI103" i="12"/>
  <c r="AC103" i="12"/>
  <c r="AC104" i="12" s="1"/>
  <c r="AC105" i="12" s="1"/>
  <c r="AC106" i="12" s="1"/>
  <c r="AC107" i="12" s="1"/>
  <c r="AC108" i="12" s="1"/>
  <c r="AC109" i="12" s="1"/>
  <c r="AC110" i="12" s="1"/>
  <c r="AC111" i="12" s="1"/>
  <c r="AC112" i="12" s="1"/>
  <c r="AC113" i="12" s="1"/>
  <c r="AC114" i="12" s="1"/>
  <c r="AC115" i="12" s="1"/>
  <c r="AC116" i="12" s="1"/>
  <c r="AC117" i="12" s="1"/>
  <c r="AC118" i="12" s="1"/>
  <c r="AC119" i="12" s="1"/>
  <c r="AC120" i="12" s="1"/>
  <c r="AC121" i="12" s="1"/>
  <c r="AC122" i="12" s="1"/>
  <c r="AC123" i="12" s="1"/>
  <c r="AC124" i="12" s="1"/>
  <c r="AI102" i="12"/>
  <c r="AI101" i="12"/>
  <c r="AC101" i="12"/>
  <c r="AH95" i="12"/>
  <c r="AI95" i="12" s="1"/>
  <c r="AI94" i="12"/>
  <c r="AI93" i="12"/>
  <c r="AI92" i="12"/>
  <c r="AI91" i="12"/>
  <c r="AI90" i="12"/>
  <c r="AC90" i="12"/>
  <c r="AC91" i="12" s="1"/>
  <c r="AC92" i="12" s="1"/>
  <c r="AC93" i="12" s="1"/>
  <c r="AC94" i="12" s="1"/>
  <c r="AC95" i="12" s="1"/>
  <c r="AI89" i="12"/>
  <c r="AI80" i="12"/>
  <c r="AC80" i="12"/>
  <c r="AI79" i="12"/>
  <c r="AI78" i="12"/>
  <c r="AI77" i="12"/>
  <c r="AI76" i="12"/>
  <c r="AI75" i="12"/>
  <c r="AI74" i="12"/>
  <c r="AI73" i="12"/>
  <c r="AI72" i="12"/>
  <c r="AI71" i="12"/>
  <c r="AI70" i="12"/>
  <c r="AI69" i="12"/>
  <c r="AI68" i="12"/>
  <c r="AI67" i="12"/>
  <c r="AI66" i="12"/>
  <c r="AI65" i="12"/>
  <c r="AI64" i="12"/>
  <c r="AI63" i="12"/>
  <c r="AI62" i="12"/>
  <c r="AI61" i="12"/>
  <c r="AC61" i="12"/>
  <c r="AC62" i="12" s="1"/>
  <c r="AC63" i="12" s="1"/>
  <c r="AC64" i="12" s="1"/>
  <c r="AC65" i="12" s="1"/>
  <c r="AC66" i="12" s="1"/>
  <c r="AC67" i="12" s="1"/>
  <c r="AC68" i="12" s="1"/>
  <c r="AC69" i="12" s="1"/>
  <c r="AC70" i="12" s="1"/>
  <c r="AC71" i="12" s="1"/>
  <c r="AC72" i="12" s="1"/>
  <c r="AI60" i="12"/>
  <c r="AI59" i="12"/>
  <c r="AI58" i="12"/>
  <c r="AI54" i="12"/>
  <c r="AI53" i="12"/>
  <c r="AI52" i="12"/>
  <c r="AI51" i="12"/>
  <c r="AI50" i="12"/>
  <c r="AI49" i="12"/>
  <c r="AC49" i="12"/>
  <c r="AC50" i="12" s="1"/>
  <c r="AC51" i="12" s="1"/>
  <c r="AC52" i="12" s="1"/>
  <c r="AC53" i="12" s="1"/>
  <c r="AC54" i="12" s="1"/>
  <c r="AI48" i="12"/>
  <c r="AI40" i="12"/>
  <c r="AI39" i="12"/>
  <c r="AI38" i="12"/>
  <c r="AI37" i="12"/>
  <c r="AI36" i="12"/>
  <c r="AG35" i="12"/>
  <c r="AI35" i="12" s="1"/>
  <c r="AC35" i="12"/>
  <c r="AC36" i="12" s="1"/>
  <c r="AC37" i="12" s="1"/>
  <c r="AC38" i="12" s="1"/>
  <c r="AC39" i="12" s="1"/>
  <c r="AC40" i="12" s="1"/>
  <c r="AI34" i="12"/>
  <c r="AI29" i="12"/>
  <c r="AI28" i="12"/>
  <c r="AI27" i="12"/>
  <c r="AC27" i="12"/>
  <c r="AC28" i="12" s="1"/>
  <c r="AC29" i="12" s="1"/>
  <c r="AI26" i="12"/>
  <c r="AB500" i="12"/>
  <c r="AI222" i="12"/>
  <c r="E332" i="12"/>
  <c r="G491" i="12"/>
  <c r="G492" i="12" s="1"/>
  <c r="G485" i="12"/>
  <c r="G486" i="12"/>
  <c r="G484" i="12"/>
  <c r="G212" i="12"/>
  <c r="G319" i="12"/>
  <c r="G320" i="12"/>
  <c r="G301" i="12"/>
  <c r="G302" i="12"/>
  <c r="G303" i="12"/>
  <c r="G304" i="12"/>
  <c r="G305" i="12"/>
  <c r="G300" i="12"/>
  <c r="G107" i="12"/>
  <c r="G106" i="12"/>
  <c r="AB537" i="12"/>
  <c r="AB538" i="12" s="1"/>
  <c r="E498" i="12"/>
  <c r="E495" i="12" s="1"/>
  <c r="E434" i="12"/>
  <c r="G439" i="12"/>
  <c r="G501" i="12"/>
  <c r="G230" i="12"/>
  <c r="G249" i="12"/>
  <c r="G248" i="12"/>
  <c r="G245" i="12"/>
  <c r="G244" i="12"/>
  <c r="G250" i="12"/>
  <c r="G243" i="12"/>
  <c r="G242" i="12"/>
  <c r="G247" i="12"/>
  <c r="G246" i="12"/>
  <c r="G239" i="12"/>
  <c r="G233" i="12"/>
  <c r="G416" i="12"/>
  <c r="G417" i="12"/>
  <c r="G418" i="12"/>
  <c r="G419" i="12"/>
  <c r="G420" i="12"/>
  <c r="W421" i="12" s="1"/>
  <c r="G421" i="12"/>
  <c r="G79" i="12"/>
  <c r="F292" i="12"/>
  <c r="G289" i="12"/>
  <c r="G299" i="12"/>
  <c r="G458" i="12"/>
  <c r="G290" i="12"/>
  <c r="G295" i="12"/>
  <c r="G296" i="12"/>
  <c r="G298" i="12"/>
  <c r="G292" i="12"/>
  <c r="G268" i="12"/>
  <c r="G269" i="12"/>
  <c r="G271" i="12"/>
  <c r="G272" i="12"/>
  <c r="G273" i="12"/>
  <c r="G274" i="12"/>
  <c r="G275" i="12"/>
  <c r="G276" i="12"/>
  <c r="G260" i="12"/>
  <c r="G261" i="12"/>
  <c r="G211" i="12"/>
  <c r="G222" i="12" s="1"/>
  <c r="G213" i="12"/>
  <c r="G214" i="12"/>
  <c r="G215" i="12"/>
  <c r="G227" i="12"/>
  <c r="G228" i="12"/>
  <c r="G231" i="12"/>
  <c r="G232" i="12"/>
  <c r="G234" i="12"/>
  <c r="G235" i="12"/>
  <c r="G236" i="12"/>
  <c r="G237" i="12"/>
  <c r="G238" i="12"/>
  <c r="G240" i="12"/>
  <c r="G241" i="12"/>
  <c r="G188" i="12"/>
  <c r="G189" i="12"/>
  <c r="G191" i="12"/>
  <c r="G192" i="12"/>
  <c r="G193" i="12"/>
  <c r="G194" i="12"/>
  <c r="G195" i="12"/>
  <c r="G196" i="12"/>
  <c r="G197" i="12"/>
  <c r="G198" i="12"/>
  <c r="G199" i="12"/>
  <c r="G200" i="12"/>
  <c r="G201" i="12"/>
  <c r="G202" i="12"/>
  <c r="G134" i="12"/>
  <c r="G135" i="12"/>
  <c r="G136" i="12"/>
  <c r="G137" i="12"/>
  <c r="G138" i="12"/>
  <c r="G147" i="12"/>
  <c r="G148" i="12"/>
  <c r="G149" i="12"/>
  <c r="G150" i="12"/>
  <c r="G151" i="12"/>
  <c r="G152" i="12"/>
  <c r="G153" i="12"/>
  <c r="G154" i="12"/>
  <c r="G155" i="12"/>
  <c r="G156" i="12"/>
  <c r="G157" i="12"/>
  <c r="G158" i="12"/>
  <c r="G159" i="12"/>
  <c r="G160" i="12"/>
  <c r="G164" i="12"/>
  <c r="G165" i="12"/>
  <c r="G90" i="12"/>
  <c r="G91" i="12"/>
  <c r="G92" i="12"/>
  <c r="G93" i="12"/>
  <c r="G94" i="12"/>
  <c r="G101" i="12"/>
  <c r="G102" i="12"/>
  <c r="G127" i="12" s="1"/>
  <c r="G103" i="12"/>
  <c r="G104" i="12"/>
  <c r="G105" i="12"/>
  <c r="G109" i="12"/>
  <c r="G110" i="12"/>
  <c r="G113" i="12"/>
  <c r="G114" i="12"/>
  <c r="G115" i="12"/>
  <c r="G116" i="12"/>
  <c r="G117" i="12"/>
  <c r="G118" i="12"/>
  <c r="G119" i="12"/>
  <c r="G120" i="12"/>
  <c r="G121" i="12"/>
  <c r="G122" i="12"/>
  <c r="G125" i="12"/>
  <c r="G49" i="12"/>
  <c r="G50" i="12"/>
  <c r="G51" i="12"/>
  <c r="G52" i="12"/>
  <c r="G53" i="12"/>
  <c r="G54" i="12"/>
  <c r="G60" i="12"/>
  <c r="G61" i="12"/>
  <c r="G62" i="12"/>
  <c r="G65" i="12"/>
  <c r="G66" i="12"/>
  <c r="G67" i="12"/>
  <c r="G68" i="12"/>
  <c r="G69" i="12"/>
  <c r="G70" i="12"/>
  <c r="G71" i="12"/>
  <c r="G72" i="12"/>
  <c r="G73" i="12"/>
  <c r="G74" i="12"/>
  <c r="G75" i="12"/>
  <c r="G76" i="12"/>
  <c r="G77" i="12"/>
  <c r="G78" i="12"/>
  <c r="G80" i="12"/>
  <c r="G36" i="12"/>
  <c r="G37" i="12"/>
  <c r="G38" i="12"/>
  <c r="G39" i="12"/>
  <c r="G40" i="12"/>
  <c r="G27" i="12"/>
  <c r="G28" i="12"/>
  <c r="G29" i="12"/>
  <c r="G183" i="12"/>
  <c r="G182" i="12"/>
  <c r="G181" i="12"/>
  <c r="G277" i="12"/>
  <c r="Z499" i="12"/>
  <c r="G499" i="12"/>
  <c r="G500" i="12"/>
  <c r="Z497" i="12"/>
  <c r="Z498" i="12"/>
  <c r="Z496" i="12"/>
  <c r="G497" i="12"/>
  <c r="G459" i="12"/>
  <c r="G461" i="12"/>
  <c r="G462" i="12"/>
  <c r="G463" i="12"/>
  <c r="G465" i="12"/>
  <c r="G466" i="12"/>
  <c r="G467" i="12"/>
  <c r="G469" i="12"/>
  <c r="G470" i="12"/>
  <c r="G471" i="12"/>
  <c r="G473" i="12"/>
  <c r="G474" i="12"/>
  <c r="G476" i="12"/>
  <c r="G477" i="12"/>
  <c r="G479" i="12"/>
  <c r="G444" i="12"/>
  <c r="G445" i="12"/>
  <c r="G446" i="12"/>
  <c r="G480" i="12" s="1"/>
  <c r="G447" i="12"/>
  <c r="G448" i="12"/>
  <c r="G449" i="12"/>
  <c r="G450" i="12"/>
  <c r="G451" i="12"/>
  <c r="G452" i="12"/>
  <c r="G453" i="12"/>
  <c r="G455" i="12"/>
  <c r="G456" i="12"/>
  <c r="G457" i="12"/>
  <c r="G482" i="12"/>
  <c r="G437" i="12"/>
  <c r="G440" i="12" s="1"/>
  <c r="G438" i="12"/>
  <c r="G339" i="12"/>
  <c r="G340" i="12"/>
  <c r="G341" i="12"/>
  <c r="G342" i="12"/>
  <c r="G343" i="12"/>
  <c r="G344" i="12"/>
  <c r="G345" i="12"/>
  <c r="G346" i="12"/>
  <c r="G347" i="12"/>
  <c r="G348" i="12"/>
  <c r="G349" i="12"/>
  <c r="G350" i="12"/>
  <c r="G351" i="12"/>
  <c r="G352" i="12"/>
  <c r="G353" i="12"/>
  <c r="G354" i="12"/>
  <c r="G355" i="12"/>
  <c r="G356" i="12"/>
  <c r="G357" i="12"/>
  <c r="G358" i="12"/>
  <c r="G359" i="12"/>
  <c r="G361" i="12"/>
  <c r="G362" i="12"/>
  <c r="G363" i="12"/>
  <c r="G364" i="12"/>
  <c r="G365" i="12"/>
  <c r="G366" i="12"/>
  <c r="G367" i="12"/>
  <c r="G368" i="12"/>
  <c r="G369" i="12"/>
  <c r="G370" i="12"/>
  <c r="G371" i="12"/>
  <c r="G372" i="12"/>
  <c r="G373" i="12"/>
  <c r="G374" i="12"/>
  <c r="G375" i="12"/>
  <c r="G376" i="12"/>
  <c r="G377" i="12"/>
  <c r="G378" i="12"/>
  <c r="G379" i="12"/>
  <c r="G380" i="12"/>
  <c r="G381" i="12"/>
  <c r="G382" i="12"/>
  <c r="G384" i="12"/>
  <c r="G385" i="12"/>
  <c r="G386" i="12"/>
  <c r="G387" i="12"/>
  <c r="G388" i="12"/>
  <c r="G389" i="12"/>
  <c r="G390" i="12"/>
  <c r="G391" i="12"/>
  <c r="G392" i="12"/>
  <c r="G393" i="12"/>
  <c r="G394" i="12"/>
  <c r="G395" i="12"/>
  <c r="G396" i="12"/>
  <c r="G397" i="12"/>
  <c r="G398" i="12"/>
  <c r="G399" i="12"/>
  <c r="G400" i="12"/>
  <c r="G401" i="12"/>
  <c r="G402" i="12"/>
  <c r="G403" i="12"/>
  <c r="G404" i="12"/>
  <c r="G405" i="12"/>
  <c r="G406" i="12"/>
  <c r="G407" i="12"/>
  <c r="G408" i="12"/>
  <c r="G409" i="12"/>
  <c r="G410" i="12"/>
  <c r="G411" i="12"/>
  <c r="G284" i="12"/>
  <c r="G286" i="12"/>
  <c r="G288" i="12"/>
  <c r="G291" i="12"/>
  <c r="G293" i="12"/>
  <c r="G306" i="12"/>
  <c r="G307" i="12"/>
  <c r="G309" i="12"/>
  <c r="G310" i="12"/>
  <c r="G311" i="12"/>
  <c r="G312" i="12"/>
  <c r="G313" i="12"/>
  <c r="G315" i="12"/>
  <c r="G316" i="12"/>
  <c r="G317" i="12"/>
  <c r="G318" i="12"/>
  <c r="G321" i="12"/>
  <c r="G323" i="12"/>
  <c r="G325" i="12"/>
  <c r="G326" i="12"/>
  <c r="G329" i="12"/>
  <c r="G330" i="12"/>
  <c r="E331" i="12"/>
  <c r="G331" i="12" s="1"/>
  <c r="G332" i="12"/>
  <c r="F334" i="12"/>
  <c r="G334" i="12" s="1"/>
  <c r="G266" i="12"/>
  <c r="G267" i="12"/>
  <c r="G279" i="12" s="1"/>
  <c r="G270" i="12"/>
  <c r="G258" i="12"/>
  <c r="E259" i="12"/>
  <c r="G259" i="12" s="1"/>
  <c r="G262" i="12"/>
  <c r="G263" i="12"/>
  <c r="G264" i="12" s="1"/>
  <c r="G210" i="12"/>
  <c r="G216" i="12"/>
  <c r="G217" i="12"/>
  <c r="G218" i="12"/>
  <c r="G219" i="12"/>
  <c r="G220" i="12"/>
  <c r="G225" i="12"/>
  <c r="G252" i="12" s="1"/>
  <c r="G226" i="12"/>
  <c r="G229" i="12"/>
  <c r="G190" i="12"/>
  <c r="G133" i="12"/>
  <c r="F139" i="12"/>
  <c r="G139" i="12" s="1"/>
  <c r="G140" i="12"/>
  <c r="G145" i="12"/>
  <c r="G146" i="12"/>
  <c r="G161" i="12"/>
  <c r="G162" i="12"/>
  <c r="F163" i="12"/>
  <c r="G163" i="12" s="1"/>
  <c r="G89" i="12"/>
  <c r="F95" i="12"/>
  <c r="G95" i="12" s="1"/>
  <c r="G97" i="12" s="1"/>
  <c r="G108" i="12"/>
  <c r="G111" i="12"/>
  <c r="G112" i="12"/>
  <c r="G123" i="12"/>
  <c r="G124" i="12"/>
  <c r="G48" i="12"/>
  <c r="G58" i="12"/>
  <c r="G83" i="12" s="1"/>
  <c r="G59" i="12"/>
  <c r="G63" i="12"/>
  <c r="G64" i="12"/>
  <c r="G34" i="12"/>
  <c r="E35" i="12"/>
  <c r="G35" i="12" s="1"/>
  <c r="G26" i="12"/>
  <c r="W156" i="12"/>
  <c r="Y156" i="12" s="1"/>
  <c r="W66" i="12"/>
  <c r="F511" i="12"/>
  <c r="G436" i="12"/>
  <c r="G435" i="12"/>
  <c r="G434" i="12"/>
  <c r="G433" i="12"/>
  <c r="G432" i="12"/>
  <c r="G431" i="12"/>
  <c r="G430" i="12"/>
  <c r="G429" i="12"/>
  <c r="G428" i="12"/>
  <c r="G427" i="12"/>
  <c r="W416" i="12"/>
  <c r="G336" i="12"/>
  <c r="B273" i="12"/>
  <c r="B274" i="12" s="1"/>
  <c r="B275" i="12" s="1"/>
  <c r="B276" i="12" s="1"/>
  <c r="B277" i="12" s="1"/>
  <c r="X273" i="12"/>
  <c r="W271" i="12"/>
  <c r="X271" i="12" s="1"/>
  <c r="B259" i="12"/>
  <c r="B260" i="12" s="1"/>
  <c r="B261" i="12" s="1"/>
  <c r="B262" i="12" s="1"/>
  <c r="B266" i="12" s="1"/>
  <c r="B267" i="12" s="1"/>
  <c r="B268" i="12" s="1"/>
  <c r="G255" i="12"/>
  <c r="B226" i="12"/>
  <c r="B227" i="12" s="1"/>
  <c r="B228" i="12" s="1"/>
  <c r="B229" i="12" s="1"/>
  <c r="B230" i="12" s="1"/>
  <c r="B231" i="12" s="1"/>
  <c r="B232" i="12" s="1"/>
  <c r="B233" i="12" s="1"/>
  <c r="B234" i="12" s="1"/>
  <c r="B235" i="12" s="1"/>
  <c r="B236" i="12" s="1"/>
  <c r="B237" i="12" s="1"/>
  <c r="B238" i="12" s="1"/>
  <c r="B239" i="12" s="1"/>
  <c r="B240" i="12" s="1"/>
  <c r="B241" i="12" s="1"/>
  <c r="B242" i="12" s="1"/>
  <c r="B243" i="12" s="1"/>
  <c r="B244" i="12" s="1"/>
  <c r="B245" i="12" s="1"/>
  <c r="B246" i="12" s="1"/>
  <c r="B247" i="12" s="1"/>
  <c r="B248" i="12" s="1"/>
  <c r="B249" i="12" s="1"/>
  <c r="B250" i="12" s="1"/>
  <c r="X237" i="12"/>
  <c r="Z237" i="12" s="1"/>
  <c r="X236" i="12"/>
  <c r="Z236" i="12"/>
  <c r="X235" i="12"/>
  <c r="Z235" i="12" s="1"/>
  <c r="X234" i="12"/>
  <c r="Z234" i="12" s="1"/>
  <c r="X232" i="12"/>
  <c r="Z232" i="12" s="1"/>
  <c r="X231" i="12"/>
  <c r="Z231" i="12" s="1"/>
  <c r="G223" i="12"/>
  <c r="B211" i="12"/>
  <c r="B190" i="12"/>
  <c r="B191" i="12" s="1"/>
  <c r="B192" i="12" s="1"/>
  <c r="B193" i="12" s="1"/>
  <c r="B194" i="12" s="1"/>
  <c r="B195" i="12" s="1"/>
  <c r="B196" i="12" s="1"/>
  <c r="B197" i="12" s="1"/>
  <c r="B198" i="12" s="1"/>
  <c r="B199" i="12" s="1"/>
  <c r="B200" i="12" s="1"/>
  <c r="B201" i="12" s="1"/>
  <c r="B202" i="12" s="1"/>
  <c r="G174" i="12"/>
  <c r="G185" i="12" s="1"/>
  <c r="G175" i="12"/>
  <c r="G176" i="12"/>
  <c r="G177" i="12"/>
  <c r="F178" i="12"/>
  <c r="G178" i="12" s="1"/>
  <c r="G179" i="12"/>
  <c r="G180" i="12"/>
  <c r="B175" i="12"/>
  <c r="B176" i="12" s="1"/>
  <c r="B177" i="12" s="1"/>
  <c r="B178" i="12" s="1"/>
  <c r="Y165" i="12"/>
  <c r="B153" i="12"/>
  <c r="B154" i="12" s="1"/>
  <c r="B155" i="12" s="1"/>
  <c r="B156" i="12" s="1"/>
  <c r="B157" i="12" s="1"/>
  <c r="B158" i="12" s="1"/>
  <c r="B159" i="12" s="1"/>
  <c r="B160" i="12" s="1"/>
  <c r="B161" i="12" s="1"/>
  <c r="B162" i="12" s="1"/>
  <c r="B163" i="12" s="1"/>
  <c r="B164" i="12" s="1"/>
  <c r="B165" i="12" s="1"/>
  <c r="X163" i="12"/>
  <c r="Y155" i="12"/>
  <c r="Y154" i="12"/>
  <c r="Y153" i="12"/>
  <c r="Y152" i="12"/>
  <c r="X151" i="12"/>
  <c r="Z151" i="12" s="1"/>
  <c r="X150" i="12"/>
  <c r="Z150" i="12" s="1"/>
  <c r="X149" i="12"/>
  <c r="Z149" i="12" s="1"/>
  <c r="X148" i="12"/>
  <c r="Z148" i="12" s="1"/>
  <c r="X147" i="12"/>
  <c r="Z147" i="12" s="1"/>
  <c r="X146" i="12"/>
  <c r="Z146" i="12" s="1"/>
  <c r="G143" i="12"/>
  <c r="B134" i="12"/>
  <c r="B135" i="12" s="1"/>
  <c r="B136" i="12" s="1"/>
  <c r="B137" i="12" s="1"/>
  <c r="B138" i="12" s="1"/>
  <c r="B139" i="12" s="1"/>
  <c r="B140" i="12" s="1"/>
  <c r="B103" i="12"/>
  <c r="B104" i="12" s="1"/>
  <c r="B105" i="12" s="1"/>
  <c r="B106" i="12" s="1"/>
  <c r="B107" i="12" s="1"/>
  <c r="B108" i="12" s="1"/>
  <c r="B109" i="12" s="1"/>
  <c r="B110" i="12" s="1"/>
  <c r="B111" i="12" s="1"/>
  <c r="B112" i="12" s="1"/>
  <c r="B113" i="12" s="1"/>
  <c r="B114" i="12" s="1"/>
  <c r="B115" i="12" s="1"/>
  <c r="B116" i="12" s="1"/>
  <c r="B117" i="12" s="1"/>
  <c r="B118" i="12" s="1"/>
  <c r="B119" i="12" s="1"/>
  <c r="B120" i="12" s="1"/>
  <c r="B121" i="12" s="1"/>
  <c r="B122" i="12" s="1"/>
  <c r="B123" i="12" s="1"/>
  <c r="B124" i="12" s="1"/>
  <c r="W121" i="12"/>
  <c r="W120" i="12"/>
  <c r="W105" i="12"/>
  <c r="W104" i="12"/>
  <c r="X103" i="12"/>
  <c r="X102" i="12"/>
  <c r="X101" i="12"/>
  <c r="B101" i="12"/>
  <c r="B90" i="12"/>
  <c r="B91" i="12" s="1"/>
  <c r="B92" i="12" s="1"/>
  <c r="B93" i="12" s="1"/>
  <c r="B94" i="12" s="1"/>
  <c r="B95" i="12" s="1"/>
  <c r="B80" i="12"/>
  <c r="X75" i="12"/>
  <c r="X74" i="12"/>
  <c r="X73" i="12"/>
  <c r="B61" i="12"/>
  <c r="B62" i="12" s="1"/>
  <c r="B63" i="12" s="1"/>
  <c r="B64" i="12" s="1"/>
  <c r="B65" i="12" s="1"/>
  <c r="B66" i="12" s="1"/>
  <c r="B67" i="12" s="1"/>
  <c r="B68" i="12" s="1"/>
  <c r="B69" i="12" s="1"/>
  <c r="B70" i="12" s="1"/>
  <c r="B71" i="12" s="1"/>
  <c r="B72" i="12" s="1"/>
  <c r="W65" i="12"/>
  <c r="B49" i="12"/>
  <c r="B50" i="12" s="1"/>
  <c r="B51" i="12" s="1"/>
  <c r="B52" i="12" s="1"/>
  <c r="B53" i="12" s="1"/>
  <c r="B54" i="12" s="1"/>
  <c r="B35" i="12"/>
  <c r="B36" i="12" s="1"/>
  <c r="B37" i="12" s="1"/>
  <c r="B38" i="12" s="1"/>
  <c r="B39" i="12" s="1"/>
  <c r="B40" i="12" s="1"/>
  <c r="B27" i="12"/>
  <c r="B28" i="12" s="1"/>
  <c r="B29" i="12" s="1"/>
  <c r="W27" i="12"/>
  <c r="E20" i="12"/>
  <c r="G20" i="12" s="1"/>
  <c r="E21" i="12"/>
  <c r="G21" i="12" s="1"/>
  <c r="E23" i="12"/>
  <c r="G23" i="12" s="1"/>
  <c r="G13" i="12"/>
  <c r="G14" i="12"/>
  <c r="G16" i="12" s="1"/>
  <c r="G11" i="12" s="1"/>
  <c r="Y151" i="5"/>
  <c r="Y152" i="5"/>
  <c r="Y153" i="5"/>
  <c r="W154" i="5"/>
  <c r="Y154" i="5" s="1"/>
  <c r="Y150" i="5"/>
  <c r="X145" i="5"/>
  <c r="X146" i="5"/>
  <c r="X147" i="5"/>
  <c r="X148" i="5"/>
  <c r="X149" i="5"/>
  <c r="X144" i="5"/>
  <c r="G144" i="5"/>
  <c r="G145" i="5"/>
  <c r="G146" i="5"/>
  <c r="G147" i="5"/>
  <c r="G148" i="5"/>
  <c r="G149" i="5"/>
  <c r="G150" i="5"/>
  <c r="G151" i="5"/>
  <c r="G152" i="5"/>
  <c r="G153" i="5"/>
  <c r="G143" i="5"/>
  <c r="G154" i="5"/>
  <c r="G155" i="5"/>
  <c r="G156" i="5"/>
  <c r="G157" i="5"/>
  <c r="G158" i="5"/>
  <c r="G159" i="5"/>
  <c r="G160" i="5"/>
  <c r="F161" i="5"/>
  <c r="G161" i="5" s="1"/>
  <c r="G162" i="5"/>
  <c r="G163" i="5"/>
  <c r="G131" i="5"/>
  <c r="G132" i="5"/>
  <c r="G133" i="5"/>
  <c r="G134" i="5"/>
  <c r="G135" i="5"/>
  <c r="G136" i="5"/>
  <c r="F137" i="5"/>
  <c r="G137" i="5" s="1"/>
  <c r="G138" i="5"/>
  <c r="G482" i="5"/>
  <c r="E483" i="5"/>
  <c r="G483" i="5" s="1"/>
  <c r="G484" i="5"/>
  <c r="G436" i="5"/>
  <c r="G437" i="5"/>
  <c r="G439" i="5"/>
  <c r="G440" i="5"/>
  <c r="G441" i="5"/>
  <c r="G443" i="5"/>
  <c r="G444" i="5"/>
  <c r="G445" i="5"/>
  <c r="G447" i="5"/>
  <c r="G448" i="5"/>
  <c r="G449" i="5"/>
  <c r="G451" i="5"/>
  <c r="G452" i="5"/>
  <c r="G454" i="5"/>
  <c r="G455" i="5"/>
  <c r="G457" i="5"/>
  <c r="G422" i="5"/>
  <c r="G423" i="5"/>
  <c r="G458" i="5" s="1"/>
  <c r="G424" i="5"/>
  <c r="G425" i="5"/>
  <c r="G426" i="5"/>
  <c r="G427" i="5"/>
  <c r="G428" i="5"/>
  <c r="G429" i="5"/>
  <c r="G430" i="5"/>
  <c r="G431" i="5"/>
  <c r="G433" i="5"/>
  <c r="G434" i="5"/>
  <c r="G435" i="5"/>
  <c r="G460" i="5"/>
  <c r="E469" i="5"/>
  <c r="G469" i="5" s="1"/>
  <c r="G470" i="5"/>
  <c r="G471" i="5"/>
  <c r="G472" i="5"/>
  <c r="G415" i="5"/>
  <c r="G416" i="5"/>
  <c r="G394" i="5"/>
  <c r="G395" i="5"/>
  <c r="G396" i="5"/>
  <c r="G397" i="5"/>
  <c r="G398" i="5"/>
  <c r="G399" i="5"/>
  <c r="G317" i="5"/>
  <c r="G318" i="5"/>
  <c r="G319" i="5"/>
  <c r="G320" i="5"/>
  <c r="G321" i="5"/>
  <c r="G322" i="5"/>
  <c r="G323" i="5"/>
  <c r="G324" i="5"/>
  <c r="G325" i="5"/>
  <c r="G326" i="5"/>
  <c r="G327" i="5"/>
  <c r="G328" i="5"/>
  <c r="G329" i="5"/>
  <c r="G330" i="5"/>
  <c r="G331" i="5"/>
  <c r="G332" i="5"/>
  <c r="G333" i="5"/>
  <c r="G334" i="5"/>
  <c r="G335" i="5"/>
  <c r="G336" i="5"/>
  <c r="G337" i="5"/>
  <c r="G339" i="5"/>
  <c r="G340" i="5"/>
  <c r="G341" i="5"/>
  <c r="G342" i="5"/>
  <c r="G343" i="5"/>
  <c r="G344" i="5"/>
  <c r="G345" i="5"/>
  <c r="G346" i="5"/>
  <c r="G347" i="5"/>
  <c r="G348" i="5"/>
  <c r="G349" i="5"/>
  <c r="G350" i="5"/>
  <c r="G351" i="5"/>
  <c r="G352" i="5"/>
  <c r="G353" i="5"/>
  <c r="G354" i="5"/>
  <c r="G355" i="5"/>
  <c r="G356" i="5"/>
  <c r="G357" i="5"/>
  <c r="G358" i="5"/>
  <c r="G359" i="5"/>
  <c r="G360" i="5"/>
  <c r="G362" i="5"/>
  <c r="G363" i="5"/>
  <c r="G364" i="5"/>
  <c r="G365" i="5"/>
  <c r="G366" i="5"/>
  <c r="G367" i="5"/>
  <c r="G368" i="5"/>
  <c r="G369" i="5"/>
  <c r="G370" i="5"/>
  <c r="G371" i="5"/>
  <c r="G372" i="5"/>
  <c r="G373" i="5"/>
  <c r="G374" i="5"/>
  <c r="G375" i="5"/>
  <c r="G376" i="5"/>
  <c r="G377" i="5"/>
  <c r="G378" i="5"/>
  <c r="G379" i="5"/>
  <c r="G380" i="5"/>
  <c r="G381" i="5"/>
  <c r="G382" i="5"/>
  <c r="G383" i="5"/>
  <c r="G384" i="5"/>
  <c r="G385" i="5"/>
  <c r="G386" i="5"/>
  <c r="G387" i="5"/>
  <c r="G388" i="5"/>
  <c r="G389" i="5"/>
  <c r="G391" i="5"/>
  <c r="G272" i="5"/>
  <c r="G274" i="5"/>
  <c r="G276" i="5"/>
  <c r="G277" i="5"/>
  <c r="G278" i="5"/>
  <c r="G279" i="5"/>
  <c r="G280" i="5"/>
  <c r="G282" i="5"/>
  <c r="G283" i="5"/>
  <c r="G285" i="5"/>
  <c r="G286" i="5"/>
  <c r="G287" i="5"/>
  <c r="G289" i="5"/>
  <c r="G290" i="5"/>
  <c r="G291" i="5"/>
  <c r="G292" i="5"/>
  <c r="G293" i="5"/>
  <c r="G295" i="5"/>
  <c r="G296" i="5"/>
  <c r="G297" i="5"/>
  <c r="G298" i="5"/>
  <c r="G299" i="5"/>
  <c r="G301" i="5"/>
  <c r="G303" i="5"/>
  <c r="G304" i="5"/>
  <c r="G305" i="5"/>
  <c r="G307" i="5"/>
  <c r="G308" i="5"/>
  <c r="E309" i="5"/>
  <c r="G309" i="5" s="1"/>
  <c r="G310" i="5"/>
  <c r="F312" i="5"/>
  <c r="G312" i="5" s="1"/>
  <c r="G254" i="5"/>
  <c r="G255" i="5"/>
  <c r="G256" i="5"/>
  <c r="G257" i="5"/>
  <c r="G258" i="5"/>
  <c r="G259" i="5"/>
  <c r="G260" i="5"/>
  <c r="G261" i="5"/>
  <c r="G262" i="5"/>
  <c r="G263" i="5"/>
  <c r="G264" i="5"/>
  <c r="G265" i="5"/>
  <c r="G266" i="5"/>
  <c r="G246" i="5"/>
  <c r="E247" i="5"/>
  <c r="G247" i="5" s="1"/>
  <c r="G248" i="5"/>
  <c r="G249" i="5"/>
  <c r="G250" i="5"/>
  <c r="G251" i="5"/>
  <c r="G209" i="5"/>
  <c r="G210" i="5"/>
  <c r="G221" i="5" s="1"/>
  <c r="G242" i="5" s="1"/>
  <c r="G211" i="5"/>
  <c r="G212" i="5"/>
  <c r="G213" i="5"/>
  <c r="G214" i="5"/>
  <c r="G215" i="5"/>
  <c r="G216" i="5"/>
  <c r="G217" i="5"/>
  <c r="G218" i="5"/>
  <c r="G219" i="5"/>
  <c r="G224" i="5"/>
  <c r="G225" i="5"/>
  <c r="G240" i="5" s="1"/>
  <c r="G226" i="5"/>
  <c r="G227" i="5"/>
  <c r="G228" i="5"/>
  <c r="G229" i="5"/>
  <c r="G230" i="5"/>
  <c r="G231" i="5"/>
  <c r="G232" i="5"/>
  <c r="G233" i="5"/>
  <c r="G234" i="5"/>
  <c r="G235" i="5"/>
  <c r="G236" i="5"/>
  <c r="G237" i="5"/>
  <c r="G238" i="5"/>
  <c r="G187" i="5"/>
  <c r="G188" i="5"/>
  <c r="G189" i="5"/>
  <c r="G203" i="5" s="1"/>
  <c r="G190" i="5"/>
  <c r="G191" i="5"/>
  <c r="G192" i="5"/>
  <c r="G193" i="5"/>
  <c r="G194" i="5"/>
  <c r="G195" i="5"/>
  <c r="G196" i="5"/>
  <c r="G197" i="5"/>
  <c r="G198" i="5"/>
  <c r="G199" i="5"/>
  <c r="G200" i="5"/>
  <c r="G201" i="5"/>
  <c r="G89" i="5"/>
  <c r="G97" i="5" s="1"/>
  <c r="G90" i="5"/>
  <c r="G91" i="5"/>
  <c r="G92" i="5"/>
  <c r="G93" i="5"/>
  <c r="G94" i="5"/>
  <c r="F95" i="5"/>
  <c r="G95" i="5" s="1"/>
  <c r="G101" i="5"/>
  <c r="G102" i="5"/>
  <c r="G125" i="5" s="1"/>
  <c r="G103" i="5"/>
  <c r="G104" i="5"/>
  <c r="G105" i="5"/>
  <c r="G106" i="5"/>
  <c r="G107" i="5"/>
  <c r="G108" i="5"/>
  <c r="G109" i="5"/>
  <c r="G110" i="5"/>
  <c r="G111" i="5"/>
  <c r="G112" i="5"/>
  <c r="G113" i="5"/>
  <c r="G114" i="5"/>
  <c r="G115" i="5"/>
  <c r="G116" i="5"/>
  <c r="G117" i="5"/>
  <c r="G118" i="5"/>
  <c r="G119" i="5"/>
  <c r="G120" i="5"/>
  <c r="G121" i="5"/>
  <c r="G122" i="5"/>
  <c r="G123" i="5"/>
  <c r="G48" i="5"/>
  <c r="G49" i="5"/>
  <c r="G50" i="5"/>
  <c r="G51" i="5"/>
  <c r="G52" i="5"/>
  <c r="G53" i="5"/>
  <c r="G54" i="5"/>
  <c r="G58" i="5"/>
  <c r="G59" i="5"/>
  <c r="G60" i="5"/>
  <c r="G83" i="5" s="1"/>
  <c r="G61" i="5"/>
  <c r="G62" i="5"/>
  <c r="G63" i="5"/>
  <c r="G64" i="5"/>
  <c r="G65" i="5"/>
  <c r="G66" i="5"/>
  <c r="G67" i="5"/>
  <c r="G68" i="5"/>
  <c r="G69" i="5"/>
  <c r="G70" i="5"/>
  <c r="G71" i="5"/>
  <c r="G72" i="5"/>
  <c r="G73" i="5"/>
  <c r="G74" i="5"/>
  <c r="G75" i="5"/>
  <c r="G76" i="5"/>
  <c r="G77" i="5"/>
  <c r="G78" i="5"/>
  <c r="F79" i="5"/>
  <c r="G79" i="5" s="1"/>
  <c r="G80" i="5"/>
  <c r="G34" i="5"/>
  <c r="E35" i="5"/>
  <c r="G35" i="5" s="1"/>
  <c r="G36" i="5"/>
  <c r="G37" i="5"/>
  <c r="G38" i="5"/>
  <c r="G39" i="5"/>
  <c r="G40" i="5"/>
  <c r="G26" i="5"/>
  <c r="G27" i="5"/>
  <c r="G28" i="5"/>
  <c r="G29" i="5"/>
  <c r="X230" i="5"/>
  <c r="Z230" i="5" s="1"/>
  <c r="X231" i="5"/>
  <c r="Z231" i="5" s="1"/>
  <c r="X232" i="5"/>
  <c r="X233" i="5"/>
  <c r="Z233" i="5" s="1"/>
  <c r="X234" i="5"/>
  <c r="X229" i="5"/>
  <c r="W259" i="5"/>
  <c r="X259" i="5" s="1"/>
  <c r="W119" i="5"/>
  <c r="W118" i="5"/>
  <c r="W105" i="5"/>
  <c r="W104" i="5"/>
  <c r="X75" i="5"/>
  <c r="X74" i="5"/>
  <c r="X73" i="5"/>
  <c r="X103" i="5"/>
  <c r="X102" i="5"/>
  <c r="X101" i="5"/>
  <c r="X481" i="5"/>
  <c r="X482" i="5" s="1"/>
  <c r="E481" i="5"/>
  <c r="G481" i="5" s="1"/>
  <c r="G480" i="5"/>
  <c r="G173" i="5"/>
  <c r="G174" i="5"/>
  <c r="G175" i="5"/>
  <c r="F176" i="5"/>
  <c r="G176" i="5" s="1"/>
  <c r="G172" i="5"/>
  <c r="G177" i="5"/>
  <c r="G178" i="5"/>
  <c r="G179" i="5"/>
  <c r="G180" i="5"/>
  <c r="G181" i="5"/>
  <c r="G182" i="5"/>
  <c r="G414" i="5"/>
  <c r="G413" i="5"/>
  <c r="G412" i="5"/>
  <c r="G411" i="5"/>
  <c r="G410" i="5"/>
  <c r="G409" i="5"/>
  <c r="G408" i="5"/>
  <c r="G407" i="5"/>
  <c r="G406" i="5"/>
  <c r="G405" i="5"/>
  <c r="G30" i="8"/>
  <c r="E29" i="8"/>
  <c r="G29" i="8" s="1"/>
  <c r="G269" i="9"/>
  <c r="G271" i="9"/>
  <c r="G273" i="9"/>
  <c r="G317" i="9" s="1"/>
  <c r="G274" i="9"/>
  <c r="G275" i="9"/>
  <c r="G276" i="9"/>
  <c r="G277" i="9"/>
  <c r="G279" i="9"/>
  <c r="G280" i="9"/>
  <c r="G282" i="9"/>
  <c r="G283" i="9"/>
  <c r="G284" i="9"/>
  <c r="G286" i="9"/>
  <c r="G287" i="9"/>
  <c r="G288" i="9"/>
  <c r="G289" i="9"/>
  <c r="G290" i="9"/>
  <c r="G292" i="9"/>
  <c r="G293" i="9"/>
  <c r="G294" i="9"/>
  <c r="G295" i="9"/>
  <c r="G296" i="9"/>
  <c r="G298" i="9"/>
  <c r="G300" i="9"/>
  <c r="G301" i="9"/>
  <c r="G302" i="9"/>
  <c r="G304" i="9"/>
  <c r="G305" i="9"/>
  <c r="E306" i="9"/>
  <c r="G306" i="9" s="1"/>
  <c r="G307" i="9"/>
  <c r="F309" i="9"/>
  <c r="G309" i="9"/>
  <c r="G310" i="9"/>
  <c r="G311" i="9"/>
  <c r="G312" i="9"/>
  <c r="G313" i="9"/>
  <c r="G314" i="9"/>
  <c r="G315" i="9"/>
  <c r="G316" i="9"/>
  <c r="G251" i="9"/>
  <c r="G252" i="9"/>
  <c r="G253" i="9"/>
  <c r="G254" i="9"/>
  <c r="G255" i="9"/>
  <c r="G256" i="9"/>
  <c r="G257" i="9"/>
  <c r="G258" i="9"/>
  <c r="G259" i="9"/>
  <c r="G260" i="9"/>
  <c r="G261" i="9"/>
  <c r="G262" i="9"/>
  <c r="G263" i="9"/>
  <c r="G243" i="9"/>
  <c r="E244" i="9"/>
  <c r="G244" i="9" s="1"/>
  <c r="G245" i="9"/>
  <c r="G246" i="9"/>
  <c r="G247" i="9"/>
  <c r="G248" i="9"/>
  <c r="G206" i="9"/>
  <c r="G207" i="9"/>
  <c r="G208" i="9"/>
  <c r="G209" i="9"/>
  <c r="G210" i="9"/>
  <c r="G211" i="9"/>
  <c r="G212" i="9"/>
  <c r="G213" i="9"/>
  <c r="G214" i="9"/>
  <c r="G215" i="9"/>
  <c r="G216" i="9"/>
  <c r="G221" i="9"/>
  <c r="G222" i="9"/>
  <c r="G223" i="9"/>
  <c r="G224" i="9"/>
  <c r="G225" i="9"/>
  <c r="G226" i="9"/>
  <c r="G227" i="9"/>
  <c r="G228" i="9"/>
  <c r="G229" i="9"/>
  <c r="G230" i="9"/>
  <c r="G231" i="9"/>
  <c r="G232" i="9"/>
  <c r="G233" i="9"/>
  <c r="G234" i="9"/>
  <c r="G235" i="9"/>
  <c r="G184" i="9"/>
  <c r="G185" i="9"/>
  <c r="G186" i="9"/>
  <c r="G200" i="9" s="1"/>
  <c r="G187" i="9"/>
  <c r="G188" i="9"/>
  <c r="G189" i="9"/>
  <c r="G190" i="9"/>
  <c r="G191" i="9"/>
  <c r="G192" i="9"/>
  <c r="G193" i="9"/>
  <c r="G194" i="9"/>
  <c r="G195" i="9"/>
  <c r="G196" i="9"/>
  <c r="G197" i="9"/>
  <c r="G198" i="9"/>
  <c r="G199" i="9"/>
  <c r="G128" i="9"/>
  <c r="G129" i="9"/>
  <c r="G130" i="9"/>
  <c r="G131" i="9"/>
  <c r="G132" i="9"/>
  <c r="G133" i="9"/>
  <c r="F134" i="9"/>
  <c r="G134" i="9" s="1"/>
  <c r="G135" i="9"/>
  <c r="G140" i="9"/>
  <c r="G141" i="9"/>
  <c r="G142" i="9"/>
  <c r="G143" i="9"/>
  <c r="G144" i="9"/>
  <c r="G145" i="9"/>
  <c r="G146" i="9"/>
  <c r="G147" i="9"/>
  <c r="G148" i="9"/>
  <c r="G149" i="9"/>
  <c r="G150" i="9"/>
  <c r="G151" i="9"/>
  <c r="G152" i="9"/>
  <c r="G153" i="9"/>
  <c r="G154" i="9"/>
  <c r="G155" i="9"/>
  <c r="G156" i="9"/>
  <c r="G157" i="9"/>
  <c r="F158" i="9"/>
  <c r="G158" i="9" s="1"/>
  <c r="G159" i="9"/>
  <c r="G160" i="9"/>
  <c r="G86" i="9"/>
  <c r="G87" i="9"/>
  <c r="G88" i="9"/>
  <c r="G89" i="9"/>
  <c r="G90" i="9"/>
  <c r="G91" i="9"/>
  <c r="F92" i="9"/>
  <c r="G92" i="9" s="1"/>
  <c r="G98" i="9"/>
  <c r="G99" i="9"/>
  <c r="G100" i="9"/>
  <c r="G101" i="9"/>
  <c r="G102" i="9"/>
  <c r="G103" i="9"/>
  <c r="G104" i="9"/>
  <c r="G105" i="9"/>
  <c r="G106" i="9"/>
  <c r="G107" i="9"/>
  <c r="G108" i="9"/>
  <c r="G109" i="9"/>
  <c r="G110" i="9"/>
  <c r="G111" i="9"/>
  <c r="G112" i="9"/>
  <c r="G113" i="9"/>
  <c r="G114" i="9"/>
  <c r="G115" i="9"/>
  <c r="G116" i="9"/>
  <c r="G117" i="9"/>
  <c r="G118" i="9"/>
  <c r="G119" i="9"/>
  <c r="G120" i="9"/>
  <c r="G48" i="9"/>
  <c r="G49" i="9"/>
  <c r="G50" i="9"/>
  <c r="G51" i="9"/>
  <c r="G52" i="9"/>
  <c r="G53" i="9"/>
  <c r="G54" i="9"/>
  <c r="G58" i="9"/>
  <c r="G59" i="9"/>
  <c r="G80" i="9" s="1"/>
  <c r="G60" i="9"/>
  <c r="G61" i="9"/>
  <c r="G62" i="9"/>
  <c r="G63" i="9"/>
  <c r="G64" i="9"/>
  <c r="G65" i="9"/>
  <c r="G66" i="9"/>
  <c r="G67" i="9"/>
  <c r="G68" i="9"/>
  <c r="G69" i="9"/>
  <c r="G70" i="9"/>
  <c r="G71" i="9"/>
  <c r="G72" i="9"/>
  <c r="G73" i="9"/>
  <c r="G74" i="9"/>
  <c r="G75" i="9"/>
  <c r="G76" i="9"/>
  <c r="G77" i="9"/>
  <c r="G78" i="9"/>
  <c r="G79" i="9"/>
  <c r="G34" i="9"/>
  <c r="E35" i="9"/>
  <c r="G35" i="9" s="1"/>
  <c r="G36" i="9"/>
  <c r="G37" i="9"/>
  <c r="G38" i="9"/>
  <c r="G39" i="9"/>
  <c r="G40" i="9"/>
  <c r="G26" i="9"/>
  <c r="G27" i="9"/>
  <c r="G28" i="9"/>
  <c r="G29" i="9"/>
  <c r="G321" i="9"/>
  <c r="G395" i="9" s="1"/>
  <c r="G322" i="9"/>
  <c r="G323" i="9"/>
  <c r="G324" i="9"/>
  <c r="G325" i="9"/>
  <c r="G326" i="9"/>
  <c r="G327" i="9"/>
  <c r="G328" i="9"/>
  <c r="G329" i="9"/>
  <c r="G330" i="9"/>
  <c r="G331" i="9"/>
  <c r="G332" i="9"/>
  <c r="G333" i="9"/>
  <c r="G334" i="9"/>
  <c r="G335" i="9"/>
  <c r="G336" i="9"/>
  <c r="G337" i="9"/>
  <c r="G338" i="9"/>
  <c r="G339" i="9"/>
  <c r="G340" i="9"/>
  <c r="G341" i="9"/>
  <c r="G343" i="9"/>
  <c r="G344" i="9"/>
  <c r="G345" i="9"/>
  <c r="G346" i="9"/>
  <c r="G347" i="9"/>
  <c r="G348" i="9"/>
  <c r="G349" i="9"/>
  <c r="G350" i="9"/>
  <c r="G351" i="9"/>
  <c r="G352" i="9"/>
  <c r="G353" i="9"/>
  <c r="G354" i="9"/>
  <c r="G355" i="9"/>
  <c r="G356" i="9"/>
  <c r="G357" i="9"/>
  <c r="G358" i="9"/>
  <c r="G359" i="9"/>
  <c r="G360" i="9"/>
  <c r="G361" i="9"/>
  <c r="G362" i="9"/>
  <c r="G363" i="9"/>
  <c r="G364" i="9"/>
  <c r="G366" i="9"/>
  <c r="G367" i="9"/>
  <c r="G368" i="9"/>
  <c r="G369" i="9"/>
  <c r="G370" i="9"/>
  <c r="G371" i="9"/>
  <c r="G372" i="9"/>
  <c r="G373" i="9"/>
  <c r="G374" i="9"/>
  <c r="G375" i="9"/>
  <c r="G376" i="9"/>
  <c r="G377" i="9"/>
  <c r="G378" i="9"/>
  <c r="G379" i="9"/>
  <c r="G380" i="9"/>
  <c r="G381" i="9"/>
  <c r="G382" i="9"/>
  <c r="G383" i="9"/>
  <c r="G384" i="9"/>
  <c r="G385" i="9"/>
  <c r="G386" i="9"/>
  <c r="G387" i="9"/>
  <c r="G388" i="9"/>
  <c r="G389" i="9"/>
  <c r="G390" i="9"/>
  <c r="G391" i="9"/>
  <c r="G392" i="9"/>
  <c r="G393" i="9"/>
  <c r="F398" i="9"/>
  <c r="G398" i="9" s="1"/>
  <c r="G399" i="9"/>
  <c r="G421" i="9"/>
  <c r="G422" i="9"/>
  <c r="G423" i="9"/>
  <c r="G424" i="9"/>
  <c r="G457" i="9" s="1"/>
  <c r="G425" i="9"/>
  <c r="G426" i="9"/>
  <c r="G427" i="9"/>
  <c r="G428" i="9"/>
  <c r="G429" i="9"/>
  <c r="G430" i="9"/>
  <c r="G432" i="9"/>
  <c r="G433" i="9"/>
  <c r="G434" i="9"/>
  <c r="G435" i="9"/>
  <c r="G436" i="9"/>
  <c r="G438" i="9"/>
  <c r="G439" i="9"/>
  <c r="G440" i="9"/>
  <c r="G442" i="9"/>
  <c r="G443" i="9"/>
  <c r="G444" i="9"/>
  <c r="G446" i="9"/>
  <c r="G447" i="9"/>
  <c r="G448" i="9"/>
  <c r="G450" i="9"/>
  <c r="G451" i="9"/>
  <c r="G453" i="9"/>
  <c r="G454" i="9"/>
  <c r="G456" i="9"/>
  <c r="G469" i="9"/>
  <c r="G470" i="9"/>
  <c r="G28" i="8"/>
  <c r="W29" i="8"/>
  <c r="W28" i="8"/>
  <c r="G468" i="9"/>
  <c r="E467" i="9"/>
  <c r="G467" i="9" s="1"/>
  <c r="X460" i="9"/>
  <c r="G458" i="9"/>
  <c r="G12" i="8"/>
  <c r="G13" i="8"/>
  <c r="G15" i="8" s="1"/>
  <c r="G10" i="8" s="1"/>
  <c r="E19" i="8"/>
  <c r="G19" i="8" s="1"/>
  <c r="E20" i="8"/>
  <c r="G20" i="8"/>
  <c r="E21" i="8"/>
  <c r="G21" i="8" s="1"/>
  <c r="E22" i="8"/>
  <c r="G22" i="8"/>
  <c r="G414" i="9"/>
  <c r="G415" i="9"/>
  <c r="G417" i="9" s="1"/>
  <c r="G404" i="9"/>
  <c r="G405" i="9"/>
  <c r="G406" i="9"/>
  <c r="G407" i="9"/>
  <c r="G408" i="9"/>
  <c r="G409" i="9"/>
  <c r="G410" i="9"/>
  <c r="G411" i="9"/>
  <c r="G412" i="9"/>
  <c r="G413" i="9"/>
  <c r="X79" i="9"/>
  <c r="X65" i="9"/>
  <c r="Y256" i="9"/>
  <c r="Z256" i="9" s="1"/>
  <c r="W256" i="9"/>
  <c r="X256" i="9" s="1"/>
  <c r="AA256" i="9" s="1"/>
  <c r="AA231" i="9"/>
  <c r="AA230" i="9"/>
  <c r="AC230" i="9" s="1"/>
  <c r="AA229" i="9"/>
  <c r="X230" i="9"/>
  <c r="Z230" i="9" s="1"/>
  <c r="AC231" i="9"/>
  <c r="X231" i="9"/>
  <c r="Z231" i="9" s="1"/>
  <c r="AC229" i="9"/>
  <c r="X229" i="9"/>
  <c r="Z229" i="9" s="1"/>
  <c r="AD229" i="9" s="1"/>
  <c r="Y193" i="9"/>
  <c r="Z193" i="9" s="1"/>
  <c r="Y192" i="9"/>
  <c r="Z192" i="9"/>
  <c r="Y149" i="9"/>
  <c r="Y150" i="9"/>
  <c r="Y148" i="9"/>
  <c r="Z148" i="9"/>
  <c r="Z149" i="9"/>
  <c r="Z150" i="9"/>
  <c r="Y147" i="9"/>
  <c r="Z147" i="9"/>
  <c r="AA145" i="9"/>
  <c r="AA143" i="9"/>
  <c r="AD143" i="9" s="1"/>
  <c r="AA144" i="9"/>
  <c r="AD144" i="9"/>
  <c r="AA142" i="9"/>
  <c r="AD142" i="9" s="1"/>
  <c r="AA146" i="9"/>
  <c r="AD146" i="9" s="1"/>
  <c r="AA141" i="9"/>
  <c r="X142" i="9"/>
  <c r="Z142" i="9" s="1"/>
  <c r="AE142" i="9" s="1"/>
  <c r="X143" i="9"/>
  <c r="Z143" i="9" s="1"/>
  <c r="X144" i="9"/>
  <c r="Z144" i="9" s="1"/>
  <c r="AE144" i="9" s="1"/>
  <c r="AD145" i="9"/>
  <c r="X145" i="9"/>
  <c r="Z145" i="9" s="1"/>
  <c r="X146" i="9"/>
  <c r="Z146" i="9" s="1"/>
  <c r="AD141" i="9"/>
  <c r="X141" i="9"/>
  <c r="Z141" i="9" s="1"/>
  <c r="AE141" i="9" s="1"/>
  <c r="W102" i="9"/>
  <c r="X102" i="9" s="1"/>
  <c r="W101" i="9"/>
  <c r="X101" i="9" s="1"/>
  <c r="Z99" i="9"/>
  <c r="AA99" i="9" s="1"/>
  <c r="AB99" i="9" s="1"/>
  <c r="Z100" i="9"/>
  <c r="AA100" i="9" s="1"/>
  <c r="AB100" i="9" s="1"/>
  <c r="Z98" i="9"/>
  <c r="AA98" i="9" s="1"/>
  <c r="AB98" i="9" s="1"/>
  <c r="X66" i="9"/>
  <c r="Y65" i="9"/>
  <c r="W65" i="9"/>
  <c r="W66" i="9"/>
  <c r="Y74" i="9"/>
  <c r="Z74" i="9" s="1"/>
  <c r="AB74" i="9" s="1"/>
  <c r="Y75" i="9"/>
  <c r="Z75" i="9" s="1"/>
  <c r="AB75" i="9" s="1"/>
  <c r="Y73" i="9"/>
  <c r="Z73" i="9" s="1"/>
  <c r="AB73" i="9" s="1"/>
  <c r="G483" i="9"/>
  <c r="F480" i="9"/>
  <c r="G318" i="9"/>
  <c r="B258" i="9"/>
  <c r="B259" i="9" s="1"/>
  <c r="B260" i="9" s="1"/>
  <c r="B261" i="9" s="1"/>
  <c r="B262" i="9" s="1"/>
  <c r="B263" i="9" s="1"/>
  <c r="X258" i="9"/>
  <c r="B244" i="9"/>
  <c r="B245" i="9" s="1"/>
  <c r="B246" i="9" s="1"/>
  <c r="B247" i="9" s="1"/>
  <c r="B251" i="9" s="1"/>
  <c r="B252" i="9" s="1"/>
  <c r="B253" i="9" s="1"/>
  <c r="G240" i="9"/>
  <c r="B222" i="9"/>
  <c r="B223" i="9" s="1"/>
  <c r="B224" i="9" s="1"/>
  <c r="B225" i="9" s="1"/>
  <c r="B226" i="9" s="1"/>
  <c r="B227" i="9" s="1"/>
  <c r="B228" i="9" s="1"/>
  <c r="B229" i="9" s="1"/>
  <c r="B230" i="9" s="1"/>
  <c r="B231" i="9" s="1"/>
  <c r="B232" i="9" s="1"/>
  <c r="B233" i="9" s="1"/>
  <c r="B234" i="9" s="1"/>
  <c r="B235" i="9" s="1"/>
  <c r="X228" i="9"/>
  <c r="Z228" i="9" s="1"/>
  <c r="X227" i="9"/>
  <c r="Z227" i="9" s="1"/>
  <c r="X226" i="9"/>
  <c r="Z226" i="9" s="1"/>
  <c r="G219" i="9"/>
  <c r="B207" i="9"/>
  <c r="B208" i="9" s="1"/>
  <c r="B209" i="9" s="1"/>
  <c r="B210" i="9" s="1"/>
  <c r="B211" i="9" s="1"/>
  <c r="B212" i="9" s="1"/>
  <c r="B213" i="9" s="1"/>
  <c r="B214" i="9" s="1"/>
  <c r="B186" i="9"/>
  <c r="B187" i="9" s="1"/>
  <c r="B188" i="9" s="1"/>
  <c r="B189" i="9" s="1"/>
  <c r="B190" i="9" s="1"/>
  <c r="B191" i="9" s="1"/>
  <c r="B192" i="9" s="1"/>
  <c r="B193" i="9" s="1"/>
  <c r="B194" i="9" s="1"/>
  <c r="B195" i="9" s="1"/>
  <c r="B196" i="9" s="1"/>
  <c r="B197" i="9" s="1"/>
  <c r="B198" i="9" s="1"/>
  <c r="G169" i="9"/>
  <c r="G181" i="9" s="1"/>
  <c r="G170" i="9"/>
  <c r="G171" i="9"/>
  <c r="G172" i="9"/>
  <c r="F173" i="9"/>
  <c r="G173" i="9"/>
  <c r="G174" i="9"/>
  <c r="G175" i="9"/>
  <c r="G176" i="9"/>
  <c r="G177" i="9"/>
  <c r="G178" i="9"/>
  <c r="G179" i="9"/>
  <c r="B170" i="9"/>
  <c r="B171" i="9"/>
  <c r="B172" i="9" s="1"/>
  <c r="B173" i="9" s="1"/>
  <c r="B174" i="9" s="1"/>
  <c r="Y160" i="9"/>
  <c r="B148" i="9"/>
  <c r="B149" i="9" s="1"/>
  <c r="B150" i="9" s="1"/>
  <c r="B151" i="9" s="1"/>
  <c r="B152" i="9" s="1"/>
  <c r="B153" i="9" s="1"/>
  <c r="B154" i="9" s="1"/>
  <c r="B155" i="9" s="1"/>
  <c r="B156" i="9" s="1"/>
  <c r="B157" i="9" s="1"/>
  <c r="B158" i="9" s="1"/>
  <c r="B159" i="9" s="1"/>
  <c r="B160" i="9" s="1"/>
  <c r="X158" i="9"/>
  <c r="W151" i="9"/>
  <c r="W147" i="9"/>
  <c r="G138" i="9"/>
  <c r="B129" i="9"/>
  <c r="B130" i="9"/>
  <c r="B131" i="9" s="1"/>
  <c r="B132" i="9" s="1"/>
  <c r="B133" i="9" s="1"/>
  <c r="B134" i="9" s="1"/>
  <c r="B135" i="9" s="1"/>
  <c r="B100" i="9"/>
  <c r="B101" i="9" s="1"/>
  <c r="B102" i="9" s="1"/>
  <c r="B103" i="9" s="1"/>
  <c r="B104" i="9" s="1"/>
  <c r="B105" i="9" s="1"/>
  <c r="B106" i="9" s="1"/>
  <c r="B107" i="9" s="1"/>
  <c r="B108" i="9" s="1"/>
  <c r="B109" i="9" s="1"/>
  <c r="B110" i="9" s="1"/>
  <c r="B111" i="9" s="1"/>
  <c r="B112" i="9" s="1"/>
  <c r="B113" i="9" s="1"/>
  <c r="B114" i="9" s="1"/>
  <c r="B115" i="9" s="1"/>
  <c r="B116" i="9" s="1"/>
  <c r="B117" i="9" s="1"/>
  <c r="B118" i="9" s="1"/>
  <c r="B119" i="9" s="1"/>
  <c r="W116" i="9"/>
  <c r="W115" i="9"/>
  <c r="X100" i="9"/>
  <c r="X99" i="9"/>
  <c r="X98" i="9"/>
  <c r="B98" i="9"/>
  <c r="B87" i="9"/>
  <c r="B88" i="9" s="1"/>
  <c r="B89" i="9" s="1"/>
  <c r="B90" i="9" s="1"/>
  <c r="B91" i="9" s="1"/>
  <c r="B92" i="9" s="1"/>
  <c r="B199" i="9"/>
  <c r="X75" i="9"/>
  <c r="X74" i="9"/>
  <c r="X73" i="9"/>
  <c r="B61" i="9"/>
  <c r="B62" i="9" s="1"/>
  <c r="B63" i="9" s="1"/>
  <c r="B64" i="9" s="1"/>
  <c r="B65" i="9" s="1"/>
  <c r="B66" i="9" s="1"/>
  <c r="B67" i="9" s="1"/>
  <c r="B68" i="9" s="1"/>
  <c r="B69" i="9" s="1"/>
  <c r="B70" i="9" s="1"/>
  <c r="B71" i="9" s="1"/>
  <c r="B72" i="9" s="1"/>
  <c r="B49" i="9"/>
  <c r="B50" i="9" s="1"/>
  <c r="B51" i="9" s="1"/>
  <c r="B52" i="9" s="1"/>
  <c r="B53" i="9" s="1"/>
  <c r="B54" i="9" s="1"/>
  <c r="B35" i="9"/>
  <c r="B36" i="9" s="1"/>
  <c r="B37" i="9" s="1"/>
  <c r="B38" i="9" s="1"/>
  <c r="B39" i="9" s="1"/>
  <c r="B40" i="9" s="1"/>
  <c r="B27" i="9"/>
  <c r="B28" i="9" s="1"/>
  <c r="B29" i="9" s="1"/>
  <c r="W27" i="9"/>
  <c r="E20" i="9"/>
  <c r="G20" i="9" s="1"/>
  <c r="E21" i="9"/>
  <c r="G21" i="9" s="1"/>
  <c r="E23" i="9"/>
  <c r="G23" i="9" s="1"/>
  <c r="G13" i="9"/>
  <c r="G14" i="9"/>
  <c r="W394" i="5"/>
  <c r="W399" i="5"/>
  <c r="G314" i="5"/>
  <c r="B27" i="5"/>
  <c r="B28" i="5" s="1"/>
  <c r="B29" i="5" s="1"/>
  <c r="W27" i="5"/>
  <c r="X261" i="5"/>
  <c r="B261" i="5"/>
  <c r="B262" i="5" s="1"/>
  <c r="B263" i="5" s="1"/>
  <c r="B264" i="5" s="1"/>
  <c r="B265" i="5" s="1"/>
  <c r="B266" i="5" s="1"/>
  <c r="B247" i="5"/>
  <c r="B248" i="5" s="1"/>
  <c r="B249" i="5" s="1"/>
  <c r="B250" i="5" s="1"/>
  <c r="B254" i="5" s="1"/>
  <c r="B255" i="5" s="1"/>
  <c r="B256" i="5" s="1"/>
  <c r="W65" i="5"/>
  <c r="Z234" i="5"/>
  <c r="Z232" i="5"/>
  <c r="Z229" i="5"/>
  <c r="W66" i="5"/>
  <c r="Z149" i="5"/>
  <c r="Y163" i="5"/>
  <c r="X161" i="5"/>
  <c r="Z145" i="5"/>
  <c r="Z146" i="5"/>
  <c r="Z147" i="5"/>
  <c r="Z148" i="5"/>
  <c r="Z144" i="5"/>
  <c r="R160" i="1"/>
  <c r="R161" i="1" s="1"/>
  <c r="H242" i="1"/>
  <c r="B103" i="5"/>
  <c r="B104" i="5" s="1"/>
  <c r="B105" i="5" s="1"/>
  <c r="B106" i="5" s="1"/>
  <c r="B107" i="5" s="1"/>
  <c r="B108" i="5" s="1"/>
  <c r="B109" i="5" s="1"/>
  <c r="B110" i="5" s="1"/>
  <c r="B111" i="5" s="1"/>
  <c r="B112" i="5" s="1"/>
  <c r="B113" i="5" s="1"/>
  <c r="B114" i="5" s="1"/>
  <c r="B115" i="5" s="1"/>
  <c r="B116" i="5" s="1"/>
  <c r="B117" i="5" s="1"/>
  <c r="B118" i="5" s="1"/>
  <c r="B119" i="5" s="1"/>
  <c r="B120" i="5" s="1"/>
  <c r="B121" i="5" s="1"/>
  <c r="B122" i="5" s="1"/>
  <c r="B101" i="5"/>
  <c r="G243" i="5"/>
  <c r="B225" i="5"/>
  <c r="B226" i="5" s="1"/>
  <c r="B227" i="5" s="1"/>
  <c r="B228" i="5" s="1"/>
  <c r="B229" i="5" s="1"/>
  <c r="B230" i="5" s="1"/>
  <c r="B231" i="5" s="1"/>
  <c r="B232" i="5" s="1"/>
  <c r="B233" i="5" s="1"/>
  <c r="B234" i="5" s="1"/>
  <c r="B235" i="5" s="1"/>
  <c r="B236" i="5" s="1"/>
  <c r="B237" i="5" s="1"/>
  <c r="B238" i="5" s="1"/>
  <c r="B189" i="5"/>
  <c r="B190" i="5" s="1"/>
  <c r="B191" i="5" s="1"/>
  <c r="B192" i="5" s="1"/>
  <c r="B193" i="5" s="1"/>
  <c r="B194" i="5" s="1"/>
  <c r="B195" i="5" s="1"/>
  <c r="B196" i="5" s="1"/>
  <c r="B197" i="5" s="1"/>
  <c r="B198" i="5" s="1"/>
  <c r="B199" i="5" s="1"/>
  <c r="B200" i="5" s="1"/>
  <c r="B201" i="5" s="1"/>
  <c r="B151" i="5"/>
  <c r="B152" i="5" s="1"/>
  <c r="B153" i="5" s="1"/>
  <c r="B154" i="5" s="1"/>
  <c r="B155" i="5" s="1"/>
  <c r="B156" i="5" s="1"/>
  <c r="B157" i="5" s="1"/>
  <c r="B158" i="5" s="1"/>
  <c r="B159" i="5" s="1"/>
  <c r="B160" i="5" s="1"/>
  <c r="B161" i="5" s="1"/>
  <c r="B162" i="5" s="1"/>
  <c r="B163" i="5" s="1"/>
  <c r="B132" i="5"/>
  <c r="B133" i="5" s="1"/>
  <c r="B134" i="5" s="1"/>
  <c r="B135" i="5" s="1"/>
  <c r="B136" i="5" s="1"/>
  <c r="B137" i="5" s="1"/>
  <c r="B138" i="5" s="1"/>
  <c r="B90" i="5"/>
  <c r="B91" i="5" s="1"/>
  <c r="B92" i="5" s="1"/>
  <c r="B93" i="5" s="1"/>
  <c r="B94" i="5" s="1"/>
  <c r="B95" i="5" s="1"/>
  <c r="B61" i="5"/>
  <c r="B62" i="5" s="1"/>
  <c r="B63" i="5" s="1"/>
  <c r="B64" i="5" s="1"/>
  <c r="B65" i="5" s="1"/>
  <c r="B66" i="5" s="1"/>
  <c r="B67" i="5" s="1"/>
  <c r="B68" i="5" s="1"/>
  <c r="B69" i="5" s="1"/>
  <c r="B70" i="5" s="1"/>
  <c r="B71" i="5" s="1"/>
  <c r="B72" i="5" s="1"/>
  <c r="B210" i="5"/>
  <c r="B211" i="5" s="1"/>
  <c r="B212" i="5" s="1"/>
  <c r="B213" i="5" s="1"/>
  <c r="B214" i="5" s="1"/>
  <c r="B215" i="5" s="1"/>
  <c r="B216" i="5" s="1"/>
  <c r="B217" i="5" s="1"/>
  <c r="B80" i="5"/>
  <c r="B35" i="5"/>
  <c r="B36" i="5" s="1"/>
  <c r="B37" i="5" s="1"/>
  <c r="B38" i="5" s="1"/>
  <c r="B39" i="5" s="1"/>
  <c r="B40" i="5" s="1"/>
  <c r="B49" i="5"/>
  <c r="B50" i="5" s="1"/>
  <c r="B51" i="5" s="1"/>
  <c r="B52" i="5" s="1"/>
  <c r="B53" i="5" s="1"/>
  <c r="B54" i="5" s="1"/>
  <c r="G222" i="5"/>
  <c r="B173" i="5"/>
  <c r="B174" i="5" s="1"/>
  <c r="B175" i="5" s="1"/>
  <c r="B176" i="5" s="1"/>
  <c r="G141" i="5"/>
  <c r="F23" i="6"/>
  <c r="G78" i="6"/>
  <c r="G76" i="6"/>
  <c r="G77" i="6"/>
  <c r="F74" i="6"/>
  <c r="F73" i="6"/>
  <c r="F100" i="6"/>
  <c r="F106" i="6"/>
  <c r="A101" i="6"/>
  <c r="A102" i="6" s="1"/>
  <c r="A103" i="6" s="1"/>
  <c r="A104" i="6" s="1"/>
  <c r="A105" i="6" s="1"/>
  <c r="A106" i="6" s="1"/>
  <c r="A107" i="6" s="1"/>
  <c r="A108" i="6" s="1"/>
  <c r="A109" i="6" s="1"/>
  <c r="L105" i="6"/>
  <c r="L104" i="6"/>
  <c r="L103" i="6"/>
  <c r="L102" i="6"/>
  <c r="L101" i="6"/>
  <c r="L100" i="6"/>
  <c r="L99" i="6"/>
  <c r="L98" i="6"/>
  <c r="L97" i="6"/>
  <c r="L96" i="6"/>
  <c r="A17" i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F25" i="1"/>
  <c r="F26" i="1"/>
  <c r="F21" i="1"/>
  <c r="F24" i="1"/>
  <c r="F19" i="1"/>
  <c r="F112" i="1"/>
  <c r="F111" i="1"/>
  <c r="F110" i="1"/>
  <c r="F109" i="1"/>
  <c r="A94" i="1"/>
  <c r="A95" i="1" s="1"/>
  <c r="A96" i="1" s="1"/>
  <c r="A97" i="1" s="1"/>
  <c r="A98" i="1" s="1"/>
  <c r="A99" i="1" s="1"/>
  <c r="A100" i="1" s="1"/>
  <c r="F98" i="1"/>
  <c r="F99" i="1"/>
  <c r="F96" i="1"/>
  <c r="F95" i="1"/>
  <c r="F94" i="1"/>
  <c r="F123" i="1"/>
  <c r="F120" i="1"/>
  <c r="F122" i="1"/>
  <c r="F146" i="1"/>
  <c r="F147" i="1"/>
  <c r="F148" i="1"/>
  <c r="F163" i="1" s="1"/>
  <c r="A119" i="1"/>
  <c r="A120" i="1" s="1"/>
  <c r="A121" i="1" s="1"/>
  <c r="A122" i="1" s="1"/>
  <c r="F119" i="1"/>
  <c r="F118" i="1"/>
  <c r="F117" i="1"/>
  <c r="F91" i="6"/>
  <c r="A86" i="6"/>
  <c r="A87" i="6" s="1"/>
  <c r="A88" i="6" s="1"/>
  <c r="A89" i="6" s="1"/>
  <c r="A90" i="6" s="1"/>
  <c r="A91" i="6" s="1"/>
  <c r="A92" i="6" s="1"/>
  <c r="A93" i="6" s="1"/>
  <c r="A94" i="6" s="1"/>
  <c r="F85" i="6"/>
  <c r="A3" i="1"/>
  <c r="F303" i="1"/>
  <c r="F301" i="1"/>
  <c r="F300" i="1"/>
  <c r="F299" i="1"/>
  <c r="F297" i="1"/>
  <c r="F296" i="1"/>
  <c r="F294" i="1"/>
  <c r="F293" i="1"/>
  <c r="F292" i="1"/>
  <c r="F291" i="1"/>
  <c r="F290" i="1"/>
  <c r="F289" i="1"/>
  <c r="F288" i="1"/>
  <c r="F286" i="1"/>
  <c r="F285" i="1"/>
  <c r="F284" i="1"/>
  <c r="F283" i="1"/>
  <c r="F282" i="1"/>
  <c r="F281" i="1"/>
  <c r="F280" i="1"/>
  <c r="F279" i="1"/>
  <c r="F278" i="1"/>
  <c r="F276" i="1"/>
  <c r="F275" i="1"/>
  <c r="F274" i="1"/>
  <c r="F273" i="1"/>
  <c r="F272" i="1"/>
  <c r="F271" i="1"/>
  <c r="F270" i="1"/>
  <c r="F268" i="1"/>
  <c r="F267" i="1"/>
  <c r="F266" i="1"/>
  <c r="F265" i="1"/>
  <c r="F264" i="1"/>
  <c r="F262" i="1"/>
  <c r="F261" i="1"/>
  <c r="F260" i="1"/>
  <c r="F259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1" i="1"/>
  <c r="F240" i="1"/>
  <c r="F239" i="1"/>
  <c r="F238" i="1"/>
  <c r="F237" i="1"/>
  <c r="F235" i="1"/>
  <c r="F234" i="1"/>
  <c r="F233" i="1"/>
  <c r="F232" i="1"/>
  <c r="F231" i="1"/>
  <c r="F230" i="1"/>
  <c r="F229" i="1"/>
  <c r="F228" i="1"/>
  <c r="F226" i="1"/>
  <c r="F225" i="1"/>
  <c r="F220" i="1"/>
  <c r="F219" i="1"/>
  <c r="F218" i="1"/>
  <c r="F217" i="1"/>
  <c r="F213" i="1"/>
  <c r="F212" i="1"/>
  <c r="F210" i="1"/>
  <c r="F209" i="1"/>
  <c r="F208" i="1"/>
  <c r="F206" i="1"/>
  <c r="F205" i="1"/>
  <c r="F203" i="1"/>
  <c r="F202" i="1"/>
  <c r="F201" i="1"/>
  <c r="F200" i="1"/>
  <c r="F195" i="1"/>
  <c r="F194" i="1"/>
  <c r="F192" i="1"/>
  <c r="F190" i="1"/>
  <c r="F188" i="1"/>
  <c r="F187" i="1"/>
  <c r="F186" i="1"/>
  <c r="F185" i="1"/>
  <c r="F184" i="1"/>
  <c r="F183" i="1"/>
  <c r="F179" i="1"/>
  <c r="F178" i="1"/>
  <c r="F177" i="1"/>
  <c r="F176" i="1"/>
  <c r="F175" i="1"/>
  <c r="F173" i="1"/>
  <c r="F171" i="1"/>
  <c r="F170" i="1"/>
  <c r="F169" i="1"/>
  <c r="F168" i="1"/>
  <c r="F167" i="1"/>
  <c r="F166" i="1"/>
  <c r="F162" i="1"/>
  <c r="F161" i="1"/>
  <c r="F160" i="1"/>
  <c r="F159" i="1"/>
  <c r="F158" i="1"/>
  <c r="F157" i="1"/>
  <c r="F156" i="1"/>
  <c r="F154" i="1"/>
  <c r="F153" i="1"/>
  <c r="F151" i="1"/>
  <c r="F150" i="1"/>
  <c r="F149" i="1"/>
  <c r="F114" i="1"/>
  <c r="F108" i="1"/>
  <c r="F107" i="1"/>
  <c r="F106" i="1"/>
  <c r="F105" i="1"/>
  <c r="F104" i="1"/>
  <c r="F103" i="1"/>
  <c r="F90" i="1"/>
  <c r="F89" i="1"/>
  <c r="F88" i="1"/>
  <c r="F87" i="1"/>
  <c r="F85" i="1"/>
  <c r="F84" i="1"/>
  <c r="F83" i="1"/>
  <c r="F81" i="1"/>
  <c r="F80" i="1"/>
  <c r="F79" i="1"/>
  <c r="F78" i="1"/>
  <c r="F77" i="1"/>
  <c r="F76" i="1"/>
  <c r="F75" i="1"/>
  <c r="F74" i="1"/>
  <c r="F73" i="1"/>
  <c r="F72" i="1"/>
  <c r="F71" i="1"/>
  <c r="F69" i="1"/>
  <c r="F68" i="1"/>
  <c r="F67" i="1"/>
  <c r="F66" i="1"/>
  <c r="F65" i="1"/>
  <c r="F64" i="1"/>
  <c r="F60" i="1"/>
  <c r="F59" i="1"/>
  <c r="F58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2" i="1"/>
  <c r="F41" i="1"/>
  <c r="F40" i="1"/>
  <c r="F39" i="1"/>
  <c r="F38" i="1"/>
  <c r="F37" i="1"/>
  <c r="F33" i="1"/>
  <c r="F32" i="1"/>
  <c r="F30" i="1"/>
  <c r="F29" i="1"/>
  <c r="F27" i="1"/>
  <c r="F23" i="1"/>
  <c r="F22" i="1"/>
  <c r="F20" i="1"/>
  <c r="F18" i="1"/>
  <c r="F17" i="1"/>
  <c r="F16" i="1"/>
  <c r="F15" i="1"/>
  <c r="F14" i="1"/>
  <c r="F13" i="1"/>
  <c r="F9" i="1"/>
  <c r="F8" i="1"/>
  <c r="A60" i="6"/>
  <c r="A61" i="6" s="1"/>
  <c r="A62" i="6" s="1"/>
  <c r="A63" i="6" s="1"/>
  <c r="A64" i="6" s="1"/>
  <c r="A65" i="6" s="1"/>
  <c r="A66" i="6" s="1"/>
  <c r="A67" i="6" s="1"/>
  <c r="A68" i="6" s="1"/>
  <c r="A69" i="6" s="1"/>
  <c r="A70" i="6" s="1"/>
  <c r="A71" i="6" s="1"/>
  <c r="A72" i="6" s="1"/>
  <c r="A73" i="6" s="1"/>
  <c r="A74" i="6" s="1"/>
  <c r="A75" i="6" s="1"/>
  <c r="A76" i="6" s="1"/>
  <c r="A77" i="6" s="1"/>
  <c r="A78" i="6" s="1"/>
  <c r="A79" i="6" s="1"/>
  <c r="A36" i="6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23" i="7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G20" i="7"/>
  <c r="G19" i="7"/>
  <c r="I11" i="7"/>
  <c r="I10" i="7"/>
  <c r="I9" i="7"/>
  <c r="I8" i="7"/>
  <c r="G11" i="7"/>
  <c r="G10" i="7"/>
  <c r="G9" i="7"/>
  <c r="F52" i="6"/>
  <c r="F51" i="6"/>
  <c r="F12" i="6"/>
  <c r="F28" i="6"/>
  <c r="F9" i="6"/>
  <c r="F8" i="6"/>
  <c r="F18" i="6"/>
  <c r="A3" i="7"/>
  <c r="F66" i="6"/>
  <c r="F59" i="6"/>
  <c r="F53" i="6"/>
  <c r="F50" i="6"/>
  <c r="F49" i="6"/>
  <c r="F48" i="6"/>
  <c r="F47" i="6"/>
  <c r="F46" i="6"/>
  <c r="F37" i="6"/>
  <c r="F35" i="6"/>
  <c r="F22" i="6"/>
  <c r="F21" i="6"/>
  <c r="F17" i="6"/>
  <c r="F16" i="6"/>
  <c r="F10" i="6"/>
  <c r="F11" i="6"/>
  <c r="A3" i="6"/>
  <c r="E23" i="5"/>
  <c r="G23" i="5" s="1"/>
  <c r="E21" i="5"/>
  <c r="G21" i="5" s="1"/>
  <c r="F494" i="5"/>
  <c r="H326" i="4"/>
  <c r="H327" i="4" s="1"/>
  <c r="H332" i="4" s="1"/>
  <c r="H303" i="4"/>
  <c r="H304" i="4" s="1"/>
  <c r="H309" i="4" s="1"/>
  <c r="E20" i="5"/>
  <c r="G20" i="5" s="1"/>
  <c r="G14" i="5"/>
  <c r="G13" i="5"/>
  <c r="B213" i="12"/>
  <c r="B214" i="12" s="1"/>
  <c r="B215" i="12" s="1"/>
  <c r="B216" i="12" s="1"/>
  <c r="B217" i="12" s="1"/>
  <c r="B218" i="12" s="1"/>
  <c r="B219" i="12" s="1"/>
  <c r="B220" i="12" s="1"/>
  <c r="B212" i="12"/>
  <c r="E22" i="12"/>
  <c r="G22" i="12" s="1"/>
  <c r="G56" i="12"/>
  <c r="A146" i="1"/>
  <c r="A147" i="1" s="1"/>
  <c r="A148" i="1" s="1"/>
  <c r="A149" i="1" s="1"/>
  <c r="A150" i="1" s="1"/>
  <c r="A151" i="1" s="1"/>
  <c r="A123" i="1"/>
  <c r="A124" i="1" s="1"/>
  <c r="B180" i="12"/>
  <c r="B181" i="12"/>
  <c r="B182" i="12" s="1"/>
  <c r="B183" i="12" s="1"/>
  <c r="B179" i="12"/>
  <c r="E22" i="5"/>
  <c r="G22" i="5" s="1"/>
  <c r="B175" i="9"/>
  <c r="B176" i="9" s="1"/>
  <c r="B177" i="9" s="1"/>
  <c r="B178" i="9" s="1"/>
  <c r="G413" i="12"/>
  <c r="AD231" i="9"/>
  <c r="G42" i="12"/>
  <c r="AE143" i="9"/>
  <c r="G218" i="9"/>
  <c r="G167" i="12"/>
  <c r="G56" i="9"/>
  <c r="G204" i="12"/>
  <c r="G30" i="12"/>
  <c r="AB547" i="12"/>
  <c r="AG493" i="12"/>
  <c r="AI493" i="12" s="1"/>
  <c r="G16" i="18"/>
  <c r="G11" i="18" s="1"/>
  <c r="G168" i="18"/>
  <c r="G195" i="18"/>
  <c r="G128" i="18"/>
  <c r="E129" i="18"/>
  <c r="G129" i="18" s="1"/>
  <c r="G127" i="5" l="1"/>
  <c r="G504" i="18"/>
  <c r="G158" i="18"/>
  <c r="G281" i="12"/>
  <c r="G254" i="12"/>
  <c r="G203" i="18"/>
  <c r="F204" i="18"/>
  <c r="G204" i="18" s="1"/>
  <c r="G331" i="18"/>
  <c r="G23" i="8"/>
  <c r="G17" i="8" s="1"/>
  <c r="G129" i="12"/>
  <c r="G254" i="13"/>
  <c r="E512" i="18"/>
  <c r="G512" i="18" s="1"/>
  <c r="G173" i="18"/>
  <c r="E482" i="13"/>
  <c r="E483" i="13" s="1"/>
  <c r="G483" i="13" s="1"/>
  <c r="F214" i="1"/>
  <c r="AF482" i="13"/>
  <c r="AH482" i="13" s="1"/>
  <c r="AH489" i="13" s="1"/>
  <c r="AH491" i="13" s="1"/>
  <c r="AH494" i="13" s="1"/>
  <c r="AH495" i="13" s="1"/>
  <c r="AH264" i="13"/>
  <c r="E515" i="18"/>
  <c r="G515" i="18" s="1"/>
  <c r="E44" i="18"/>
  <c r="G44" i="18" s="1"/>
  <c r="AI421" i="12"/>
  <c r="AC180" i="13"/>
  <c r="AC181" i="13" s="1"/>
  <c r="AC182" i="13" s="1"/>
  <c r="AC183" i="13" s="1"/>
  <c r="AH222" i="13"/>
  <c r="AH254" i="13" s="1"/>
  <c r="B212" i="14"/>
  <c r="G198" i="18"/>
  <c r="G209" i="18" s="1"/>
  <c r="G239" i="18" s="1"/>
  <c r="E514" i="18"/>
  <c r="G514" i="18" s="1"/>
  <c r="G401" i="9"/>
  <c r="G137" i="9"/>
  <c r="G261" i="16"/>
  <c r="F95" i="6"/>
  <c r="AE145" i="9"/>
  <c r="G30" i="5"/>
  <c r="G313" i="5"/>
  <c r="G16" i="13"/>
  <c r="G11" i="13" s="1"/>
  <c r="AH83" i="13"/>
  <c r="D21" i="15"/>
  <c r="G169" i="16"/>
  <c r="G96" i="16"/>
  <c r="G130" i="18"/>
  <c r="G199" i="18"/>
  <c r="G17" i="20"/>
  <c r="G24" i="12"/>
  <c r="G18" i="12" s="1"/>
  <c r="G16" i="9"/>
  <c r="G11" i="9" s="1"/>
  <c r="G267" i="5"/>
  <c r="AI478" i="12"/>
  <c r="G222" i="14"/>
  <c r="G30" i="14"/>
  <c r="G224" i="16"/>
  <c r="E22" i="17"/>
  <c r="G22" i="17" s="1"/>
  <c r="G440" i="18"/>
  <c r="G418" i="5"/>
  <c r="G140" i="5"/>
  <c r="G167" i="5" s="1"/>
  <c r="G423" i="12"/>
  <c r="G488" i="12"/>
  <c r="AI438" i="12"/>
  <c r="AH30" i="13"/>
  <c r="AH127" i="13"/>
  <c r="G58" i="14"/>
  <c r="G181" i="17"/>
  <c r="G425" i="18"/>
  <c r="G266" i="18"/>
  <c r="G473" i="5"/>
  <c r="F91" i="1"/>
  <c r="F115" i="1"/>
  <c r="F221" i="1"/>
  <c r="F304" i="1"/>
  <c r="G85" i="14"/>
  <c r="G87" i="14" s="1"/>
  <c r="G491" i="16"/>
  <c r="G415" i="18"/>
  <c r="G320" i="18"/>
  <c r="G85" i="12"/>
  <c r="AE146" i="9"/>
  <c r="AH281" i="13"/>
  <c r="G252" i="14"/>
  <c r="E22" i="16"/>
  <c r="G22" i="16" s="1"/>
  <c r="G24" i="16" s="1"/>
  <c r="G18" i="16" s="1"/>
  <c r="G86" i="16"/>
  <c r="I38" i="16"/>
  <c r="E516" i="17"/>
  <c r="G516" i="17" s="1"/>
  <c r="G65" i="18"/>
  <c r="G85" i="18" s="1"/>
  <c r="G169" i="17"/>
  <c r="AD230" i="9"/>
  <c r="G94" i="9"/>
  <c r="G124" i="9" s="1"/>
  <c r="G335" i="12"/>
  <c r="AI97" i="12"/>
  <c r="G85" i="13"/>
  <c r="AH439" i="13"/>
  <c r="AM204" i="13"/>
  <c r="G439" i="14"/>
  <c r="D14" i="15"/>
  <c r="G30" i="16"/>
  <c r="G97" i="16"/>
  <c r="G100" i="16" s="1"/>
  <c r="G130" i="16" s="1"/>
  <c r="G505" i="16"/>
  <c r="G213" i="17"/>
  <c r="F34" i="1"/>
  <c r="F180" i="1"/>
  <c r="F196" i="1"/>
  <c r="E22" i="9"/>
  <c r="G22" i="9" s="1"/>
  <c r="G24" i="9" s="1"/>
  <c r="G18" i="9" s="1"/>
  <c r="AI30" i="12"/>
  <c r="AI127" i="12"/>
  <c r="AI129" i="12" s="1"/>
  <c r="G142" i="13"/>
  <c r="AM83" i="13"/>
  <c r="AM85" i="13" s="1"/>
  <c r="G479" i="14"/>
  <c r="G422" i="14"/>
  <c r="D16" i="15"/>
  <c r="G128" i="16"/>
  <c r="I41" i="16"/>
  <c r="I42" i="16" s="1"/>
  <c r="G59" i="17"/>
  <c r="G24" i="5"/>
  <c r="G18" i="5" s="1"/>
  <c r="G16" i="5"/>
  <c r="G11" i="5" s="1"/>
  <c r="Y66" i="9"/>
  <c r="G56" i="5"/>
  <c r="G85" i="5" s="1"/>
  <c r="AH56" i="13"/>
  <c r="G97" i="13"/>
  <c r="G129" i="13" s="1"/>
  <c r="G167" i="13"/>
  <c r="G334" i="13"/>
  <c r="G279" i="14"/>
  <c r="G127" i="14"/>
  <c r="G281" i="16"/>
  <c r="G99" i="18"/>
  <c r="G124" i="18" s="1"/>
  <c r="F29" i="6"/>
  <c r="F10" i="1"/>
  <c r="Z65" i="9"/>
  <c r="G122" i="9"/>
  <c r="G184" i="5"/>
  <c r="G165" i="5"/>
  <c r="G142" i="12"/>
  <c r="G169" i="12" s="1"/>
  <c r="AI56" i="12"/>
  <c r="AI83" i="12"/>
  <c r="AI204" i="12"/>
  <c r="AI411" i="12"/>
  <c r="G30" i="13"/>
  <c r="G42" i="13"/>
  <c r="AH42" i="13"/>
  <c r="AH97" i="13"/>
  <c r="AH129" i="13" s="1"/>
  <c r="G279" i="13"/>
  <c r="G281" i="13" s="1"/>
  <c r="G204" i="14"/>
  <c r="D11" i="15"/>
  <c r="E11" i="15" s="1"/>
  <c r="A11" i="15" s="1"/>
  <c r="D23" i="15"/>
  <c r="G181" i="16"/>
  <c r="G59" i="16"/>
  <c r="G16" i="17"/>
  <c r="G11" i="17" s="1"/>
  <c r="B214" i="17"/>
  <c r="G90" i="20"/>
  <c r="G190" i="18"/>
  <c r="G31" i="21"/>
  <c r="G112" i="21"/>
  <c r="G251" i="21"/>
  <c r="G263" i="21" s="1"/>
  <c r="G475" i="21"/>
  <c r="G487" i="21" s="1"/>
  <c r="G523" i="17"/>
  <c r="AH334" i="13"/>
  <c r="AB101" i="9"/>
  <c r="Z101" i="9"/>
  <c r="AH85" i="13"/>
  <c r="G82" i="9"/>
  <c r="F54" i="6"/>
  <c r="F80" i="6"/>
  <c r="F61" i="1"/>
  <c r="F111" i="6"/>
  <c r="G472" i="9"/>
  <c r="G42" i="9"/>
  <c r="G162" i="9"/>
  <c r="G237" i="9"/>
  <c r="G239" i="9" s="1"/>
  <c r="G249" i="9"/>
  <c r="G485" i="5"/>
  <c r="AI142" i="12"/>
  <c r="AI185" i="12"/>
  <c r="AI252" i="12"/>
  <c r="AI254" i="12" s="1"/>
  <c r="G20" i="13"/>
  <c r="G24" i="13" s="1"/>
  <c r="G18" i="13" s="1"/>
  <c r="AM42" i="13"/>
  <c r="AM142" i="13"/>
  <c r="AM169" i="13" s="1"/>
  <c r="G88" i="16"/>
  <c r="G31" i="8"/>
  <c r="G34" i="8" s="1"/>
  <c r="G37" i="8" s="1"/>
  <c r="G30" i="9"/>
  <c r="G264" i="9"/>
  <c r="G42" i="5"/>
  <c r="G252" i="5"/>
  <c r="G269" i="5" s="1"/>
  <c r="G401" i="5"/>
  <c r="AI42" i="12"/>
  <c r="AI167" i="12"/>
  <c r="AI169" i="12" s="1"/>
  <c r="AI333" i="12"/>
  <c r="AH142" i="13"/>
  <c r="AH169" i="13" s="1"/>
  <c r="AM254" i="13"/>
  <c r="G185" i="14"/>
  <c r="G205" i="14" s="1"/>
  <c r="G128" i="17"/>
  <c r="AM30" i="13"/>
  <c r="AM97" i="13"/>
  <c r="AM129" i="13" s="1"/>
  <c r="AM430" i="13"/>
  <c r="G24" i="14"/>
  <c r="G18" i="14" s="1"/>
  <c r="G264" i="14"/>
  <c r="G167" i="14"/>
  <c r="G99" i="14"/>
  <c r="G129" i="14" s="1"/>
  <c r="G44" i="14"/>
  <c r="D12" i="15"/>
  <c r="E12" i="15" s="1"/>
  <c r="A12" i="15" s="1"/>
  <c r="D15" i="15"/>
  <c r="E15" i="15" s="1"/>
  <c r="A15" i="15" s="1"/>
  <c r="D20" i="15"/>
  <c r="D22" i="15"/>
  <c r="E22" i="15" s="1"/>
  <c r="A22" i="15" s="1"/>
  <c r="D8" i="15"/>
  <c r="G16" i="16"/>
  <c r="G11" i="16" s="1"/>
  <c r="E342" i="16"/>
  <c r="G342" i="16" s="1"/>
  <c r="G346" i="16" s="1"/>
  <c r="G266" i="16"/>
  <c r="G206" i="16"/>
  <c r="G434" i="16"/>
  <c r="G45" i="16"/>
  <c r="J37" i="17"/>
  <c r="G266" i="17"/>
  <c r="G412" i="14"/>
  <c r="G254" i="14"/>
  <c r="G254" i="16"/>
  <c r="G187" i="16"/>
  <c r="G24" i="17"/>
  <c r="G18" i="17" s="1"/>
  <c r="G348" i="17"/>
  <c r="G281" i="17"/>
  <c r="G283" i="17" s="1"/>
  <c r="G254" i="17"/>
  <c r="G206" i="17"/>
  <c r="G6" i="19"/>
  <c r="G85" i="20"/>
  <c r="G477" i="5"/>
  <c r="B178" i="5"/>
  <c r="B179" i="5" s="1"/>
  <c r="B180" i="5" s="1"/>
  <c r="B181" i="5" s="1"/>
  <c r="B177" i="5"/>
  <c r="Z102" i="9"/>
  <c r="AB102" i="9"/>
  <c r="AC180" i="12"/>
  <c r="AC181" i="12" s="1"/>
  <c r="AC182" i="12" s="1"/>
  <c r="AC183" i="12" s="1"/>
  <c r="AC179" i="12"/>
  <c r="G136" i="18"/>
  <c r="G160" i="18" s="1"/>
  <c r="AI264" i="12"/>
  <c r="AI281" i="12" s="1"/>
  <c r="AF483" i="13"/>
  <c r="AH483" i="13" s="1"/>
  <c r="AM334" i="13"/>
  <c r="B180" i="14"/>
  <c r="B181" i="14" s="1"/>
  <c r="B182" i="14" s="1"/>
  <c r="B183" i="14" s="1"/>
  <c r="B179" i="14"/>
  <c r="AK473" i="13"/>
  <c r="G281" i="14"/>
  <c r="G283" i="16"/>
  <c r="G207" i="16"/>
  <c r="G334" i="14"/>
  <c r="G142" i="14"/>
  <c r="B181" i="16"/>
  <c r="B182" i="16"/>
  <c r="B183" i="16" s="1"/>
  <c r="B184" i="16" s="1"/>
  <c r="B185" i="16" s="1"/>
  <c r="G143" i="16"/>
  <c r="G171" i="16" s="1"/>
  <c r="B182" i="17"/>
  <c r="B183" i="17" s="1"/>
  <c r="B184" i="17" s="1"/>
  <c r="B185" i="17" s="1"/>
  <c r="B181" i="17"/>
  <c r="J40" i="17"/>
  <c r="G493" i="17"/>
  <c r="G426" i="17"/>
  <c r="G507" i="17"/>
  <c r="G453" i="17"/>
  <c r="G224" i="17"/>
  <c r="G187" i="17"/>
  <c r="G207" i="17" s="1"/>
  <c r="G100" i="17"/>
  <c r="G130" i="17" s="1"/>
  <c r="G86" i="17"/>
  <c r="G45" i="17"/>
  <c r="F141" i="17"/>
  <c r="G141" i="17" s="1"/>
  <c r="F139" i="17"/>
  <c r="G139" i="17" s="1"/>
  <c r="F138" i="17"/>
  <c r="G138" i="17" s="1"/>
  <c r="G237" i="18"/>
  <c r="E515" i="17"/>
  <c r="G515" i="17" s="1"/>
  <c r="E513" i="18"/>
  <c r="G513" i="18" s="1"/>
  <c r="E514" i="16"/>
  <c r="G514" i="16" s="1"/>
  <c r="G522" i="16"/>
  <c r="E496" i="12"/>
  <c r="G496" i="12" s="1"/>
  <c r="G495" i="12"/>
  <c r="E511" i="18"/>
  <c r="G511" i="18" s="1"/>
  <c r="G520" i="18"/>
  <c r="E507" i="18"/>
  <c r="G507" i="18" s="1"/>
  <c r="G498" i="12"/>
  <c r="E516" i="16"/>
  <c r="G516" i="16" s="1"/>
  <c r="G522" i="17"/>
  <c r="E518" i="17"/>
  <c r="G518" i="17" s="1"/>
  <c r="E512" i="16"/>
  <c r="G512" i="16" s="1"/>
  <c r="E517" i="17"/>
  <c r="G517" i="17" s="1"/>
  <c r="E514" i="17"/>
  <c r="G514" i="17" s="1"/>
  <c r="E513" i="16"/>
  <c r="G513" i="16" s="1"/>
  <c r="E515" i="16"/>
  <c r="G515" i="16" s="1"/>
  <c r="E508" i="16"/>
  <c r="E509" i="16" s="1"/>
  <c r="G509" i="16" s="1"/>
  <c r="G490" i="14"/>
  <c r="E491" i="14"/>
  <c r="G491" i="14" s="1"/>
  <c r="G493" i="14"/>
  <c r="E510" i="17"/>
  <c r="G59" i="18"/>
  <c r="AG494" i="12"/>
  <c r="AI494" i="12" s="1"/>
  <c r="AI500" i="12" s="1"/>
  <c r="G336" i="21"/>
  <c r="G337" i="21" s="1"/>
  <c r="G389" i="21"/>
  <c r="G46" i="18"/>
  <c r="G482" i="13" l="1"/>
  <c r="G489" i="13" s="1"/>
  <c r="G487" i="5"/>
  <c r="G490" i="5" s="1"/>
  <c r="G91" i="20"/>
  <c r="G256" i="17"/>
  <c r="G169" i="14"/>
  <c r="G256" i="16"/>
  <c r="G337" i="18"/>
  <c r="G88" i="17"/>
  <c r="G164" i="9"/>
  <c r="G473" i="9" s="1"/>
  <c r="G476" i="9" s="1"/>
  <c r="F307" i="1"/>
  <c r="AH497" i="13"/>
  <c r="AH499" i="13" s="1"/>
  <c r="G266" i="9"/>
  <c r="AH496" i="13"/>
  <c r="AH498" i="13" s="1"/>
  <c r="AH500" i="13" s="1"/>
  <c r="AI85" i="12"/>
  <c r="AI502" i="12" s="1"/>
  <c r="AI505" i="12" s="1"/>
  <c r="AI506" i="12" s="1"/>
  <c r="G169" i="13"/>
  <c r="G87" i="18"/>
  <c r="G91" i="21"/>
  <c r="G114" i="21" s="1"/>
  <c r="G15" i="21"/>
  <c r="E14" i="15"/>
  <c r="A14" i="15" s="1"/>
  <c r="E21" i="15"/>
  <c r="A21" i="15" s="1"/>
  <c r="E16" i="15"/>
  <c r="A16" i="15" s="1"/>
  <c r="E23" i="15"/>
  <c r="A23" i="15" s="1"/>
  <c r="E19" i="15"/>
  <c r="A19" i="15" s="1"/>
  <c r="E20" i="15"/>
  <c r="A20" i="15" s="1"/>
  <c r="G38" i="8"/>
  <c r="G39" i="8" s="1"/>
  <c r="G143" i="17"/>
  <c r="G171" i="17" s="1"/>
  <c r="G491" i="21"/>
  <c r="AM473" i="13"/>
  <c r="AK474" i="13"/>
  <c r="AM474" i="13" s="1"/>
  <c r="G493" i="5"/>
  <c r="G495" i="5" s="1"/>
  <c r="G491" i="5"/>
  <c r="G492" i="5"/>
  <c r="I518" i="17"/>
  <c r="I516" i="16"/>
  <c r="G502" i="12"/>
  <c r="G504" i="12" s="1"/>
  <c r="G507" i="12" s="1"/>
  <c r="G509" i="12" s="1"/>
  <c r="E508" i="18"/>
  <c r="G508" i="18" s="1"/>
  <c r="E510" i="18"/>
  <c r="G510" i="18" s="1"/>
  <c r="G508" i="16"/>
  <c r="G523" i="16" s="1"/>
  <c r="G525" i="16" s="1"/>
  <c r="G529" i="16" s="1"/>
  <c r="G497" i="14"/>
  <c r="G510" i="17"/>
  <c r="E511" i="17"/>
  <c r="G511" i="17" s="1"/>
  <c r="G491" i="13" l="1"/>
  <c r="G494" i="13" s="1"/>
  <c r="G496" i="13" s="1"/>
  <c r="G499" i="14"/>
  <c r="G502" i="14" s="1"/>
  <c r="G503" i="14" s="1"/>
  <c r="F312" i="1"/>
  <c r="F310" i="1"/>
  <c r="F311" i="1" s="1"/>
  <c r="F309" i="1"/>
  <c r="F308" i="1"/>
  <c r="AI508" i="12"/>
  <c r="AI510" i="12" s="1"/>
  <c r="AI507" i="12"/>
  <c r="G511" i="21"/>
  <c r="G488" i="9"/>
  <c r="G489" i="9" s="1"/>
  <c r="Z39" i="8"/>
  <c r="Z41" i="8" s="1"/>
  <c r="G479" i="9"/>
  <c r="G481" i="9" s="1"/>
  <c r="G478" i="9"/>
  <c r="G477" i="9"/>
  <c r="G494" i="5"/>
  <c r="G496" i="5" s="1"/>
  <c r="X496" i="5" s="1"/>
  <c r="X498" i="5" s="1"/>
  <c r="AM480" i="13"/>
  <c r="AM482" i="13" s="1"/>
  <c r="AM485" i="13" s="1"/>
  <c r="G510" i="12"/>
  <c r="G512" i="12" s="1"/>
  <c r="G508" i="12"/>
  <c r="G522" i="18"/>
  <c r="G524" i="18" s="1"/>
  <c r="G527" i="18" s="1"/>
  <c r="G528" i="18" s="1"/>
  <c r="G532" i="16"/>
  <c r="G534" i="16" s="1"/>
  <c r="G531" i="16"/>
  <c r="G530" i="16"/>
  <c r="G525" i="17"/>
  <c r="G527" i="17" s="1"/>
  <c r="G531" i="17" s="1"/>
  <c r="G551" i="18" l="1"/>
  <c r="G552" i="18" s="1"/>
  <c r="G539" i="12"/>
  <c r="G540" i="12" s="1"/>
  <c r="X540" i="12" s="1"/>
  <c r="G586" i="17"/>
  <c r="G587" i="17" s="1"/>
  <c r="G584" i="16"/>
  <c r="G585" i="16" s="1"/>
  <c r="G526" i="13"/>
  <c r="G527" i="13" s="1"/>
  <c r="X527" i="13" s="1"/>
  <c r="G534" i="14"/>
  <c r="G535" i="14" s="1"/>
  <c r="G122" i="20"/>
  <c r="G123" i="20" s="1"/>
  <c r="G497" i="13"/>
  <c r="G499" i="13" s="1"/>
  <c r="G495" i="13"/>
  <c r="G505" i="14"/>
  <c r="G507" i="14" s="1"/>
  <c r="G504" i="14"/>
  <c r="AI509" i="12"/>
  <c r="AI511" i="12" s="1"/>
  <c r="X477" i="9"/>
  <c r="G480" i="9"/>
  <c r="G482" i="9" s="1"/>
  <c r="G486" i="9" s="1"/>
  <c r="AM488" i="13"/>
  <c r="AM490" i="13" s="1"/>
  <c r="AM486" i="13"/>
  <c r="AM487" i="13"/>
  <c r="G511" i="12"/>
  <c r="G513" i="12" s="1"/>
  <c r="G530" i="18"/>
  <c r="G532" i="18" s="1"/>
  <c r="G529" i="18"/>
  <c r="G533" i="16"/>
  <c r="G535" i="16" s="1"/>
  <c r="G581" i="16" s="1"/>
  <c r="G582" i="16" s="1"/>
  <c r="G532" i="17"/>
  <c r="G534" i="17"/>
  <c r="G536" i="17" s="1"/>
  <c r="G533" i="17"/>
  <c r="G498" i="13" l="1"/>
  <c r="G500" i="13" s="1"/>
  <c r="G523" i="13" s="1"/>
  <c r="G524" i="13" s="1"/>
  <c r="G506" i="14"/>
  <c r="G508" i="14" s="1"/>
  <c r="G531" i="14" s="1"/>
  <c r="G532" i="14" s="1"/>
  <c r="AM489" i="13"/>
  <c r="AM491" i="13" s="1"/>
  <c r="G487" i="9"/>
  <c r="G490" i="9" s="1"/>
  <c r="G491" i="9"/>
  <c r="G536" i="12"/>
  <c r="X513" i="12"/>
  <c r="G531" i="18"/>
  <c r="G533" i="18" s="1"/>
  <c r="G548" i="18" s="1"/>
  <c r="G549" i="18" s="1"/>
  <c r="G554" i="18" s="1"/>
  <c r="G555" i="18" s="1"/>
  <c r="G556" i="18" s="1"/>
  <c r="I555" i="18" s="1"/>
  <c r="G535" i="17"/>
  <c r="G537" i="17" s="1"/>
  <c r="G583" i="17" s="1"/>
  <c r="G584" i="17" s="1"/>
  <c r="G587" i="16"/>
  <c r="G537" i="14" l="1"/>
  <c r="G538" i="14" s="1"/>
  <c r="G539" i="14" s="1"/>
  <c r="G540" i="14" s="1"/>
  <c r="X500" i="13"/>
  <c r="G529" i="13"/>
  <c r="G530" i="13" s="1"/>
  <c r="G531" i="13" s="1"/>
  <c r="G589" i="17"/>
  <c r="G590" i="17" s="1"/>
  <c r="G591" i="17" s="1"/>
  <c r="I590" i="17" s="1"/>
  <c r="G537" i="12"/>
  <c r="G542" i="12" s="1"/>
  <c r="H532" i="18"/>
  <c r="H533" i="18" s="1"/>
  <c r="G588" i="16"/>
  <c r="G589" i="16" s="1"/>
  <c r="I588" i="16" s="1"/>
  <c r="I538" i="14" l="1"/>
  <c r="I146" i="14" s="1"/>
  <c r="G543" i="12"/>
  <c r="G544" i="12" s="1"/>
  <c r="X531" i="13"/>
  <c r="W79" i="13" s="1"/>
  <c r="AD533" i="13"/>
  <c r="AD503" i="13" s="1"/>
  <c r="AE546" i="12" l="1"/>
  <c r="AE516" i="12" s="1"/>
  <c r="X544" i="12"/>
  <c r="W79" i="12" s="1"/>
  <c r="G71" i="21" l="1"/>
  <c r="G238" i="21"/>
  <c r="G49" i="21" l="1"/>
  <c r="G73" i="21" s="1"/>
  <c r="G132" i="21" l="1"/>
  <c r="G156" i="21" s="1"/>
  <c r="G240" i="21"/>
  <c r="G513" i="21" l="1"/>
  <c r="G516" i="21" s="1"/>
  <c r="G518" i="21" l="1"/>
  <c r="G517" i="21"/>
  <c r="G519" i="21"/>
  <c r="G521" i="21" s="1"/>
  <c r="G520" i="21" l="1"/>
  <c r="G522" i="21" s="1"/>
</calcChain>
</file>

<file path=xl/sharedStrings.xml><?xml version="1.0" encoding="utf-8"?>
<sst xmlns="http://schemas.openxmlformats.org/spreadsheetml/2006/main" count="17558" uniqueCount="2203">
  <si>
    <t>Aplicación SAGUT
Cel. 310 824 6976</t>
  </si>
  <si>
    <t>Unit  CD</t>
  </si>
  <si>
    <t>Unit  CT</t>
  </si>
  <si>
    <t>No.Frentes</t>
  </si>
  <si>
    <t>Durac</t>
  </si>
  <si>
    <t>CT</t>
  </si>
  <si>
    <t>CD</t>
  </si>
  <si>
    <t>CASA</t>
  </si>
  <si>
    <t>Fin</t>
  </si>
  <si>
    <t>.</t>
  </si>
  <si>
    <t>Insumos ok.</t>
  </si>
  <si>
    <t>FIRMA CONSTRUCTORA</t>
  </si>
  <si>
    <t>PRESUPUESTO</t>
  </si>
  <si>
    <t>SUBTITULO</t>
  </si>
  <si>
    <t>DE OBRA</t>
  </si>
  <si>
    <t>Obra:</t>
  </si>
  <si>
    <t>ESCRIBA AQUÍ EL NOMBRE DE LA OBRA</t>
  </si>
  <si>
    <t>FECHA:</t>
  </si>
  <si>
    <t>ITEMS POR COMPONENTES</t>
  </si>
  <si>
    <t>ENCAB</t>
  </si>
  <si>
    <t>ITEM</t>
  </si>
  <si>
    <t>DESCRIPCION</t>
  </si>
  <si>
    <t>UND</t>
  </si>
  <si>
    <t>CANT.</t>
  </si>
  <si>
    <t>VR. UNIT</t>
  </si>
  <si>
    <t>VR.TOTAL</t>
  </si>
  <si>
    <t>C.D.</t>
  </si>
  <si>
    <t>C.T.</t>
  </si>
  <si>
    <t>FRENTES</t>
  </si>
  <si>
    <t>DURAC</t>
  </si>
  <si>
    <t>VR. TOTAL</t>
  </si>
  <si>
    <t>VR. C.D.</t>
  </si>
  <si>
    <t>Vr.  1 CASAS</t>
  </si>
  <si>
    <t>Otros</t>
  </si>
  <si>
    <t>Equipo</t>
  </si>
  <si>
    <t>M. de Obra</t>
  </si>
  <si>
    <t>Materiales</t>
  </si>
  <si>
    <t>Unit CD</t>
  </si>
  <si>
    <t>CAP</t>
  </si>
  <si>
    <t>PRELIMINARES</t>
  </si>
  <si>
    <t>COD</t>
  </si>
  <si>
    <t>010114</t>
  </si>
  <si>
    <t>Localización y replanteo obra arquitectónica</t>
  </si>
  <si>
    <t>m2</t>
  </si>
  <si>
    <t>010202</t>
  </si>
  <si>
    <t>Descapote con máquina mas retiro</t>
  </si>
  <si>
    <t>STCAP</t>
  </si>
  <si>
    <t>SUBTOTAL PRELIMINARES</t>
  </si>
  <si>
    <t>EXCAVACIONES Y RELLENOS</t>
  </si>
  <si>
    <t>010203</t>
  </si>
  <si>
    <t xml:space="preserve">Excavaciones en tierra en seco a maquina hasta 2,0 metros </t>
  </si>
  <si>
    <t>m3</t>
  </si>
  <si>
    <t>010203-1P</t>
  </si>
  <si>
    <t>Excavaciones en conglomerado a máquina entre 2,01 y 4,0 metros</t>
  </si>
  <si>
    <t>SUBTOTAL EXCAVACIONES Y RELLENOS</t>
  </si>
  <si>
    <t>Muros de ladrillo común en soga</t>
  </si>
  <si>
    <t>M2</t>
  </si>
  <si>
    <t xml:space="preserve"> Zapatas en  Concreto 3.000 P.s. i (38 de 0.60m x 0.60 m x 0,50 m)</t>
  </si>
  <si>
    <t>Vigas de cimentación  en Concreto 3.000 P.s. i con 4 No 4 y E No 3 c/20 cm. de 20 cm. de alto por 12 cm. de ancho</t>
  </si>
  <si>
    <t>Columnas en Concreto 3.000 P.s. i  (38 columnas x 0,3 m x 0,30 m)</t>
  </si>
  <si>
    <t>Refuerzos 60 K.S.I</t>
  </si>
  <si>
    <t>kg</t>
  </si>
  <si>
    <t>Refuerzos 37 K.S.I</t>
  </si>
  <si>
    <t xml:space="preserve"> Vigas de culata Concreto 3.000 P.S  I con 4 No 3 y E No 2 c/20 cm.</t>
  </si>
  <si>
    <t>CUBIERTA</t>
  </si>
  <si>
    <t>Cubierta  en tejas de barro sobre estructura de madera</t>
  </si>
  <si>
    <t>Canaleta en A.C para recolección de aguas lluvias</t>
  </si>
  <si>
    <t>Cieloraso en panelyeso y angulos de aluminio</t>
  </si>
  <si>
    <t>Repello  de muros y estructuras  con mortero 1:2</t>
  </si>
  <si>
    <t>Enchape de muros y pisos  en cerámica</t>
  </si>
  <si>
    <t>Sobrepiso en Concreto simple 2.500 P.S. I Espesor 6 cm.</t>
  </si>
  <si>
    <t>Piso en  tableta areas externas</t>
  </si>
  <si>
    <t>Meson en concreto</t>
  </si>
  <si>
    <t>Puertas en malla galvanizada de 2.5 m de ancho por 2.20 m de alto</t>
  </si>
  <si>
    <t>Ventanas en alumininio fija P-744  incluye vidrio trasparente de 4 mm</t>
  </si>
  <si>
    <t>Ventanas en lámina galvanizada</t>
  </si>
  <si>
    <t>Pasamanos en aluminio 1 1/2"</t>
  </si>
  <si>
    <t>Puerta metálica de 1.0 m de ancho por 2.10 m de alto</t>
  </si>
  <si>
    <t>Puertas entablerada en tiplex de 1.0 m de ancho por 2.10 m de alto</t>
  </si>
  <si>
    <t>Pintura de muros internos con vinilo lavable 3 manos</t>
  </si>
  <si>
    <t>Pintura de muros externos con vinilo para exteriores</t>
  </si>
  <si>
    <t>Pintura con esmalte rejas y ventanas</t>
  </si>
  <si>
    <t>080502</t>
  </si>
  <si>
    <t>Anden en concreto simple espesor 12 CMS</t>
  </si>
  <si>
    <t>Zona de parqueo en concreto  3.000 P.S. I  y 10 cm. de espesor</t>
  </si>
  <si>
    <t>CERRAMIENTO</t>
  </si>
  <si>
    <t>Viga en concreto 3.000 P.S. I de 15 CMS de espesor por 20 CMS de alto</t>
  </si>
  <si>
    <t>Malla galvanizada No 10 con postes galvanizados de 2"  de 2,0 metros de alto  instalada en todo el perímetro</t>
  </si>
  <si>
    <t xml:space="preserve">Poste tubo galvanizado 2*2.3MM C13 </t>
  </si>
  <si>
    <t>Diagonal horizontal tubo galvanizado C13 2"</t>
  </si>
  <si>
    <t>Alambre de puas No. 12,5 - 3 hilos</t>
  </si>
  <si>
    <t>Puerta metálica de 4,0 metros de ancho por 3,0 metros de alto (2 naves de 2*3)</t>
  </si>
  <si>
    <t>Puerta metálica de 1,20 m de ancho por 2,0 metros de alto</t>
  </si>
  <si>
    <t>SUBTTL</t>
  </si>
  <si>
    <t>VALOR TOTAL COSTOS DIRECTOS</t>
  </si>
  <si>
    <t>COSTIND</t>
  </si>
  <si>
    <t>COSTOS INDIRECTOS</t>
  </si>
  <si>
    <t>TTLCD</t>
  </si>
  <si>
    <t>TOTAL COSTOS DIRECTOS</t>
  </si>
  <si>
    <t>ADM</t>
  </si>
  <si>
    <t>ADMINISTRACION</t>
  </si>
  <si>
    <t>IMPR</t>
  </si>
  <si>
    <t>IMPREVISTOS</t>
  </si>
  <si>
    <t>UTL</t>
  </si>
  <si>
    <t>UTILIDAD</t>
  </si>
  <si>
    <t>TOTAL AIU</t>
  </si>
  <si>
    <t>IVA</t>
  </si>
  <si>
    <t>IVA SOBRE LA UTILIDAD</t>
  </si>
  <si>
    <t>TTLPPTO</t>
  </si>
  <si>
    <t>VALOR TOTAL PRESUPUESTO</t>
  </si>
  <si>
    <t>Aplicación SAGUT para Presupuestos</t>
  </si>
  <si>
    <t>Vr. Presupuesto</t>
  </si>
  <si>
    <t>Presup Ofic.</t>
  </si>
  <si>
    <t>% Prestaciones Sociales</t>
  </si>
  <si>
    <t>-</t>
  </si>
  <si>
    <t xml:space="preserve"> - </t>
  </si>
  <si>
    <t>de M.O. (Herram. Menor)</t>
  </si>
  <si>
    <t>MODIF</t>
  </si>
  <si>
    <t>Inicio</t>
  </si>
  <si>
    <t>ANALISIS  DE  PRECIOS  UNITARIOS</t>
  </si>
  <si>
    <t>mi %</t>
  </si>
  <si>
    <t>Vr. Meta</t>
  </si>
  <si>
    <t>Faltan:</t>
  </si>
  <si>
    <t>ITEM ME0203</t>
  </si>
  <si>
    <t>MORTERO 1:2</t>
  </si>
  <si>
    <t>Unidad: M3</t>
  </si>
  <si>
    <t>TOTAL ITEM</t>
  </si>
  <si>
    <t>ITEM:   BASICO</t>
  </si>
  <si>
    <t>CODIGO</t>
  </si>
  <si>
    <t>DESP.%</t>
  </si>
  <si>
    <t>PRECIO UNIT</t>
  </si>
  <si>
    <t>VALOR TOTAL</t>
  </si>
  <si>
    <t>G1</t>
  </si>
  <si>
    <t>MATERIALES</t>
  </si>
  <si>
    <t>OTROS MATERIALES</t>
  </si>
  <si>
    <t>AGUA</t>
  </si>
  <si>
    <t>LTS</t>
  </si>
  <si>
    <t>AGREGADOS</t>
  </si>
  <si>
    <t>ARENA MEDIANA</t>
  </si>
  <si>
    <t>M3</t>
  </si>
  <si>
    <t>CEMENTOS</t>
  </si>
  <si>
    <t>CEMENTO GRIS</t>
  </si>
  <si>
    <t>KLS</t>
  </si>
  <si>
    <t>STG1</t>
  </si>
  <si>
    <t>SUBTOTAL MATERIALES</t>
  </si>
  <si>
    <t>G2</t>
  </si>
  <si>
    <t>MANO DE OBRA</t>
  </si>
  <si>
    <t>Jornal</t>
  </si>
  <si>
    <t>Prestac.</t>
  </si>
  <si>
    <t>Jornal Ttl</t>
  </si>
  <si>
    <t>Rendim/Día</t>
  </si>
  <si>
    <t>Valor-Unit.</t>
  </si>
  <si>
    <t>M.O. ALBANILERIA 2 AYUDANTE</t>
  </si>
  <si>
    <t>STG2</t>
  </si>
  <si>
    <t>SUBTOTAL MANO DE OBRA</t>
  </si>
  <si>
    <t>G3</t>
  </si>
  <si>
    <t>EQUIPO</t>
  </si>
  <si>
    <t>HERRAMIENTA MENOR</t>
  </si>
  <si>
    <t>%</t>
  </si>
  <si>
    <t>STG3</t>
  </si>
  <si>
    <t>SUBTOTAL EQUIPO</t>
  </si>
  <si>
    <t>COSTO DIRECTO</t>
  </si>
  <si>
    <t>ITEM ME0201</t>
  </si>
  <si>
    <t>MORTERO 1:3</t>
  </si>
  <si>
    <t>ITEM ME0105</t>
  </si>
  <si>
    <t>MEZCLA CONCRETO 1:2:3 3100 PSI - 22,0 Mpa</t>
  </si>
  <si>
    <t>ARENA GRUESA</t>
  </si>
  <si>
    <t xml:space="preserve">GRAVA TRITURADA DE 3/4  </t>
  </si>
  <si>
    <t>ADITIVOS</t>
  </si>
  <si>
    <t>GASOLINA CORRIENTE</t>
  </si>
  <si>
    <t>GLN</t>
  </si>
  <si>
    <t>ACEITE MOTOR 4 TIEMPOS</t>
  </si>
  <si>
    <t>MEZCLADORA DE 9 PIES CUBICOS</t>
  </si>
  <si>
    <t>DIA</t>
  </si>
  <si>
    <t>ITEM ME0202</t>
  </si>
  <si>
    <t>MORTERO 1:4</t>
  </si>
  <si>
    <t>ARENA FINA</t>
  </si>
  <si>
    <t>ITEM 010114</t>
  </si>
  <si>
    <t>UNIDAD:   m2</t>
  </si>
  <si>
    <t xml:space="preserve">ITEM:   </t>
  </si>
  <si>
    <t>LISTON 2 x2x3M.</t>
  </si>
  <si>
    <t>HIERROS</t>
  </si>
  <si>
    <t>PUNTILLA 2 CC</t>
  </si>
  <si>
    <t>LBS</t>
  </si>
  <si>
    <t>PIOLA GRUESA 50 METROS</t>
  </si>
  <si>
    <t>ROL</t>
  </si>
  <si>
    <t>M.O. ALBANILERIA 2 AYUDANTE-1 OFI</t>
  </si>
  <si>
    <t>M.O. TOPOGRAFIA 1 CADENERO-1 TOP</t>
  </si>
  <si>
    <t>EM_AIU</t>
  </si>
  <si>
    <t>IMP</t>
  </si>
  <si>
    <t>STAIU</t>
  </si>
  <si>
    <t>TOTAL COSTOS INDIRECTOS</t>
  </si>
  <si>
    <t>TTL</t>
  </si>
  <si>
    <t>VALOR TOTAL ITEM</t>
  </si>
  <si>
    <t>ITEM 010202</t>
  </si>
  <si>
    <t>VOLQUETA 5 M3</t>
  </si>
  <si>
    <t>VJE</t>
  </si>
  <si>
    <t>RETROEXCAVADORA CARGADORA</t>
  </si>
  <si>
    <t>HRS</t>
  </si>
  <si>
    <t>GLB</t>
  </si>
  <si>
    <t>ITEM 010203</t>
  </si>
  <si>
    <t>UNIDAD:   m3</t>
  </si>
  <si>
    <t>RETROEXCAVADORA JD-510</t>
  </si>
  <si>
    <t>ITEM 010203-1P</t>
  </si>
  <si>
    <t>ITEM 140117</t>
  </si>
  <si>
    <t>UNIDAD:   M2</t>
  </si>
  <si>
    <t>BLOQUES - LADRILLOS</t>
  </si>
  <si>
    <t>LADRILLO CONCRETO #12 12X 7.5X19CM</t>
  </si>
  <si>
    <t>CAL HIDRATADA NARE SACO 10 KILOS</t>
  </si>
  <si>
    <t>ME0202</t>
  </si>
  <si>
    <t>BASICO</t>
  </si>
  <si>
    <t>MORTERO   1:4</t>
  </si>
  <si>
    <t>M.O. ALBANILERIA 1 AYUDANTE-1 OFI</t>
  </si>
  <si>
    <t>ANDAMIO METALICO TUBULAR</t>
  </si>
  <si>
    <t>U/D</t>
  </si>
  <si>
    <t>ITEM 120213</t>
  </si>
  <si>
    <t>MADERAS</t>
  </si>
  <si>
    <t>CUARTON 2"x4"x3M</t>
  </si>
  <si>
    <t>PUNTILLA 2.1/2  104 UND/LB</t>
  </si>
  <si>
    <t xml:space="preserve">TABLA 1x10x3M </t>
  </si>
  <si>
    <t>ME0105</t>
  </si>
  <si>
    <t>MEZCLA CONCRETO 1:2:3   3100 PSI 210 MPa</t>
  </si>
  <si>
    <t>VOLQUETA TRANSPORTE MAT.PETREOS 1-10KMS</t>
  </si>
  <si>
    <t>ITEM 130417</t>
  </si>
  <si>
    <t>UNIDAD:   ml</t>
  </si>
  <si>
    <t>VARETA 2"x2"x3M</t>
  </si>
  <si>
    <t>ITEM 130204</t>
  </si>
  <si>
    <t>ANTISOL BLANCO</t>
  </si>
  <si>
    <t>SEPAROL DESFORMALETEANTE TARRO 15 KLS</t>
  </si>
  <si>
    <t>SIKAMENT NS SUPERPLASTIFIC TARRO DE 25 KLS</t>
  </si>
  <si>
    <t>M.O. ALBANILERIA 3 AYUDANTE-1 OFI</t>
  </si>
  <si>
    <t>VIBRADOR ELECTRICO</t>
  </si>
  <si>
    <t>TACO METALICO EXTENSION DE 2.OM A 3.30MT</t>
  </si>
  <si>
    <t>ITEM 130109</t>
  </si>
  <si>
    <t>UNIDAD:   kg</t>
  </si>
  <si>
    <t>ALAMBRE NEGRO # 18</t>
  </si>
  <si>
    <t>VARIOS</t>
  </si>
  <si>
    <t>SEGUETA SIN MARCO</t>
  </si>
  <si>
    <t>HIERR.DE 37000 PSI 259 MPA U</t>
  </si>
  <si>
    <t>M.O. ALBANILERIA 1 AYUDANTE</t>
  </si>
  <si>
    <t>ITEM 130102</t>
  </si>
  <si>
    <t>HIERR.DE 60000 PSI 420 MPA</t>
  </si>
  <si>
    <t>ITEM 130418</t>
  </si>
  <si>
    <t>GUADUA [TACO] 2.50-3M</t>
  </si>
  <si>
    <t>ITEM 180707</t>
  </si>
  <si>
    <t>TEJA DE BARRO MOORE 28 UND/M2</t>
  </si>
  <si>
    <t>ITEM 180615</t>
  </si>
  <si>
    <t>GANCHO P/TEJA ASB. MADERA</t>
  </si>
  <si>
    <t>IGAS GRIS [SELLANTE] 5KG.</t>
  </si>
  <si>
    <t>LIMAHOYA ASBESTO CEMENTO</t>
  </si>
  <si>
    <t>ITEM 180503</t>
  </si>
  <si>
    <t>HIERRO .3/8" 60.000 [6M]</t>
  </si>
  <si>
    <t>CARP. METALICA</t>
  </si>
  <si>
    <t>SOLDADURA LAMINA 1/8 WEST ARCO 6013 20 K</t>
  </si>
  <si>
    <t>MALLA CON VENA 0.60x2.00</t>
  </si>
  <si>
    <t>MALLA ELEC.H-0.50/UO50 ESP 25X35 0.72K/M2</t>
  </si>
  <si>
    <t>ME0201</t>
  </si>
  <si>
    <t>MORTERO   1:3</t>
  </si>
  <si>
    <t>CRUCETA ANDAMIO</t>
  </si>
  <si>
    <t>ITEM 190106</t>
  </si>
  <si>
    <t>ME0203</t>
  </si>
  <si>
    <t>MORTERO   1:2</t>
  </si>
  <si>
    <t>ITEM 190542</t>
  </si>
  <si>
    <t>PEGACOR BLANCO CORONA R:30100</t>
  </si>
  <si>
    <t>WAIPE</t>
  </si>
  <si>
    <t>CEMENTO BLANCO SACO DE 40 KILOS</t>
  </si>
  <si>
    <t>BTO</t>
  </si>
  <si>
    <t>ENCHAPES</t>
  </si>
  <si>
    <t>ENCHAPE CERAMICA EGEO 20.5 CERAMICA 20.5X20.5</t>
  </si>
  <si>
    <t>ITEM 200126-3P</t>
  </si>
  <si>
    <t>Unidad:   M2</t>
  </si>
  <si>
    <t>LISTON 1 x4x3M.</t>
  </si>
  <si>
    <t>PUNTILLA 1.1/2 CC 363 UND/LB</t>
  </si>
  <si>
    <t>ITEM 200314</t>
  </si>
  <si>
    <t>PEGANTE CERAMICA PEGACOR-ALFALISTO</t>
  </si>
  <si>
    <t>PISOS</t>
  </si>
  <si>
    <t>TABLON GRESS LISO 20x20 ALFA</t>
  </si>
  <si>
    <t>EMBOQUILLADOR</t>
  </si>
  <si>
    <t>M.O. ALB. ACABADOS 1 AYUDANTE-1 OFI</t>
  </si>
  <si>
    <t>PULIDORA CON PIEDRA O DISCO</t>
  </si>
  <si>
    <t>ITEM 140404</t>
  </si>
  <si>
    <t>TAPON GALV .1/2 AGUA-GAS</t>
  </si>
  <si>
    <t>HIERRO .3/8" 37.000 [CH]</t>
  </si>
  <si>
    <t>ITEM 301305</t>
  </si>
  <si>
    <t>UNIDAD:   UNID</t>
  </si>
  <si>
    <t>TUB. ACUEDUCTO</t>
  </si>
  <si>
    <t>TUBERIA GALVANIZADA 3/4" TUBO DE 6MTS. USO ACUEDUCTO</t>
  </si>
  <si>
    <t>LIJA 230 AGUA GRANO 24</t>
  </si>
  <si>
    <t>PLI</t>
  </si>
  <si>
    <t>MALLA ESLABONADA 2" #10</t>
  </si>
  <si>
    <t>THINER DISOLVENTE</t>
  </si>
  <si>
    <t>PINTURAS</t>
  </si>
  <si>
    <t>MASILLA PLASTICA INTERIORES</t>
  </si>
  <si>
    <t>CUﾑ</t>
  </si>
  <si>
    <t>SOLDADURA 7018 x 1/8"</t>
  </si>
  <si>
    <t>ANTICORROSIVO WASH-PRIMER</t>
  </si>
  <si>
    <t>ESMALTE PINTURA DE ALUMINI CROMADA</t>
  </si>
  <si>
    <t>TUBERIA GALVANIZADA 11/2" COLMENA CALIBRE 18MM L=6M TS</t>
  </si>
  <si>
    <t>PLATINA DE 3/4" X 1/8" TIRA DE 6MTS</t>
  </si>
  <si>
    <t>BISAGRA TUBULAR 1 1/2" CERRAMIENTO</t>
  </si>
  <si>
    <t>M.O. METALISTERIA 1 AYUDANTE-1 OFI</t>
  </si>
  <si>
    <t>M.O. PINTURA 1 AYUDANTE-1 OFI</t>
  </si>
  <si>
    <t>ITEM 220103</t>
  </si>
  <si>
    <t>LAM.COLD ROLLED C. 20 DE 100x200CM</t>
  </si>
  <si>
    <t>LIJA 320 AGUA</t>
  </si>
  <si>
    <t>VIDRIOS</t>
  </si>
  <si>
    <t>VIDRIO TRANSP. 4 MM</t>
  </si>
  <si>
    <t>SOLDADURA 6011 1/8" VARILLA</t>
  </si>
  <si>
    <t>SILICONA TRANSPARENT.11 OZ</t>
  </si>
  <si>
    <t>ANTICORROSIVO PHCL</t>
  </si>
  <si>
    <t>BRAZO BASCULANTE PREMOLDA</t>
  </si>
  <si>
    <t>GUIA BASCULANTE PREMOLDA</t>
  </si>
  <si>
    <t>VAR.REDONDA 1/2" 12MMX6M</t>
  </si>
  <si>
    <t>VAR</t>
  </si>
  <si>
    <t>ITEM 220101</t>
  </si>
  <si>
    <t>SUBCONTRATO CARPINTERIA ALUMINIO</t>
  </si>
  <si>
    <t>ITEM 220614</t>
  </si>
  <si>
    <t>LAM.COLL-ROLLED C.20 DE 122X244</t>
  </si>
  <si>
    <t>ITEM 220315</t>
  </si>
  <si>
    <t>UNIDAD:   und</t>
  </si>
  <si>
    <t>ESMALTE SINTETICO MATE ALGRECO</t>
  </si>
  <si>
    <t>GLS</t>
  </si>
  <si>
    <t>FALLEVA SOBREPONER 6" METALICA</t>
  </si>
  <si>
    <t>SUBCONTRATO CARPINTERIA METALICA</t>
  </si>
  <si>
    <t>PULIDORA MANUAL (SOLA)</t>
  </si>
  <si>
    <t>SOLDADOR ELECTRICO</t>
  </si>
  <si>
    <t>ITEM 210116</t>
  </si>
  <si>
    <t>BISAGRA VAIVEN # 30 PIVOTE PUERTA</t>
  </si>
  <si>
    <t>LAM.TRIPLEX 4 MM. DE 122x244CM</t>
  </si>
  <si>
    <t>PEGANTE A X W MADERA</t>
  </si>
  <si>
    <t>PUNTILLA 1 SC</t>
  </si>
  <si>
    <t>NEOLITE E=2.5MM LISO DE 0.9 X 0.9</t>
  </si>
  <si>
    <t>CEDRO CAQUETA</t>
  </si>
  <si>
    <t>PG2</t>
  </si>
  <si>
    <t>M.O. CARP.MADERA 1 AYUDANTE-1 OFI</t>
  </si>
  <si>
    <t>M.O. CARP.TALLER 1 AYUDANTE-1 OFI</t>
  </si>
  <si>
    <t>ITEM 290304</t>
  </si>
  <si>
    <t>VINILO TIPO 1 BASE DE AGUA</t>
  </si>
  <si>
    <t>ITEM 291001</t>
  </si>
  <si>
    <t>GRANIPLAST - ESGRAFIADO EXTERIOR 25 KILOS</t>
  </si>
  <si>
    <t>CUB</t>
  </si>
  <si>
    <t>BASE ESGRAFIADO BASE GRANIPLAST</t>
  </si>
  <si>
    <t>ITEM 290430</t>
  </si>
  <si>
    <t>LIJA 400 AGUA</t>
  </si>
  <si>
    <t>ESMALTE SEMIBRILLANTE A</t>
  </si>
  <si>
    <t>ITEM 080502</t>
  </si>
  <si>
    <t>ANTISOL ROJO</t>
  </si>
  <si>
    <t>ITEM 210134</t>
  </si>
  <si>
    <t>ITEM 130403</t>
  </si>
  <si>
    <t>ITEM 301202</t>
  </si>
  <si>
    <t>M.O. METALISTERIA 2 AYUDANTE-1 OFI</t>
  </si>
  <si>
    <t>ITEM 301004</t>
  </si>
  <si>
    <t>GORRO ALUMINIO 2" POSTE CERRAMIENTO</t>
  </si>
  <si>
    <t>TUBERIA GALVANIZADA 2" COLMENA CALIBRE 23MM L=6M TS</t>
  </si>
  <si>
    <t>ITEM 301120</t>
  </si>
  <si>
    <t>ITEM 301207</t>
  </si>
  <si>
    <t>ALAMBRE DE PUAS #12.5</t>
  </si>
  <si>
    <t>ITEM 301305-2P</t>
  </si>
  <si>
    <t>ITEM 301313</t>
  </si>
  <si>
    <t>TUBERIA GALVANIZADA 11/2" ACUEDUCTO CALIBRE 3.0 MM L= 6MTS</t>
  </si>
  <si>
    <t>RESUMEN  DE  INSUMOS</t>
  </si>
  <si>
    <t>RESUMEN DE INSUMOS A UTILIZAR</t>
  </si>
  <si>
    <t>NADA</t>
  </si>
  <si>
    <t>VR. UNIT.</t>
  </si>
  <si>
    <t>Jornal+PS</t>
  </si>
  <si>
    <t>VALOR TOTAL INSUMOS</t>
  </si>
  <si>
    <t>SEM  1</t>
  </si>
  <si>
    <t>SEM  2</t>
  </si>
  <si>
    <t>SEM  3</t>
  </si>
  <si>
    <t>SEM  4</t>
  </si>
  <si>
    <t>SEM  5</t>
  </si>
  <si>
    <t>SEM  6</t>
  </si>
  <si>
    <t>SEM  7</t>
  </si>
  <si>
    <t>SEM  8</t>
  </si>
  <si>
    <t>SEM  9</t>
  </si>
  <si>
    <t>SEM  10</t>
  </si>
  <si>
    <t>SEM  11</t>
  </si>
  <si>
    <t>SEM  12</t>
  </si>
  <si>
    <t>SEM  13</t>
  </si>
  <si>
    <t>SEM  14</t>
  </si>
  <si>
    <t>SEM  15</t>
  </si>
  <si>
    <t>SEM  16</t>
  </si>
  <si>
    <t>SEM  17</t>
  </si>
  <si>
    <t>SEM  18</t>
  </si>
  <si>
    <t>SEM  19</t>
  </si>
  <si>
    <t>SEM  20</t>
  </si>
  <si>
    <t>SEM  21</t>
  </si>
  <si>
    <t>SEM  22</t>
  </si>
  <si>
    <t>SEM  23</t>
  </si>
  <si>
    <t>SEM  24</t>
  </si>
  <si>
    <t>SEM  25</t>
  </si>
  <si>
    <t>SEM  26</t>
  </si>
  <si>
    <t>SEM  27</t>
  </si>
  <si>
    <t>SEM  28</t>
  </si>
  <si>
    <t>SEM  29</t>
  </si>
  <si>
    <t>SEM  30</t>
  </si>
  <si>
    <t>SEM  31</t>
  </si>
  <si>
    <t>SEM  32</t>
  </si>
  <si>
    <t>SEM  33</t>
  </si>
  <si>
    <t>SEM  34</t>
  </si>
  <si>
    <t>SEM  35</t>
  </si>
  <si>
    <t>SEM  36</t>
  </si>
  <si>
    <t>SEM  37</t>
  </si>
  <si>
    <t>SEM  38</t>
  </si>
  <si>
    <t>SEM  39</t>
  </si>
  <si>
    <t>SEM  40</t>
  </si>
  <si>
    <t>SEM  41</t>
  </si>
  <si>
    <t>SEM  42</t>
  </si>
  <si>
    <t>SEM  43</t>
  </si>
  <si>
    <t>SEM  44</t>
  </si>
  <si>
    <t>SEM  45</t>
  </si>
  <si>
    <t>SEM  46</t>
  </si>
  <si>
    <t>SEM  47</t>
  </si>
  <si>
    <t>SEM  48</t>
  </si>
  <si>
    <t>SEM  49</t>
  </si>
  <si>
    <t>SEM  50</t>
  </si>
  <si>
    <t>SEM  51</t>
  </si>
  <si>
    <t>SEM  52</t>
  </si>
  <si>
    <t>SEM  53</t>
  </si>
  <si>
    <t>SEM  54</t>
  </si>
  <si>
    <t>SEM  55</t>
  </si>
  <si>
    <t>SEM  56</t>
  </si>
  <si>
    <t>No Borrar</t>
  </si>
  <si>
    <t>No.</t>
  </si>
  <si>
    <t>ACTIVIDAD</t>
  </si>
  <si>
    <t>Durac.</t>
  </si>
  <si>
    <t>Valores</t>
  </si>
  <si>
    <t>106</t>
  </si>
  <si>
    <t>113</t>
  </si>
  <si>
    <t>120</t>
  </si>
  <si>
    <t>127</t>
  </si>
  <si>
    <t>134</t>
  </si>
  <si>
    <t>prim</t>
  </si>
  <si>
    <t>CRONOGRAMA DE ACTIVIDADES  Y   FLUJO DE INVERSIONES</t>
  </si>
  <si>
    <t>Plazo de ejecución</t>
  </si>
  <si>
    <t>Días calendario</t>
  </si>
  <si>
    <t>no cambiar esta columna</t>
  </si>
  <si>
    <t>Pliego:</t>
  </si>
  <si>
    <t>Fecha</t>
  </si>
  <si>
    <t>NoBorrar</t>
  </si>
  <si>
    <t>Durac  Días</t>
  </si>
  <si>
    <t>#Frente</t>
  </si>
  <si>
    <t>MENSUAL</t>
  </si>
  <si>
    <t>DIARIO</t>
  </si>
  <si>
    <t>P</t>
  </si>
  <si>
    <t>Porcent</t>
  </si>
  <si>
    <t>D</t>
  </si>
  <si>
    <t>Cant</t>
  </si>
  <si>
    <t>C</t>
  </si>
  <si>
    <t>Valor</t>
  </si>
  <si>
    <t>Pr: 1</t>
  </si>
  <si>
    <t>C:  0</t>
  </si>
  <si>
    <t>$</t>
  </si>
  <si>
    <t/>
  </si>
  <si>
    <t>CIND</t>
  </si>
  <si>
    <t>COSTO TOTAL</t>
  </si>
  <si>
    <t>PORCENTAJE DE EJECUCION SEMANAL</t>
  </si>
  <si>
    <t>INVERSION MENSUAL:</t>
  </si>
  <si>
    <t>% DE EJECUCION MENSUAL:</t>
  </si>
  <si>
    <t>INVERSION ACUMULADA:</t>
  </si>
  <si>
    <t>$A</t>
  </si>
  <si>
    <t>% DE EJECUCION ACUMULADA:</t>
  </si>
  <si>
    <t>%A</t>
  </si>
  <si>
    <t>FIRMA</t>
  </si>
  <si>
    <t>PLAZO DE EJECUCION</t>
  </si>
  <si>
    <t xml:space="preserve">   P = Barra de programación en días</t>
  </si>
  <si>
    <t xml:space="preserve">   $A = Valor de ejecucion Acumulada</t>
  </si>
  <si>
    <t>DURACION</t>
  </si>
  <si>
    <t xml:space="preserve">   % = Porcentaje de ejecución</t>
  </si>
  <si>
    <t xml:space="preserve">   %A = Porcentaje de ejecución Acumulada</t>
  </si>
  <si>
    <t>DÍAS CALENDARIO</t>
  </si>
  <si>
    <t xml:space="preserve">   C = Cantidad Semanal</t>
  </si>
  <si>
    <t xml:space="preserve">   Actividad / R-Crítica</t>
  </si>
  <si>
    <t>ULT</t>
  </si>
  <si>
    <t>Retiro de material del sitio hasta 10Km</t>
  </si>
  <si>
    <t>SEDIMENTADOR</t>
  </si>
  <si>
    <t>FILTRO</t>
  </si>
  <si>
    <t>CLORADOR</t>
  </si>
  <si>
    <t>TANQUE DE ALMACENAMIENTO</t>
  </si>
  <si>
    <t>SUBTOTAL EST. CONCRETO TANQUE DE ALMACENAMIENTO</t>
  </si>
  <si>
    <t>CONSTRUCCION PLANTA DE TRATAMIENTO AGUA POTABLE QUITAPEREZA - MUNICIPIO DE SANTANDER DE QUILICHAO</t>
  </si>
  <si>
    <t>Suministro e instalación de base compactada material triturado AC 10k</t>
  </si>
  <si>
    <t>cinta Pvc</t>
  </si>
  <si>
    <t>ml</t>
  </si>
  <si>
    <t>TOTAL</t>
  </si>
  <si>
    <t xml:space="preserve">PRESUPUESTO </t>
  </si>
  <si>
    <t>PLANTA TRATAMIENTO DE AGUA POTABLE QUITA PEREZA</t>
  </si>
  <si>
    <t xml:space="preserve">DESCRIPCION </t>
  </si>
  <si>
    <t>UNIDAD</t>
  </si>
  <si>
    <t>CANTIDAD</t>
  </si>
  <si>
    <t>V. UNITARIO</t>
  </si>
  <si>
    <t>V. PARCIAL</t>
  </si>
  <si>
    <t>Item</t>
  </si>
  <si>
    <t>DESCRIPCION MATERIAL</t>
  </si>
  <si>
    <t>VALOR UNITARIO</t>
  </si>
  <si>
    <t>SUMINISTROS</t>
  </si>
  <si>
    <t>FLOCULADOR ESTRUCTURA DE ENTRADA Y AFORO</t>
  </si>
  <si>
    <t>SOLADO ESPESOR E=0.05M 3000 PSI 210 MPA</t>
  </si>
  <si>
    <t>CANTIDAD DE OBRA Y PRESUPUESTO HIDRAULICO SISTEMA DE TRATAMIENTO</t>
  </si>
  <si>
    <t>FLOCULADOR CANAL MEZCLA Y AFORO</t>
  </si>
  <si>
    <t>ML</t>
  </si>
  <si>
    <t>TUBERIA HF 10"</t>
  </si>
  <si>
    <t>PASAMUROS HF 10"X 20 CM  EL</t>
  </si>
  <si>
    <t xml:space="preserve">TAPA DE LAMINA ALFAJOR 1,35X1,05 </t>
  </si>
  <si>
    <t xml:space="preserve">TAPA DE LAMINA ALFAJOR 0,65X0,45 </t>
  </si>
  <si>
    <t xml:space="preserve">TAPA DE LAMINA ALFAJOR 0,45X0,45 </t>
  </si>
  <si>
    <t>TUBERIA PVC RDE 26</t>
  </si>
  <si>
    <t>LOSA MACIZA CIMIENTO H=20 CM</t>
  </si>
  <si>
    <t xml:space="preserve">CINTA PVC   v-15 (SIKA) </t>
  </si>
  <si>
    <t>PASAMANOS TUBO GALV. 1,1/2" S/BARROTES"</t>
  </si>
  <si>
    <t>CODOS HF 90°X10"</t>
  </si>
  <si>
    <t xml:space="preserve">VALVULA DE DESAGUE HF EL 12" </t>
  </si>
  <si>
    <t xml:space="preserve">UND </t>
  </si>
  <si>
    <t>PLATINA 3" X 3/16"</t>
  </si>
  <si>
    <t>PLATINA 2" X 1/8"</t>
  </si>
  <si>
    <t>PLATINA 1" X 1/4"</t>
  </si>
  <si>
    <t>ESCALERA UÑA DE GATO REFUERZO 5/8" SEP 0,25</t>
  </si>
  <si>
    <t>CONCRETO LOSA SUPERIOR 3000 PSI E=0.15</t>
  </si>
  <si>
    <t xml:space="preserve"> -     </t>
  </si>
  <si>
    <t>SUMINISTRO TRANSPORTE E INSTALACION  VALVULA DE COMPUERTA DESLIZANTE COLUMNA RUEDA DE MANEJO DE :</t>
  </si>
  <si>
    <t xml:space="preserve">0,50X050 VASTAGO H:1,88 </t>
  </si>
  <si>
    <t>CONCRETO MUROS 3000 PSI  E=0,20</t>
  </si>
  <si>
    <t>ACERO REFUERZO FLEJADO 60000 PSI 420Mpa</t>
  </si>
  <si>
    <t>KG</t>
  </si>
  <si>
    <t>REF</t>
  </si>
  <si>
    <t>M</t>
  </si>
  <si>
    <t>1/4+3/8</t>
  </si>
  <si>
    <t>1/2"</t>
  </si>
  <si>
    <t>5/8"</t>
  </si>
  <si>
    <t>3/4"</t>
  </si>
  <si>
    <t>SEDIMENTADORES</t>
  </si>
  <si>
    <t>LOSA MACIZA CIMIENTO H=35 CM</t>
  </si>
  <si>
    <t>CONCRETO MUROS 3000 PSI  E=0,15</t>
  </si>
  <si>
    <t>FILTROS</t>
  </si>
  <si>
    <t>TANQUE DE CLORACION</t>
  </si>
  <si>
    <t>TANQUE CON CLORO</t>
  </si>
  <si>
    <t xml:space="preserve">LECHOS DE SECADO </t>
  </si>
  <si>
    <t>REDUCCION 12 "A 10" HF</t>
  </si>
  <si>
    <t>0,50X050 VASTAGO H:1,75</t>
  </si>
  <si>
    <t>TUBERIA PVC NOVAFOR D=8"</t>
  </si>
  <si>
    <t xml:space="preserve">ML </t>
  </si>
  <si>
    <t>TUBERIA DE HORMIGON SIMPLE CII</t>
  </si>
  <si>
    <t>PASAMURO HF 8" ESPESOR MURO O, 20 M</t>
  </si>
  <si>
    <t>TEE PVC SANITARIA 4"X2"</t>
  </si>
  <si>
    <t>TUBERIA PVC SANITARIA D=4"  PERFORADA D 3/4"</t>
  </si>
  <si>
    <t xml:space="preserve">TUBERIA PVC SANITARIA D=2"  </t>
  </si>
  <si>
    <t xml:space="preserve">ADAPTADOE LIMPIEZA PVC D=2" </t>
  </si>
  <si>
    <t>TAPA LAMINA ALFAJOR 0,6X0,3</t>
  </si>
  <si>
    <t>TAPA LAMINA ALFAJOR 0,85X0,85</t>
  </si>
  <si>
    <t xml:space="preserve">CINTA PVC V-15 (SIKA) </t>
  </si>
  <si>
    <t xml:space="preserve"> 0,45X0,45  H=  6,01 M</t>
  </si>
  <si>
    <t>PASAMURO HF 12" ESPESOR MURO O, 20 M</t>
  </si>
  <si>
    <t>0,35X0,35 M  H=1,58 M</t>
  </si>
  <si>
    <t>0,35X0,35 H=4,43 M</t>
  </si>
  <si>
    <t>PASAMURO HF 3" ESPESOR MURO O, 20 M</t>
  </si>
  <si>
    <t>PASAMURO HF 14" ESPESOR MURO O, 20 M</t>
  </si>
  <si>
    <t>0,90X0,90  H= 4,28 M</t>
  </si>
  <si>
    <t>0,30X0,30   H= 2,31 M</t>
  </si>
  <si>
    <t xml:space="preserve"> 0,55X0,55  H=  6,01 M</t>
  </si>
  <si>
    <t xml:space="preserve"> 0,30X0,30  H=  4,33 M</t>
  </si>
  <si>
    <t>PASAMURO HF 6" ESPESOR MURO O, 20 M</t>
  </si>
  <si>
    <t>ÍTEM</t>
  </si>
  <si>
    <t>DESCRIPCIÓN</t>
  </si>
  <si>
    <t>CANT</t>
  </si>
  <si>
    <t>V/UNIT</t>
  </si>
  <si>
    <t>V/TOTAL</t>
  </si>
  <si>
    <t xml:space="preserve">PRELIMINARES </t>
  </si>
  <si>
    <t>Localización y replanteo</t>
  </si>
  <si>
    <t>Campamento 12 m2</t>
  </si>
  <si>
    <t>gb</t>
  </si>
  <si>
    <t>SUBTOTAL</t>
  </si>
  <si>
    <t>MEZCLA RAPIDA - FLOCULADORES</t>
  </si>
  <si>
    <t>Excavación en tierra o conglomerado</t>
  </si>
  <si>
    <t>Relleno material excavación Rana Vibratoria</t>
  </si>
  <si>
    <t>Retiro material de excavación con cargue</t>
  </si>
  <si>
    <t>Suministro y colocación de concreto de 3500 psi, incluye formaletas</t>
  </si>
  <si>
    <t xml:space="preserve">Suministro de acero de refuerzo </t>
  </si>
  <si>
    <t>Suministro y colocación de Cinta PVC</t>
  </si>
  <si>
    <t>Accesorios en HD</t>
  </si>
  <si>
    <t>un</t>
  </si>
  <si>
    <t>Válvulas de Mariposa</t>
  </si>
  <si>
    <t>Elementos misceláneos</t>
  </si>
  <si>
    <t>3.7.1</t>
  </si>
  <si>
    <t>Acople brida universal 8"</t>
  </si>
  <si>
    <t>3.7.2</t>
  </si>
  <si>
    <t>Brida ciega 8"</t>
  </si>
  <si>
    <t>3.7.3</t>
  </si>
  <si>
    <t>Niple pasamuro 8" BxB  L= 350 Z= 175</t>
  </si>
  <si>
    <t>3.7.4</t>
  </si>
  <si>
    <t>Niple pasamuro 8" BxB  L= 1630 Z= 480</t>
  </si>
  <si>
    <t>3.7.5</t>
  </si>
  <si>
    <t>Niple pasamuro 8" BxB  L= 3400</t>
  </si>
  <si>
    <t>3.7.6</t>
  </si>
  <si>
    <t>Niple pasamuro 20" BxL  L= 1400</t>
  </si>
  <si>
    <t>3.7.7</t>
  </si>
  <si>
    <t>Niple pasamuro 20" BxB  L= 560 Z=260</t>
  </si>
  <si>
    <t>3.7.8</t>
  </si>
  <si>
    <t>Niple  20" BxB  L= 1870</t>
  </si>
  <si>
    <t>3.7.9</t>
  </si>
  <si>
    <t>Niple pasamuro 10" BxB  L= 500 Z=250</t>
  </si>
  <si>
    <t>3.7.10</t>
  </si>
  <si>
    <t>Reducción bridada 20*10"</t>
  </si>
  <si>
    <t>3.9.1</t>
  </si>
  <si>
    <t>Válvulas de mariposa 8" en HD Extremos Bridados  Incluye Columna de maniobra, soportes, guías y vástago de extensión de 3,5 m</t>
  </si>
  <si>
    <t>3.9.2</t>
  </si>
  <si>
    <t>Válvulas de mariposa 10" en HD Extremos Bridados  Incluye Columna de maniobra, soportes, guías y vástago de extensión de 2,3m</t>
  </si>
  <si>
    <t>3.10.1</t>
  </si>
  <si>
    <t xml:space="preserve">Placas de A.C 2,40*1,20*0,01 </t>
  </si>
  <si>
    <t>3.10.2</t>
  </si>
  <si>
    <t xml:space="preserve">Separadores de A.C 0,05 </t>
  </si>
  <si>
    <t>3.10.3</t>
  </si>
  <si>
    <t xml:space="preserve">Tubería PVC Novafort 160 mm perforada con orificios de 1/2" </t>
  </si>
  <si>
    <t>4.7.1</t>
  </si>
  <si>
    <t>Brida ciega 6"</t>
  </si>
  <si>
    <t>4.7.2</t>
  </si>
  <si>
    <t>Niple pasamuro 4" BxL  L= 410 Z= 285</t>
  </si>
  <si>
    <t>4.7.3</t>
  </si>
  <si>
    <t>Niple pasamuro 4" BxL  L= 860 Z= 810</t>
  </si>
  <si>
    <t>4.7.4</t>
  </si>
  <si>
    <t>Niple pasamuro 6" BxL  L= 650 Z= 525</t>
  </si>
  <si>
    <t>4.7.5</t>
  </si>
  <si>
    <t>Niple pasamuro 6" BxL  L= 1520 Z= 125</t>
  </si>
  <si>
    <t>4.7.6</t>
  </si>
  <si>
    <t>Niple  6" BxB  L= 850</t>
  </si>
  <si>
    <t>4.7.7</t>
  </si>
  <si>
    <t>Union autoportante 6"</t>
  </si>
  <si>
    <t>4.7.8</t>
  </si>
  <si>
    <t>Union autoportante 4"</t>
  </si>
  <si>
    <t>4.7.9</t>
  </si>
  <si>
    <t>Tee 6x6 E. bridados</t>
  </si>
  <si>
    <t>4.7.10</t>
  </si>
  <si>
    <t>Tee 6x4 E. bridados</t>
  </si>
  <si>
    <t>4.7.11</t>
  </si>
  <si>
    <t>Codo 90º x 4"</t>
  </si>
  <si>
    <t>4.8.1</t>
  </si>
  <si>
    <t>Válvulas de mariposa 4" en HD Extremos Bridados  Incluye Columna de maniobra, soportes, guías y vástago de extensión de 1,4 m</t>
  </si>
  <si>
    <t>4.8.2</t>
  </si>
  <si>
    <t>Válvulas de mariposa 6" en HD Extremos Bridados  Incluye Columna de maniobra, soportes, guías y vástago de extensión de 1,65 m</t>
  </si>
  <si>
    <t>4.8.3</t>
  </si>
  <si>
    <t>Válvulas de mariposa 4" en HD Extremos Bridados  Incluye Columna de maniobra, soportes, guías y vástago de extensión de 3,1 m</t>
  </si>
  <si>
    <t>4.9.1</t>
  </si>
  <si>
    <t>Arena</t>
  </si>
  <si>
    <t>4.9.2</t>
  </si>
  <si>
    <t>Antracita</t>
  </si>
  <si>
    <t>4.9.3</t>
  </si>
  <si>
    <t>Grava</t>
  </si>
  <si>
    <t>4.9.4</t>
  </si>
  <si>
    <t xml:space="preserve">Viguetas </t>
  </si>
  <si>
    <t>TANQUE DE CONTACTO DE CLORO</t>
  </si>
  <si>
    <t xml:space="preserve">Tuberías </t>
  </si>
  <si>
    <t>6.7.1</t>
  </si>
  <si>
    <t xml:space="preserve">Tubería HD 8" </t>
  </si>
  <si>
    <t>6.7.2</t>
  </si>
  <si>
    <t xml:space="preserve">Tubería HD 6" </t>
  </si>
  <si>
    <t>6.8.1</t>
  </si>
  <si>
    <t>Niple pasamuro 8" BxL  L= 500 Z= 350</t>
  </si>
  <si>
    <t>6.8.2</t>
  </si>
  <si>
    <t>Niple pasamuro 6" LxL  L= 350 Z= 200</t>
  </si>
  <si>
    <t>6.8.3</t>
  </si>
  <si>
    <t>Unión autoportante 8"</t>
  </si>
  <si>
    <t>6.8.4</t>
  </si>
  <si>
    <t>Acople Brida Universal 8"</t>
  </si>
  <si>
    <t>6.8.5</t>
  </si>
  <si>
    <t>Codo 90º * 6" HD para HD</t>
  </si>
  <si>
    <t>6.8.6</t>
  </si>
  <si>
    <t>Codo 90º * 8" HD para HD</t>
  </si>
  <si>
    <t>6.8.7</t>
  </si>
  <si>
    <t>Tee 8*6 para HD</t>
  </si>
  <si>
    <t>7.7.1</t>
  </si>
  <si>
    <t xml:space="preserve">Tubería HD 3" </t>
  </si>
  <si>
    <t>7.8.1</t>
  </si>
  <si>
    <t>Niple pasamuro 3" BxL  L= 350 Z= 275</t>
  </si>
  <si>
    <t>7.8.2</t>
  </si>
  <si>
    <t>Niple pasamuro 3" LxL  L= 350 Z= 275</t>
  </si>
  <si>
    <t>7.8.3</t>
  </si>
  <si>
    <t>Acople Brida Universal 3"</t>
  </si>
  <si>
    <t>7.8.4</t>
  </si>
  <si>
    <t>Codo 90º * 3" HD para HD</t>
  </si>
  <si>
    <t>7.8.5</t>
  </si>
  <si>
    <t>Tee 3*3 para HD</t>
  </si>
  <si>
    <t>SISTEMA DE TRATAMIENTO DE LODOS</t>
  </si>
  <si>
    <t>8.7.1</t>
  </si>
  <si>
    <t>Niple pasamuro 4" B*L L= 350 Z= 275</t>
  </si>
  <si>
    <t>Válvulas</t>
  </si>
  <si>
    <t>8.8.1</t>
  </si>
  <si>
    <t>Válvula de compuerta 4" E. Bridados sello elástico, vastago no ascendente</t>
  </si>
  <si>
    <t>8.9.1</t>
  </si>
  <si>
    <t xml:space="preserve">Bomba sumergible para lodos </t>
  </si>
  <si>
    <t>8.9.2</t>
  </si>
  <si>
    <t>Tuberías y accesorios lechos de secado</t>
  </si>
  <si>
    <t>REDES EXTERNAS</t>
  </si>
  <si>
    <t>Tuberías</t>
  </si>
  <si>
    <t>9.1.1</t>
  </si>
  <si>
    <t>Tubería de PVC 8" RDE 32,5</t>
  </si>
  <si>
    <t>9.1.2</t>
  </si>
  <si>
    <t>Tubería de PVC 6" RDE 32,5</t>
  </si>
  <si>
    <t>9.1.3</t>
  </si>
  <si>
    <t>Tubería PVC alcantarillado corrugado 200 mm</t>
  </si>
  <si>
    <t>9.1.4</t>
  </si>
  <si>
    <t>Tubería PVC alcantarillado corrugado 110 mm</t>
  </si>
  <si>
    <t>Valvulas</t>
  </si>
  <si>
    <t>9.2.1</t>
  </si>
  <si>
    <t xml:space="preserve">Válvula de compuerta 8" junta hidráulica vastago no ascendente sello elástico </t>
  </si>
  <si>
    <t>9.2.2</t>
  </si>
  <si>
    <t xml:space="preserve">Válvula de compuerta 6" junta hidráulica vastago no ascendente sello elástico </t>
  </si>
  <si>
    <t>Cámaras</t>
  </si>
  <si>
    <t>9.3.1</t>
  </si>
  <si>
    <t>Cámara tipo alcantarillado Acuavalle</t>
  </si>
  <si>
    <t>9.3.2</t>
  </si>
  <si>
    <t>Cámara 0,60x0,60</t>
  </si>
  <si>
    <t>9.3.3</t>
  </si>
  <si>
    <t>Sistema de tratamiento de aguas residuales incluye tanque séptico de 2,0 m3 en concreto y campo de infiltración con tres ramales de 12 metros en tubería PVC alcantarillado</t>
  </si>
  <si>
    <t>Equipos</t>
  </si>
  <si>
    <t>9.4.1</t>
  </si>
  <si>
    <t>Sistema de suministro de agua incluye bomba sumergible, tanque de 1000 litros, tuberías de conexión, accesorios</t>
  </si>
  <si>
    <t>9.4.2</t>
  </si>
  <si>
    <t>Sistema de bombeo para tanque de lavado, incluye bomba sumergible, tuberías de conexión, accesorios y sistema de control</t>
  </si>
  <si>
    <t>INSTALACIONES ELECTRICAS</t>
  </si>
  <si>
    <t>Diagrama Unifilar y Red aerea distancia aprox 30 m</t>
  </si>
  <si>
    <t>Acometida electrica totalizador contador de energía- tablero de alumbrado</t>
  </si>
  <si>
    <t>Acometida electrica tablero alumbrado laboratorio a bombas</t>
  </si>
  <si>
    <t>Acometida electrica tablero de alumbrado laboratorio a lampara de sodio 70 w. Acometida subterránea con cajas de inspección por poste y postes con D.I</t>
  </si>
  <si>
    <t>CASETA DE OPERACIÓN - VIVIENDA</t>
  </si>
  <si>
    <t>Movimientos de tierra</t>
  </si>
  <si>
    <t>11,1,1</t>
  </si>
  <si>
    <t>Excavaciones a mano para cimentaciones</t>
  </si>
  <si>
    <t>11,1,2</t>
  </si>
  <si>
    <t xml:space="preserve">Cargue y retiro de material sobrante de excavaciones a mano </t>
  </si>
  <si>
    <t>Cimentacion y estructura</t>
  </si>
  <si>
    <t>11,2,1</t>
  </si>
  <si>
    <t>Solados de limpieza e: 5.0 cms concreto 1500 psi</t>
  </si>
  <si>
    <t>11,2,2</t>
  </si>
  <si>
    <t>Zapatas 1,00*1,00*,30  (15)</t>
  </si>
  <si>
    <t>11,2,3</t>
  </si>
  <si>
    <t>Vigas de cimentación ,35*,35     74 ml</t>
  </si>
  <si>
    <t>11,2,4</t>
  </si>
  <si>
    <t>Columnas ,35*,35   (39)</t>
  </si>
  <si>
    <t>11,2,5</t>
  </si>
  <si>
    <t>Acero de refuerzo de 37,000 psi – 260 mpa</t>
  </si>
  <si>
    <t>11,2,6</t>
  </si>
  <si>
    <t>Acero de refuerzo de 60,000 psi – 420 mpa</t>
  </si>
  <si>
    <t>11,2,7</t>
  </si>
  <si>
    <t>Mallas electrosoldadas de 75,000 psi-585 mpa 3.0 mm c/. 0.30-contrap.</t>
  </si>
  <si>
    <t>11,2,8</t>
  </si>
  <si>
    <t>Vigas de cumbrera ,20*,20 (94)</t>
  </si>
  <si>
    <t>Instalaciones hidrosanitarias</t>
  </si>
  <si>
    <t>11,3,1</t>
  </si>
  <si>
    <t>Tuberia sanitaria 4" y 6¨</t>
  </si>
  <si>
    <t>11,3,2</t>
  </si>
  <si>
    <t>Tuberia pvc aguas lluvias 3"</t>
  </si>
  <si>
    <t>11,3,3</t>
  </si>
  <si>
    <t>Caja de inspeccion 60 x60</t>
  </si>
  <si>
    <t>11,3,4</t>
  </si>
  <si>
    <t>Puntos sanitarios</t>
  </si>
  <si>
    <t>11,3,5</t>
  </si>
  <si>
    <t>Puntos hidraulicos</t>
  </si>
  <si>
    <t>Instalaciones electricas, telefonicas e iluminacion</t>
  </si>
  <si>
    <t>11,4,1</t>
  </si>
  <si>
    <t>Salida Iluminación</t>
  </si>
  <si>
    <t>11,4,2</t>
  </si>
  <si>
    <t>Salida interruptor</t>
  </si>
  <si>
    <t>11,4,3</t>
  </si>
  <si>
    <t>Salida toma doble</t>
  </si>
  <si>
    <t>11,4,4</t>
  </si>
  <si>
    <t>Salida toma 220 v</t>
  </si>
  <si>
    <t>11,4,5</t>
  </si>
  <si>
    <t>Tablero 3f 5h 12 circuitos</t>
  </si>
  <si>
    <t>11,4,6</t>
  </si>
  <si>
    <t>Acometida electrica 3#8awg thhn</t>
  </si>
  <si>
    <t>11,4,7</t>
  </si>
  <si>
    <t>Acometida a poste 3#8</t>
  </si>
  <si>
    <t>11,4,8</t>
  </si>
  <si>
    <t>Caja contador con espacio para proteccion</t>
  </si>
  <si>
    <t>11,4,9</t>
  </si>
  <si>
    <t>Contador Trifasico</t>
  </si>
  <si>
    <t>11,4,10</t>
  </si>
  <si>
    <t>Breaker 3*70 amp.</t>
  </si>
  <si>
    <t>11,4,11</t>
  </si>
  <si>
    <t>Salida tv</t>
  </si>
  <si>
    <t>11,4,12</t>
  </si>
  <si>
    <t>Salida telefono o citofono</t>
  </si>
  <si>
    <t>11,4,13</t>
  </si>
  <si>
    <t>Acometida Telefónica General</t>
  </si>
  <si>
    <t>11,4,14</t>
  </si>
  <si>
    <t>Strip general ( telefono y t.v.)</t>
  </si>
  <si>
    <t>11,4,15</t>
  </si>
  <si>
    <t>Acometida t.v.</t>
  </si>
  <si>
    <t>Mamposteria</t>
  </si>
  <si>
    <t>11,5,1</t>
  </si>
  <si>
    <t>Muros en ladrillo común revitado</t>
  </si>
  <si>
    <t>11,5,2</t>
  </si>
  <si>
    <t>Dinteles  en varilla para vanos de puertas y ventanas</t>
  </si>
  <si>
    <t>11,5,3</t>
  </si>
  <si>
    <t>Alfajias prefabricadas en concreto según detalle</t>
  </si>
  <si>
    <t>11,5,4</t>
  </si>
  <si>
    <t>Mesones en concreto ancho 0.60 mts. Incluye faldon</t>
  </si>
  <si>
    <t>Recubrimientos y enchapes</t>
  </si>
  <si>
    <t>11,6,1</t>
  </si>
  <si>
    <t>Enchape de muros en ceramica blanca formato 20.5x20.5 cms</t>
  </si>
  <si>
    <t>11,6,2</t>
  </si>
  <si>
    <t>Cenefas en ceramica formato 20.5x6.8 cms mas dos lapices rojos</t>
  </si>
  <si>
    <t>11,6,3</t>
  </si>
  <si>
    <t>Enchape en granito blanco funido y pulido en  mesones</t>
  </si>
  <si>
    <t>11,6,4</t>
  </si>
  <si>
    <t>Lavadero prefabricado en granito pulido</t>
  </si>
  <si>
    <t>11,6,5</t>
  </si>
  <si>
    <t>Repello de muros para enchape</t>
  </si>
  <si>
    <t>Pisos</t>
  </si>
  <si>
    <t>11,7,1</t>
  </si>
  <si>
    <t>Bases para muebles fijos en concreto pobre e: 6.0 cms.</t>
  </si>
  <si>
    <t>11,7,2</t>
  </si>
  <si>
    <t xml:space="preserve">Piso esmaltado,dilatacion de bronce incluye repello </t>
  </si>
  <si>
    <t>11,7,3</t>
  </si>
  <si>
    <t xml:space="preserve">Murete de duchas en ceramica blanca formato 20.5x20.5 </t>
  </si>
  <si>
    <t>11,7,4</t>
  </si>
  <si>
    <t>Guardaescoba en gres</t>
  </si>
  <si>
    <t>11,7,5</t>
  </si>
  <si>
    <t>Piso para parqueo en grava</t>
  </si>
  <si>
    <t>11,7,6</t>
  </si>
  <si>
    <t>Anden perimetral y canaleta</t>
  </si>
  <si>
    <t>11,7,7</t>
  </si>
  <si>
    <t>Contrapiso</t>
  </si>
  <si>
    <t>Accesorios de baños y cocina</t>
  </si>
  <si>
    <t>11,8,1</t>
  </si>
  <si>
    <t>Lavamanos de colgar corona linea nova ref. 07381 con Griferia de push ref. 71100 cromo o su equivalente</t>
  </si>
  <si>
    <t>11,8,2</t>
  </si>
  <si>
    <t>Pozuelos en acero inox. Tipo socoda 0.35 x 0.50 mts.</t>
  </si>
  <si>
    <t>11,8,3</t>
  </si>
  <si>
    <t>Taparegistros en a. Inox. Con cerradura 15x15 cms. Ref. Fa-tipo 1</t>
  </si>
  <si>
    <t>11,8,4</t>
  </si>
  <si>
    <t>Llave de manguera de ½” tipo pesado ref. 97720 cromada o su</t>
  </si>
  <si>
    <t>11,8,5</t>
  </si>
  <si>
    <t>Rejillas de piso con sosco de 3” x 2” cuadradas concentricas En aluminio tipo colrejillas o su equivalente</t>
  </si>
  <si>
    <t>11,8,6</t>
  </si>
  <si>
    <t>Griferia para pozuelos tipo galaxia ref. 50500 de sobreponer Grival o su equivalente</t>
  </si>
  <si>
    <t>11,8,7</t>
  </si>
  <si>
    <t>Sanitario linea nova</t>
  </si>
  <si>
    <t>11,8,8</t>
  </si>
  <si>
    <t xml:space="preserve">Juego de incrustaciones linea astro </t>
  </si>
  <si>
    <t>11,8,9</t>
  </si>
  <si>
    <t>Espejos calidad peldar de 4 mm. Bordes biselados</t>
  </si>
  <si>
    <t>Pinturas</t>
  </si>
  <si>
    <t>11,9,1</t>
  </si>
  <si>
    <t xml:space="preserve">Cal y color sobre muros </t>
  </si>
  <si>
    <t>11,9,2</t>
  </si>
  <si>
    <t>Pintura de proteccion  de ladrillo a la vista y zocalos</t>
  </si>
  <si>
    <t>11,9,3</t>
  </si>
  <si>
    <t>Barniz sobre cielos</t>
  </si>
  <si>
    <t>Carpinteria metalica</t>
  </si>
  <si>
    <t>11,10,1</t>
  </si>
  <si>
    <t xml:space="preserve">Puerta en lamina </t>
  </si>
  <si>
    <t>11,10,2</t>
  </si>
  <si>
    <t xml:space="preserve">Reja de seguridad en patio interior </t>
  </si>
  <si>
    <t>11,10,3</t>
  </si>
  <si>
    <t xml:space="preserve">Ventana y puerta ventana en lamina incluye vidrio </t>
  </si>
  <si>
    <t>Carpinteria de madera</t>
  </si>
  <si>
    <t>11,11,1</t>
  </si>
  <si>
    <t>Puerta  0.80 x 2.10   .70 x 2,10 en madera tipo contemporanea De pizano,  incluye cerradura  y marco</t>
  </si>
  <si>
    <t>11,11,2</t>
  </si>
  <si>
    <t>Muebles ,closet, y cocina  mb tipo economico</t>
  </si>
  <si>
    <t>Cubierta</t>
  </si>
  <si>
    <t>11,12,1</t>
  </si>
  <si>
    <t>Estructura en madera</t>
  </si>
  <si>
    <t>11,12,2</t>
  </si>
  <si>
    <t xml:space="preserve">Cielo falso en machihembre de pino </t>
  </si>
  <si>
    <t>11,12,3</t>
  </si>
  <si>
    <t xml:space="preserve">Teja de barro atornillada </t>
  </si>
  <si>
    <t>Obras exteriores</t>
  </si>
  <si>
    <t>11,13,1</t>
  </si>
  <si>
    <t>Grama . Para zonas verdes 30,00 m2</t>
  </si>
  <si>
    <t>VALOR COSTOS DIRECTOS</t>
  </si>
  <si>
    <t>ADMINISTRACIÓN</t>
  </si>
  <si>
    <t>UTILIDADES</t>
  </si>
  <si>
    <t>IVA SOBRE UTILIDAD</t>
  </si>
  <si>
    <t>TANQUE DE CLORACIONLAVADO DE FILTROS</t>
  </si>
  <si>
    <t>EXCAVACION TIERRA A MANO</t>
  </si>
  <si>
    <t xml:space="preserve">M3 </t>
  </si>
  <si>
    <t>LOSA CONCRETO MACIZA E=20CM</t>
  </si>
  <si>
    <t>LOSA FLOTANTE CASETON-VIGAS H=41-45</t>
  </si>
  <si>
    <t>MURO CONCRETO CONCRETO 3000 PS</t>
  </si>
  <si>
    <t>CINTA PVC JUNTA DILATACION</t>
  </si>
  <si>
    <t xml:space="preserve">VALVULA DE COMPUERTA 8" EL </t>
  </si>
  <si>
    <t>TAPA EN LAMINAR ALFAJOR 0,8X0,8 M</t>
  </si>
  <si>
    <t>TAPA EN LAMINAR ALFAJOR 1,0X1,10M</t>
  </si>
  <si>
    <t>TEE HF EL D=10"X8"</t>
  </si>
  <si>
    <t>REDUCCION HF 10" A 8"</t>
  </si>
  <si>
    <t xml:space="preserve">VALVULA DE COMPUERTA 10" EL </t>
  </si>
  <si>
    <t xml:space="preserve">CODO VENTILACION 4" SANITARIA PVC </t>
  </si>
  <si>
    <t>TUBERIA PVC 4" SANITARIA VENTILACION</t>
  </si>
  <si>
    <t xml:space="preserve">TUBERIA PVC RDE 26 </t>
  </si>
  <si>
    <t>PASAMURO HF EL D=8"  (ANCHO MURO 30 CM)</t>
  </si>
  <si>
    <t>PASAMURO HF EL D=10"  (ANCHO MURO 30 CM)</t>
  </si>
  <si>
    <t>CODO HF 8'X90</t>
  </si>
  <si>
    <t>CONCRETO MUROS 3000 PSI</t>
  </si>
  <si>
    <t>LOSA MACIZA CIMIENTO H=10 CM</t>
  </si>
  <si>
    <t>TAPON PERFORADO DIAMETRO 4"</t>
  </si>
  <si>
    <t>VALVULA DE COMPUERTA EXTREMO LISO D=8"</t>
  </si>
  <si>
    <t>PASAMURO DE HF EL D=8" (EMURO=20 CM)</t>
  </si>
  <si>
    <t xml:space="preserve">TUBERIA PVC UM RDE 21 D=8" </t>
  </si>
  <si>
    <t xml:space="preserve">CODO 8'X90 PRESION RDE 21 </t>
  </si>
  <si>
    <t>TAPA ALFAJOR 0,80X0,80 e=0.07</t>
  </si>
  <si>
    <t>TAPA ALFAJOR 0,7X0,70  e=0.07</t>
  </si>
  <si>
    <t>CAJA INSPECCION 100x1OO CM [CONCRETO</t>
  </si>
  <si>
    <t xml:space="preserve">LOSA MACIZA AEREA Fc=21 Mpa E=0,15(TAPA) </t>
  </si>
  <si>
    <t>CODO SANITARIO PVC 90 CE-4"</t>
  </si>
  <si>
    <t xml:space="preserve">TUBERIA PVC  4" VENTILACION </t>
  </si>
  <si>
    <t>GB</t>
  </si>
  <si>
    <t>TOLVA ADICION DE QUIMICOS</t>
  </si>
  <si>
    <t>TUBERIA HS CII D=12"</t>
  </si>
  <si>
    <t>CINTA PCV V-15</t>
  </si>
  <si>
    <t>BARANDA PERIMETRAL EL TUBO GALVANIZADO 11/2"</t>
  </si>
  <si>
    <t>VALVULA DE COMPUERTA 0,5 X0,5 CRM H=1,75</t>
  </si>
  <si>
    <t>PASAMURO HF EL D=10" Espersor losa 0,2 m</t>
  </si>
  <si>
    <t>CODO DE HF 90x10" EL</t>
  </si>
  <si>
    <t xml:space="preserve">TUBERIA W RETEN D=10" </t>
  </si>
  <si>
    <t>TAPA LAMINA ALFAJOR 0,45X0,45</t>
  </si>
  <si>
    <t>TAPA LAMINA ALFAJOR 0,65X1,05</t>
  </si>
  <si>
    <t>TAPA LAMINA ALFAJOR 1,35X1,05</t>
  </si>
  <si>
    <t>REDUCCION HF EL 10"  A 12"</t>
  </si>
  <si>
    <t>VALVULA DE DESAGUE D=12" (LODOS)</t>
  </si>
  <si>
    <t>VALVULA DE COMPUERTA 0,5 X0,5 CRM H=1,73 Salida Floc</t>
  </si>
  <si>
    <t>TAPA EN LAMINA ALFAJOR 0,95,X0,85</t>
  </si>
  <si>
    <t>TAPA EN LAMINA ALFAJOR 0,85,X0,85</t>
  </si>
  <si>
    <t>ESCALERA EN VARILLA D=1" CADA 30 CM  (ACCESO DESAGUE ) H=4,43M)</t>
  </si>
  <si>
    <t>0,30X0,30   H= 2,38 M</t>
  </si>
  <si>
    <t>VALVULA DE DRENAJE 3" HF EL</t>
  </si>
  <si>
    <t>PASAMURO DE D=3" HF EL</t>
  </si>
  <si>
    <t xml:space="preserve">FILTROS RAPIDOS TASA DECLINANTE, AUTO LAVANTES </t>
  </si>
  <si>
    <r>
      <t>VIGUETAS EN "V" INVERTIDA,  PREFABRICADAS EN CONCRETO DE f'c=280 kg/ cm</t>
    </r>
    <r>
      <rPr>
        <sz val="8"/>
        <color theme="1"/>
        <rFont val="Calibri"/>
        <family val="2"/>
        <scheme val="minor"/>
      </rPr>
      <t xml:space="preserve">2 </t>
    </r>
    <r>
      <rPr>
        <sz val="11"/>
        <color theme="1"/>
        <rFont val="Calibri"/>
        <family val="2"/>
        <scheme val="minor"/>
      </rPr>
      <t>(ANCHO=0,38 M, ALTURA=0,25 M, L=3,42 M) CON 17 ORIFICIOS POR CADA CARADE D=1/2" POR LADO DE VIGUETA ESPACIADOS CADA 13 CM, INCLUYE REFUERZO</t>
    </r>
  </si>
  <si>
    <t>SUMINISTRO TRANSPORTE E INSTALACION  VALVULA DE COMPUERTA DESLIZANTE COLUMNA RUEDA DE MANEJO INCLUYE VASTAGO, SOPORTE  GUIA RUEDA O VOLANTE DE MANEJO, TORNILLOS TUERCAS, ARANDELAS SELLOS Y EMPAQUES (UN) DE :</t>
  </si>
  <si>
    <t>MATERIAL FILTRANTE ANTRACITA; T.E. (0,30-0,50) Y CU&lt;1,6 H=30</t>
  </si>
  <si>
    <t>MATERIAL FILTRANTE ARENA; T.E. (0,30-0,50) Y CU&lt;1,6 H=45</t>
  </si>
  <si>
    <t>MATERIAL DE SOPORTE GRAVA DE D=11/2"-3/16"</t>
  </si>
  <si>
    <t>PELDANOS EN VARILLA CORRUGADA D=3/4" , INCLUYE PERFORACIONES EN MURO, MORTERO PARA RESANE Y PINTURA ANTICORROSIVA</t>
  </si>
  <si>
    <t xml:space="preserve"> 0,80X0,55  H=  1,58 M</t>
  </si>
  <si>
    <t>PLACAS PREFABRICADAS EN CONCRETO SIMPLE 0,55X0,20X0,05 CON ORIFICIOS</t>
  </si>
  <si>
    <t>PLACAS  PLANAS DE ASBESTO CEMENTO 2,40X1,20X0,08</t>
  </si>
  <si>
    <t>PLACAS PLANAS DE ASBESTO CEMENTO  A-C 2,40X1,20X0.006</t>
  </si>
  <si>
    <t xml:space="preserve">M2 </t>
  </si>
  <si>
    <t>LOSA CONCRETO AEREA 3000 PSI</t>
  </si>
  <si>
    <t>DESCAPOTE MAQUINA MAS RETIRO</t>
  </si>
  <si>
    <t>RELLENO MATERIAL SITIO COMPACTADO 90% PM</t>
  </si>
  <si>
    <t>GEOTEXTIL NO TEJIDO</t>
  </si>
  <si>
    <t>EXCAVACION A MAQUINA SIN RETIRO</t>
  </si>
  <si>
    <t>MURO CONCRETO 3000 PSI</t>
  </si>
  <si>
    <t xml:space="preserve">MATERIAL FILTRANTE GRANULAR </t>
  </si>
  <si>
    <t>TUB.PVC 4 DREN.</t>
  </si>
  <si>
    <t>OBRA CIVIL</t>
  </si>
  <si>
    <t>SUMINISTRO</t>
  </si>
  <si>
    <t>TUB PVC ALCANTARILLADO  8"</t>
  </si>
  <si>
    <t>CINTA PVC V-15</t>
  </si>
  <si>
    <t>DOSIFICADOR DE CLORO</t>
  </si>
  <si>
    <t>PASAMUROS HF 10"X 20  EL</t>
  </si>
  <si>
    <t>SUMINISTRO TRANSPORTE E INSTALACION  VALVULA DE COMPUERTA DESLIZANTE CRM :</t>
  </si>
  <si>
    <t>0,50X050 VASTAGO H:2,75</t>
  </si>
  <si>
    <t xml:space="preserve">0,50X050 VASTAGO H:2,88 </t>
  </si>
  <si>
    <t>FLOCULADORES  Y ESTRUCTURA DE ENTRADA</t>
  </si>
  <si>
    <t xml:space="preserve">SUBTOTAL SUMINISTRO  FLOCULADOR Y ESTRUCTURAS DE ENTRADA </t>
  </si>
  <si>
    <t xml:space="preserve">TOTAL  FLOCULADOR Y ESTRUCTURAS DE ENTRADA </t>
  </si>
  <si>
    <t xml:space="preserve">SUBTOTAL SUMINISTRO  SEDIMENTADOR </t>
  </si>
  <si>
    <t>TOTAL  SEDIMENTADOR</t>
  </si>
  <si>
    <t xml:space="preserve"> 0,80X0,55  H=  2,58 M</t>
  </si>
  <si>
    <t>0,35X0,35 M  H=2,58 M</t>
  </si>
  <si>
    <t>0,35X0,35 H=5,43 M</t>
  </si>
  <si>
    <t>PLACAS PLANAS DE ASBESTO CEMENTO  A-C 2,40X1,20X0.008</t>
  </si>
  <si>
    <t>ADAPTADOR SANITARIO LIMPIEZA 2"</t>
  </si>
  <si>
    <t>SUBTOTAL  ESTRUCTURA DE CONCRETO SEDIMENTADOR</t>
  </si>
  <si>
    <t xml:space="preserve">SUBTOTAL ESTRUCTURA DE CONCRETO FILTROS RAPIDOS </t>
  </si>
  <si>
    <t xml:space="preserve">SUBTOTAl  ESTRUCTURA CONCRETO  FLOCULADOR Y ESTRUCTURAS  ENTRADA </t>
  </si>
  <si>
    <t>SUBTOTAL ESTRUCTURA DE CONCRETO TANQUE DE CLORACION</t>
  </si>
  <si>
    <t>SUBTOTAL SUMINISTRO TANQUE DE ALMACENAMIENTO</t>
  </si>
  <si>
    <t>TOTAL  TANQUE DE ALMACENAMIENTO</t>
  </si>
  <si>
    <t>TOTAL  FILTRO RAPIDO</t>
  </si>
  <si>
    <t>SUBTOTAL SUMINISTRO TANQUE DE CLORACION</t>
  </si>
  <si>
    <t>CAMPAMENTO 18 M2</t>
  </si>
  <si>
    <t>LOCALIZACION Y REPLANTEO ESTRUCTURAS</t>
  </si>
  <si>
    <t>MURO CONCRETO 3000 PSI IMPERMEABILIZADO</t>
  </si>
  <si>
    <t>und</t>
  </si>
  <si>
    <t>DOSIFICADOR VOLUMETRICO DE SOLIDOS SULFATO DE ALUMBRE Y CAL (FLUJO MAXIMO 280 L/H, 3.2KG/MIN.,FLUJO MINIMO  2,8L/HORA.- 0,032KG/MIN, REGULACION DE FLUJO POR MEDIO DE VARIADOR DE VELOCIDAD DEL MOTOR TIPO INVERTER DURY, PRECISIÓN 1 A3% SEGÚN CARACTERISTICAS DEL PRODUCTO, MATERIAL ACERO INOXIDABLE 304, TORNILLO No. 7, ELEMENTO MOTRIZ: MOTOR REDUCTOR, 0,25 HP, 220/440V, 60HZ, 1750RPM, ACOPLE DIRECTO. INCLUYE SISTEMA DE VIBRACION. LA TOLVA DE ALMACENAMIENTO EN MATERIAL ACERO INOXIDABLE 304 CAPACIDAD 300 LITROS, CON TAPA ABISAGRADA Y REGILLA EN FIBRA DE VIDRIO PARA EVITAR LA ENTRADA DE GRUMOS GRANDES, O SOLIDOS DE GRAN TAMAÑO, EL DOSIFICADOR INCLUYE VARIADOR DE FRECUENCIA, MANDO MANUAL O AUTOMATICO, POR SEÑAL REMOTA DE 4-20MAP- TABLERO ELECTRICO, PULSADORES DE ARRANQUE Y PARADA, PRUEBAS, CURVAS DE AFORO CON EL PRODUCTO A DOSIFICAR, MANUAL DE INSTRUCCIONES Y MANTENIMIENTO, DIAGRAMA DE ELECTRICO, Y DIMENSIONES GENERALES, CONTROL DE NIVEL TIPO CONDUCTIVO, ALTO/BAJO, FLUIDIZADOR PARA GARANTIZAR LA DOSIFICACIÓN. Y SENSOR DE NIVEL</t>
  </si>
  <si>
    <t>LOSA MACIZA CIMIENTO H=30  IMPERMEBILIZADO</t>
  </si>
  <si>
    <t xml:space="preserve">LOSA CONCRETO AEREA 3000 PSI </t>
  </si>
  <si>
    <t>LOSA MACIZA CIMIENTO H=30 CM IMPERMEABILIZADO</t>
  </si>
  <si>
    <t>TOTAL  OBRAS PRELIMINARES</t>
  </si>
  <si>
    <t>TOTAL CERRAMIENTO</t>
  </si>
  <si>
    <t>MATERIAL FILTRANTE GRANULAR  2"</t>
  </si>
  <si>
    <t>CAMARA INSPECCION TIPO B H=0.00-1.50 MTS</t>
  </si>
  <si>
    <t>CAMARA INSPECCION TIPO B H=3.51-4.00 MTS</t>
  </si>
  <si>
    <t>SUBTOTAL SUMINISTRO FILTRO RAPIDO</t>
  </si>
  <si>
    <t>5,9,1</t>
  </si>
  <si>
    <t>5,9,2</t>
  </si>
  <si>
    <t>5,9,3</t>
  </si>
  <si>
    <t>5,9,4</t>
  </si>
  <si>
    <t>5,9,5</t>
  </si>
  <si>
    <t>CASETON ESTERILLA H=40-50CM</t>
  </si>
  <si>
    <t>TAPA CAJA MARCO ANGULO 71X71 - 80X80</t>
  </si>
  <si>
    <t>PASAMURO HF EL D=8"  E=30 CM)</t>
  </si>
  <si>
    <t>TUBERIA PVC 4 SANITARIA (LOSA)</t>
  </si>
  <si>
    <t>TUBERIA GALVA. 4"</t>
  </si>
  <si>
    <t>CODO GALV. 4 x90</t>
  </si>
  <si>
    <t>PASAMURO HF EL D=10"   l=0,50(E= 30 CM)</t>
  </si>
  <si>
    <t>LOSA MACIZA CIMIENTO H=30   IMPERMEABILIZADO</t>
  </si>
  <si>
    <t>DEMOL.LOSA CONCRETO E&lt;=15CMS</t>
  </si>
  <si>
    <t>LOSA MACIZA  H=10 CM</t>
  </si>
  <si>
    <t>LOSA MACIZA H=15 CM</t>
  </si>
  <si>
    <t xml:space="preserve">MURO CONCRETO 3000 PSI </t>
  </si>
  <si>
    <t>TUBERIA PVC  D=8"</t>
  </si>
  <si>
    <t>TUB.PVC UM 8 RDE 21</t>
  </si>
  <si>
    <t>CODO PVC-UM 8 x 90</t>
  </si>
  <si>
    <t xml:space="preserve">SUMINISTRO TRANSPORTE E INSTALACION  VALVULA DE COMPUERTA DESLIZANTE TIPO GUILLOTINA CON OBTURADOR EN HIERRODUCTIL Y GUIAS EN ACERO INOXIDABLE COLUMNA DE MANIOBRA CON RUEDA CON DE MANEJO INCLUYE SOPORTE GUIA Y VASTAGO ASTAGO EN ACERO INOXIDABLE , SOPORTE  GUIA RUEDA O VOLANTE DE MANEJO, TORNILLOS TUERCAS, ARANDELAS SELLOS Y EMPAQUES (UN) DE : </t>
  </si>
  <si>
    <t>0,30X0,30   H= 3,38 M   (GUIA AI DN D=12")</t>
  </si>
  <si>
    <t>0,90X0,90  H= 5,28 M     (GUIA AI DN D=36")</t>
  </si>
  <si>
    <t xml:space="preserve"> 0,45X0,45  H=  7,01 M   (GUIA AI DN D=18")</t>
  </si>
  <si>
    <t xml:space="preserve"> 0,55X0,55  H=  6,91 M     (GUIA AI DN D=24" )</t>
  </si>
  <si>
    <t xml:space="preserve"> 0,30X0,30  H= 5,33 M    (GUIA AI DN D=12")</t>
  </si>
  <si>
    <t>PASAMURO HF 8" ESPESOR MURO O, 20 M L=050</t>
  </si>
  <si>
    <t>PASAMURO HF 14" ESPESOR MURO O, 20 M  L=050</t>
  </si>
  <si>
    <t>PASAMURO HF 6" ESPESOR MURO O, 20 M  L=050</t>
  </si>
  <si>
    <t>PASAMURO DE D=3" HF EL  L=050</t>
  </si>
  <si>
    <t xml:space="preserve">ESCALERA UÑA DE GATO POR PELDAÑO EN VARILLA D=1" CADA 30 CM </t>
  </si>
  <si>
    <t>NIPLE PASAMURO HF 12" ESPESOR MURO O, 20 M L=0,50</t>
  </si>
  <si>
    <t>NIPLE PASAMURO HF 3" ESPESOR MURO O, 20 M L=0,50</t>
  </si>
  <si>
    <t>TAPA ALFAJOR 0,80X0,80</t>
  </si>
  <si>
    <t xml:space="preserve">TAPA ALFAJOR 0,7X0,70  </t>
  </si>
  <si>
    <t>LECHO DE SECADO</t>
  </si>
  <si>
    <t>SUBTOTAL EST. CONCRETO LECHO DE SECADO</t>
  </si>
  <si>
    <t>SUMINISTRO TRANSPORTE E INSTALACION  VALVULA DE COMPUERTA DESLIZANTE TIPO GUILLOTINA CON OBTURADOR EN HIERRO DUCTIL  Y GUIAS EN ACERO INOXIDABLE DN 32"X24" , SOPORTE GUIA VASTAGO EN ACERO INOXIDABLE   PEDESTAL DE MANIOBRA COLUMNA RUEDA DE MANEJO DE  :</t>
  </si>
  <si>
    <t xml:space="preserve">VALVULA DE COMPUERTA EXTREMO LISO D=8" </t>
  </si>
  <si>
    <t>PASAMURO DE HF EL D=8" (ESPESOR MURO=20 CM),L=0,50</t>
  </si>
  <si>
    <t>448.89</t>
  </si>
  <si>
    <t xml:space="preserve">VALVULA DE COMPUERTA 6" EL </t>
  </si>
  <si>
    <t>VALVULA DE COMPUERTA  10"  HF EL PVC</t>
  </si>
  <si>
    <t>TEE HF EL D=10"X6"</t>
  </si>
  <si>
    <t>3,22,1</t>
  </si>
  <si>
    <t>3,22,2</t>
  </si>
  <si>
    <t>3,22,3</t>
  </si>
  <si>
    <t>3,22,4</t>
  </si>
  <si>
    <t>3,22,5</t>
  </si>
  <si>
    <t>3,22,6</t>
  </si>
  <si>
    <t>CASETA LABORATORIO, BODEGA</t>
  </si>
  <si>
    <t>MURO DE LADRILLO COMUN EN SOGA</t>
  </si>
  <si>
    <t>ZAPATAS EN CONCRETO 3000 PSI, (38 DE 0,60M*0,60M*0,50)</t>
  </si>
  <si>
    <t>VIGA DE CIMENTACION EN CONCRERO 3000 PSI, CON 4 No. 4 Y E No.3 C/20 CM. DE 20 CM DE ALTO POR 12 CM DE ANCHO</t>
  </si>
  <si>
    <t>COLUMNAS EN CONCRETO 3000 PSI, (38 COLUMNAS * 0,30 M *0,30M)</t>
  </si>
  <si>
    <t>VIGAS DE AMARRE CONCRETO 3000 PSI, CON 4 No. 4 Y E No. 3 C/20 CM</t>
  </si>
  <si>
    <t>ACERO REFUERZO FLEJADO 37000 PSI 420Mpa</t>
  </si>
  <si>
    <t>VIGAS DE CULATA CONCRETO 3000 PSI, CON 4 No. 3 Y E No. 2 C/20CM</t>
  </si>
  <si>
    <t>MAMPOSTERIA</t>
  </si>
  <si>
    <t>ESTRUCTURA EN CONRETO</t>
  </si>
  <si>
    <t>9,2,1</t>
  </si>
  <si>
    <t>9,3,1</t>
  </si>
  <si>
    <t>9,3,2</t>
  </si>
  <si>
    <t>9,3,3</t>
  </si>
  <si>
    <t>9,3,4</t>
  </si>
  <si>
    <t>9,3,5</t>
  </si>
  <si>
    <t>ACEROS DE REFUERZOS</t>
  </si>
  <si>
    <t>9,4,1</t>
  </si>
  <si>
    <t>9,4,2</t>
  </si>
  <si>
    <t>CUBIERTAS EN TEJAS DE BARRO SOBRE ESTRUCTURA DE MADERA</t>
  </si>
  <si>
    <t>CANALETA EN A.C. PARA RECOLECCION DE AGUAS LLUVIAS</t>
  </si>
  <si>
    <t>CIELORASO EN PANEL YESO Y ANGULOS DE ALUMINIO</t>
  </si>
  <si>
    <t>ACABADOS</t>
  </si>
  <si>
    <t>REPELLO DE MUROS Y ESTRUCTURAS CON MORTERO 1:2</t>
  </si>
  <si>
    <t>ENCHAPE DE MUROS Y PISOS EN CERAMICA</t>
  </si>
  <si>
    <t>SOBREPISO EN CONCRETO SIMPLE 2500 PSI ESPESOR 6 CM</t>
  </si>
  <si>
    <t>PISO EN TABLETA AREAS EXTERNAS</t>
  </si>
  <si>
    <t>MESON EN CONCRETO</t>
  </si>
  <si>
    <t>9,6,1</t>
  </si>
  <si>
    <t>9,6,2</t>
  </si>
  <si>
    <t>9,6,3</t>
  </si>
  <si>
    <t>9,6,4</t>
  </si>
  <si>
    <t>9,6,5</t>
  </si>
  <si>
    <t>CARPINTERIA METALICA</t>
  </si>
  <si>
    <t>9,7,1</t>
  </si>
  <si>
    <t>PUERTAS EN MALLA GALVANIZADA DE 2,5M DE ANCHO * 2,20M DE ALTO</t>
  </si>
  <si>
    <t>9,7,2</t>
  </si>
  <si>
    <t>9,7,3</t>
  </si>
  <si>
    <t>9,7,4</t>
  </si>
  <si>
    <t>9,7,5</t>
  </si>
  <si>
    <t>VENTANA EN ALUMINIO FIJA P-744 UNCLUYE VIDRIO TRANSPARENTE DE 4MM</t>
  </si>
  <si>
    <t>VENTANA EN LAMINA GALVANIZADA</t>
  </si>
  <si>
    <t>PASAMANOS EN ALUMINIO 1 1/2"</t>
  </si>
  <si>
    <t>PUERTA METALICA DE 1M DE ANCHO* 2,10M DE ALTO</t>
  </si>
  <si>
    <t>9,8,1</t>
  </si>
  <si>
    <t>CARPINTERIA DE MADERA</t>
  </si>
  <si>
    <t>PUERTA ENTAMBORADO  EN TRIPLEX DE 1,0 M DE ANCHO * 2,1 M DE ALTO</t>
  </si>
  <si>
    <t>PINTURA EN GENERAL</t>
  </si>
  <si>
    <t>PINTURA DE MUROS INTERNOS CON VINILO LAVABLE 3 MANOS</t>
  </si>
  <si>
    <t>PINTURA DE MUROS EXTERNOS CON VINILO EXTERIORES</t>
  </si>
  <si>
    <t>PINTURA CON ESMALTE REJAS Y VENTANAS</t>
  </si>
  <si>
    <t>9,9,1</t>
  </si>
  <si>
    <t>9,9,2</t>
  </si>
  <si>
    <t>9,9,3</t>
  </si>
  <si>
    <t>OBRAS EXTERIORES</t>
  </si>
  <si>
    <t>9,10,1</t>
  </si>
  <si>
    <t xml:space="preserve">ZONA DE PARQUEO EN CONCRETO 3000 PSI Y 10 CM DE ESPESOR </t>
  </si>
  <si>
    <t>9,10,2</t>
  </si>
  <si>
    <t>9,10,3</t>
  </si>
  <si>
    <t>PRADO GATEADOR</t>
  </si>
  <si>
    <t>SUBTOTAL EST. ARQUITECTONICO</t>
  </si>
  <si>
    <t>SUBTOTAL EST. CONCRETO LECHOS DE SECADO</t>
  </si>
  <si>
    <t>SUBTOTAL SUMINISTRO LECHOS DE SECADO</t>
  </si>
  <si>
    <t>RETIRO DE SALDO EN SITIO</t>
  </si>
  <si>
    <t>VALVULA MARIPOSA TIPO WAFER DE 4", INCLUYE BRIDA (2) BRIDAS, JUEGO DE EMPAQUETADURA Y TORNILLOS</t>
  </si>
  <si>
    <t>TUBERIA PVC 4 SANITARIA PERFORADA</t>
  </si>
  <si>
    <t>CAJAS DE CONCRETO 0,5*0,5M</t>
  </si>
  <si>
    <t>LADRILLO COMUN (6,5*10*23) PARA SOBREPONER SOBRE LA ARENA FINA</t>
  </si>
  <si>
    <t>MATERIAL FILTRANTE GRAVA MEDIANA DE 3/4"</t>
  </si>
  <si>
    <t>ADAPTADOR SANITARIO LIMPIEZA 4"</t>
  </si>
  <si>
    <t>TEE DOBLE DE 4" PVC-SAN</t>
  </si>
  <si>
    <t>SISTEMA DE TRATAMIENTO DE AGUAS RESIDUALES</t>
  </si>
  <si>
    <t>9,11,1</t>
  </si>
  <si>
    <t>SISTEMA SEPTICO INTEGRADO DE 2000L , INCLUYE TRAMPA DE GRASAS DE 105 L, TANQUE SEPTICO DE DOS CAMARAS Y UN FILTRO ANAEROBICO DE FLUJO ASCENDENTE FAFA, CON ROSETONES Y ACCESORIOS</t>
  </si>
  <si>
    <t>ANDEN EN CONCRETO SIMPLE E: 10 CM</t>
  </si>
  <si>
    <t>9,10,4</t>
  </si>
  <si>
    <t xml:space="preserve">OBRAS PRELIMINARES </t>
  </si>
  <si>
    <t>POSTE CONCRETO 11 m. x 510 kg.</t>
  </si>
  <si>
    <t>CRUCETA GALVANIZADA 76,2X76,2X7,93X2400 mm CENTRO</t>
  </si>
  <si>
    <t>AISLADOR DE PORCELANA TIPO LINE POST ANSI 57-1</t>
  </si>
  <si>
    <t>AISLADOR POLIMERICO TIPO SUSPENSION ANSI DS 15</t>
  </si>
  <si>
    <t>TUERCA DE OJO ACERO GALVANIZADO 5/8"</t>
  </si>
  <si>
    <t>ARANDELA REDONDA PLANA PARA PERNO 5/8"</t>
  </si>
  <si>
    <t>PERNO TIPO CARRUAJE DE 5/8 X 1 1/2"</t>
  </si>
  <si>
    <t xml:space="preserve">ESPARRAGO ROSCADO 4 TUERCAS 5/8" X 10" - GALVANIZADO </t>
  </si>
  <si>
    <t xml:space="preserve">PERNO OJO 2 TUERCAS 5/8" X 10" </t>
  </si>
  <si>
    <t>ARANDELA CUADRADA CURVA 2 1/4"X2 1/4"X3/16" H 11/16"</t>
  </si>
  <si>
    <t>ABRAZADERA DOS SALIDAS 140 mm.</t>
  </si>
  <si>
    <t xml:space="preserve">GRAPA DE RETENCION EN ALUMINIO </t>
  </si>
  <si>
    <t>CONECTOR CUÑA A PRESION</t>
  </si>
  <si>
    <t>CABLE ACSR # 1/0</t>
  </si>
  <si>
    <t>AISLADOR DE PORCELANA TIPO TENSOR</t>
  </si>
  <si>
    <t>GRAPA PRENSA EN ACERO FORJADO PERNOS CABLE 1/4" 3/8"</t>
  </si>
  <si>
    <t>GUARDACABO EN ACERO GALV. PARA CABLE DE ½"</t>
  </si>
  <si>
    <t>ALAMBRE GALVANIZADO # 12</t>
  </si>
  <si>
    <t>VARILLA DE ANCLAJE 2,4 Mts. X 5/8"</t>
  </si>
  <si>
    <t>ZAPATA DE CONCRETO 40X40X15 Cms.</t>
  </si>
  <si>
    <t>CABLE DE ACERO GALV. EXTRA RESISTENTE 3/8" - 6985 kg.</t>
  </si>
  <si>
    <t>ELECTRICO</t>
  </si>
  <si>
    <t>MATERIALES REDES DE MEDIA TENSION</t>
  </si>
  <si>
    <t>U</t>
  </si>
  <si>
    <t>Mts.</t>
  </si>
  <si>
    <t>Kg</t>
  </si>
  <si>
    <t>m</t>
  </si>
  <si>
    <t>10,1,1</t>
  </si>
  <si>
    <t>10,1,2</t>
  </si>
  <si>
    <t>10,1,3</t>
  </si>
  <si>
    <t>10,1,4</t>
  </si>
  <si>
    <t>10,1,5</t>
  </si>
  <si>
    <t>10,1,6</t>
  </si>
  <si>
    <t>10,1,7</t>
  </si>
  <si>
    <t>10,1,8</t>
  </si>
  <si>
    <t>10,1,9</t>
  </si>
  <si>
    <t>10,1,10</t>
  </si>
  <si>
    <t>10,1,11</t>
  </si>
  <si>
    <t>10,1,12</t>
  </si>
  <si>
    <t>10,1,13</t>
  </si>
  <si>
    <t>10,1,14</t>
  </si>
  <si>
    <t>10,1,15</t>
  </si>
  <si>
    <t>10,1,16</t>
  </si>
  <si>
    <t>10,1,17</t>
  </si>
  <si>
    <t>10,1,18</t>
  </si>
  <si>
    <t>10,1,19</t>
  </si>
  <si>
    <t>10,1,20</t>
  </si>
  <si>
    <t>10,1,21</t>
  </si>
  <si>
    <t>Cruceta autosoportada 76.2X76.2X7.94X2.400 mm</t>
  </si>
  <si>
    <t>Cortacircuitos  15 KV, 100A. Gancho para  loadbuster</t>
  </si>
  <si>
    <t>Pararrayos 15 KV</t>
  </si>
  <si>
    <t>Cubos galvanizados 3"x3"x3"</t>
  </si>
  <si>
    <t>Collarín Dos Salidas 180 mm.</t>
  </si>
  <si>
    <t>Collarín una Salida 180 mm., Transformador</t>
  </si>
  <si>
    <t>Arandela redonda Plana perno 5/8"</t>
  </si>
  <si>
    <t>Perno carruaje 5/8"x1 1/2"</t>
  </si>
  <si>
    <t>Cable cobre aislado # 4 AWG, THW</t>
  </si>
  <si>
    <t>Arandela presión perno 5/8"</t>
  </si>
  <si>
    <t>Conector cuña bimetálico # 4 - 1/0 AWG</t>
  </si>
  <si>
    <t>Conector cuña con estribo 1/0 - 2/0 AWG</t>
  </si>
  <si>
    <t>Cable ACSR 1/0 AWG</t>
  </si>
  <si>
    <t xml:space="preserve">Conector amovible emergencia </t>
  </si>
  <si>
    <t>Transformador monofasico 5 KVA, 13200/208/120 V.</t>
  </si>
  <si>
    <t>MATERIALES INSTALACION TRANSFORMADOR</t>
  </si>
  <si>
    <t>10,2,1</t>
  </si>
  <si>
    <t>10,2,2</t>
  </si>
  <si>
    <t>10,2,3</t>
  </si>
  <si>
    <t>10,2,4</t>
  </si>
  <si>
    <t>10,2,5</t>
  </si>
  <si>
    <t>10,2,6</t>
  </si>
  <si>
    <t>10,2,7</t>
  </si>
  <si>
    <t>10,2,8</t>
  </si>
  <si>
    <t>10,2,9</t>
  </si>
  <si>
    <t>10,2,10</t>
  </si>
  <si>
    <t>10,2,11</t>
  </si>
  <si>
    <t>10,2,12</t>
  </si>
  <si>
    <t>10,2,13</t>
  </si>
  <si>
    <t>10,2,14</t>
  </si>
  <si>
    <t>10,2,15</t>
  </si>
  <si>
    <t>PTCT22TA - CONJUNTO PUESTA TIERRA CT - VARILLA CON TUBO</t>
  </si>
  <si>
    <t>Cable acero extrarresistente galvanizado 3/8"</t>
  </si>
  <si>
    <t>Hebilla para cinta band it 5/8"</t>
  </si>
  <si>
    <t>Cinta band it 5/8"</t>
  </si>
  <si>
    <t>Varilla de acero cobrizada 5/8" x 2400 mm</t>
  </si>
  <si>
    <t>Conector cable 3/8" - varilla 5/8"</t>
  </si>
  <si>
    <t>Tubo galvanizado 1/2" x 3 mts</t>
  </si>
  <si>
    <t>10,3,1</t>
  </si>
  <si>
    <t>10,3,2</t>
  </si>
  <si>
    <t>10,3,3</t>
  </si>
  <si>
    <t>10,3,4</t>
  </si>
  <si>
    <t>10,3,5</t>
  </si>
  <si>
    <t>10,3,6</t>
  </si>
  <si>
    <t>#</t>
  </si>
  <si>
    <t>mts</t>
  </si>
  <si>
    <t>MATERIALES INSTALACIONES INTERNAS</t>
  </si>
  <si>
    <t>10,4,1</t>
  </si>
  <si>
    <t>10,4,2</t>
  </si>
  <si>
    <t>10,4,3</t>
  </si>
  <si>
    <t>10,4,4</t>
  </si>
  <si>
    <t>10,4,5</t>
  </si>
  <si>
    <t>10,4,6</t>
  </si>
  <si>
    <t>10,4,7</t>
  </si>
  <si>
    <t>10,4,8</t>
  </si>
  <si>
    <t>10,4,9</t>
  </si>
  <si>
    <t>10,4,10</t>
  </si>
  <si>
    <t>10,4,11</t>
  </si>
  <si>
    <t>10,4,12</t>
  </si>
  <si>
    <t>10,4,13</t>
  </si>
  <si>
    <t>10,4,14</t>
  </si>
  <si>
    <t>10,4,15</t>
  </si>
  <si>
    <t>10,4,16</t>
  </si>
  <si>
    <t>10,4,17</t>
  </si>
  <si>
    <t>10,4,18</t>
  </si>
  <si>
    <t>10,4,19</t>
  </si>
  <si>
    <t>10,4,20</t>
  </si>
  <si>
    <t>10,4,21</t>
  </si>
  <si>
    <t>10,4,22</t>
  </si>
  <si>
    <t>10,4,23</t>
  </si>
  <si>
    <t>10,4,24</t>
  </si>
  <si>
    <t>10,4,25</t>
  </si>
  <si>
    <t>10,4,26</t>
  </si>
  <si>
    <t>10,4,27</t>
  </si>
  <si>
    <t>10,4,28</t>
  </si>
  <si>
    <t>CONDUCTOR CU THHN  # 2x8+8 AWG.</t>
  </si>
  <si>
    <t>CONDUCTOR CU THHN  # 12 AWG.</t>
  </si>
  <si>
    <t>CONDUCTOR CU THHN  # 10 AWG.</t>
  </si>
  <si>
    <t>DUCTO MT 1" 3M</t>
  </si>
  <si>
    <t>Un</t>
  </si>
  <si>
    <t>UNION MT 1"</t>
  </si>
  <si>
    <t>DUCTO PVC 1" 3M</t>
  </si>
  <si>
    <t>CURVA PVC 1"</t>
  </si>
  <si>
    <t>DUCTO MT 1/2" 3M</t>
  </si>
  <si>
    <t>DUCTO PVC 1/2" 3M</t>
  </si>
  <si>
    <t>CURVA PVC 1/2"</t>
  </si>
  <si>
    <t>CONECTOR A CAJA  1/2"</t>
  </si>
  <si>
    <t>LUMINARIAS FLUORECENTES 2X32W</t>
  </si>
  <si>
    <t>LUMINARIAS DE SOBREPONER 20W</t>
  </si>
  <si>
    <t>LUMINARIA SODIO 150 W (con accesorios)</t>
  </si>
  <si>
    <t>POSTE CONCRETO 9 m. x 510 kg. Alumbrado publico</t>
  </si>
  <si>
    <t>TOMACORRIENTE DOBLE CON POLO A TIERRA</t>
  </si>
  <si>
    <t>TOMACORRIENTE DOBLE GFCI</t>
  </si>
  <si>
    <t>INERRUPTOR DOBLE</t>
  </si>
  <si>
    <t>INTERUPTOR SENCILLO</t>
  </si>
  <si>
    <t>CAJAS RECTANGULARES</t>
  </si>
  <si>
    <t>CAJAS EXAGONALES METALICAS</t>
  </si>
  <si>
    <t>TABLERO GENERAL 2 FASES 5 CIRCUITOS CON TOTALIZADOR</t>
  </si>
  <si>
    <t>TABLERO 2 FASES 6 CIRCUITOS CON ACCESORIOS</t>
  </si>
  <si>
    <t>TABLERO 2 FASES 4 CIRCUITOS CON ACCESORIOS</t>
  </si>
  <si>
    <t>MEDIDOR MONOFASICO TRIFILAR DIRECTO ELECTRONICO</t>
  </si>
  <si>
    <t>CAJA PARA MEDIDOR EN POSTE</t>
  </si>
  <si>
    <t>VARILLA COOPERWELL DE 1.5 M MALLA A TIERRA</t>
  </si>
  <si>
    <t>ACCESORIOS MALLA A TIERRA</t>
  </si>
  <si>
    <t xml:space="preserve">MACROMEDIDOR </t>
  </si>
  <si>
    <t>SUBTOTAL EST. ELECTRICO</t>
  </si>
  <si>
    <t>MEDIDOR DE FLUJO MAGNETICO DE 8", INCLUYE INSTALACION</t>
  </si>
  <si>
    <t>MEDIDOR DE FLUJO MAGNETICO DE 10" INCLUYE INSTALACION</t>
  </si>
  <si>
    <t>INTERPRETADOR DE REPORTES GRAFICOS Y CONFIGURACION DE ALARMAS</t>
  </si>
  <si>
    <t>ACONDICIONADOR PARA MONTAJE DE TRASMISOR DE FLUJO Y MONTAJE DE MINIRACK PARA CONFIGURADOR DE ALARMAS+</t>
  </si>
  <si>
    <t>CONFIGURACION Y PROGRAMACION DE EQUIPO</t>
  </si>
  <si>
    <t>IMPLEMENTOS Y ACCESORIOS INTEGRACION INTERPRETADOR DE REPORTES GRAFICOS Y CONFIGURACION DE ALARMAS</t>
  </si>
  <si>
    <t>OBRAS COMPLEMENTARIAS</t>
  </si>
  <si>
    <t xml:space="preserve">CAJAS EN CONCRETO DE 0,6*0,6M </t>
  </si>
  <si>
    <t xml:space="preserve">CAJAS EN CONCRETO DE 1*1M </t>
  </si>
  <si>
    <t xml:space="preserve">CAJAS EN CONCRETO DE 0,5*0,5M </t>
  </si>
  <si>
    <t xml:space="preserve">CAJAS EN CONCRETO DE 1,2*1,2M </t>
  </si>
  <si>
    <t xml:space="preserve">CAJAS EN CONCRETO DE 0,8*0,8M </t>
  </si>
  <si>
    <t>SUMIDEROS SENCILLOS</t>
  </si>
  <si>
    <t>INSTALACION DE PLACAS PLANAS DE ASBESTO CEMENTO  A-C 2,40X1,20X0.006</t>
  </si>
  <si>
    <t>INSTALACION  VALVULA DE COMPUERTA DESLIZANTE CRM :</t>
  </si>
  <si>
    <t>INSTALACION  VALVULA DE COMPUERTA DESLIZANTE TIPO GUILLOTINA CON OBTURADOR EN HIERRO DUCTIL  Y GUIAS EN ACERO INOXIDABLE DN 32"X24" , SOPORTE GUIA VASTAGO EN ACERO INOXIDABLE   PEDESTAL DE MANIOBRA COLUMNA RUEDA DE MANEJO DE  :</t>
  </si>
  <si>
    <t>INSTALACON DE NIPLE PASAMURO HF 12" ESPESOR MURO O, 20 M L=0,50</t>
  </si>
  <si>
    <t>INSTALACION DE NIPLE PASAMURO HF 3" ESPESOR MURO O, 20 M L=0,50</t>
  </si>
  <si>
    <t xml:space="preserve">INSTALACION  VALVULA DE COMPUERTA DESLIZANTE TIPO GUILLOTINA CON OBTURADOR EN HIERRODUCTIL Y GUIAS EN ACERO INOXIDABLE COLUMNA DE MANIOBRA CON RUEDA CON DE MANEJO INCLUYE SOPORTE GUIA Y VASTAGO ASTAGO EN ACERO INOXIDABLE , SOPORTE  GUIA RUEDA O VOLANTE DE MANEJO, TORNILLOS TUERCAS, ARANDELAS SELLOS Y EMPAQUES (UN) DE : </t>
  </si>
  <si>
    <t>INSTALACION DE VALVULA DE DRENAJE 3" HF EL</t>
  </si>
  <si>
    <t>INSTALACION DEPASAMURO HF 8" ESPESOR MURO O, 20 M L=050</t>
  </si>
  <si>
    <t>INSTALACION DE PASAMURO HF 14" ESPESOR MURO O, 20 M  L=050</t>
  </si>
  <si>
    <t>INSTALACION DE PASAMURO HF 6" ESPESOR MURO O, 20 M  L=050</t>
  </si>
  <si>
    <t>INSTALACION DE PASAMURO DE D=3" HF EL  L=050</t>
  </si>
  <si>
    <t xml:space="preserve">INSTALACION DE VALVULA DE COMPUERTA EXTREMO LISO D=8" </t>
  </si>
  <si>
    <t>INSTALACION DE PASAMURO DE HF EL D=8" (ESPESOR MURO=20 CM),L=0,50</t>
  </si>
  <si>
    <t>INSTALACION DE PASAMURO HF EL D=10"   l=0,50(E= 30 CM)</t>
  </si>
  <si>
    <t>INSTALACION DE PASAMURO HF EL D=8"  E=30 CM)</t>
  </si>
  <si>
    <t>INSTALACION VALVULA DE COMPUERTA  10"  HF EL PVC</t>
  </si>
  <si>
    <t xml:space="preserve">INSTALACION VALVULA DE COMPUERTA 8" EL </t>
  </si>
  <si>
    <t xml:space="preserve">INSTALACION VALVULA DE COMPUERTA 6" EL </t>
  </si>
  <si>
    <t>ACONDICIONADOR PARA MONTAJE DE TRASMISOR DE FLUJO Y MONTAJE DE MINIRACK PARA CONFIGURADOR DE ALARMAS</t>
  </si>
  <si>
    <t>DE SUMINISTRO</t>
  </si>
  <si>
    <t>SUMINISTRO E INSTALACION DE TUBERIA PVC DE SANITARIA DE D:4"</t>
  </si>
  <si>
    <t>SUMINISTRO E INSTALACION DE TUBERIA PVC DE ALCANTARILLADO D:6"</t>
  </si>
  <si>
    <t>SUMINISTRO E INSTALACION DE TUBERIA PVC DE ALCANTARILLADO D:8"</t>
  </si>
  <si>
    <t>SUMINISTRO E INSTALACION DE TUBERIA PVC SANITARIA DE D:3"</t>
  </si>
  <si>
    <t>SUMINISTRO E INSTALACION DE TUBERIA PRESION PVC 1" RDE 21</t>
  </si>
  <si>
    <t>SUMINISTRO E INSTALACION DE TUBERIA PVC DE ALCANTARILLADO D:16"</t>
  </si>
  <si>
    <t>9,11,2</t>
  </si>
  <si>
    <t>9,11,3</t>
  </si>
  <si>
    <t>9,11,4</t>
  </si>
  <si>
    <t>9,11,5</t>
  </si>
  <si>
    <t>CAJA CONCRETO DE 0,4*0,4M</t>
  </si>
  <si>
    <t>TUBERIA PVC 4" SANITARIA PERFORADA</t>
  </si>
  <si>
    <t>TUBERIA PVC 4" SANITARIA</t>
  </si>
  <si>
    <t>COLCHON DE ARENA</t>
  </si>
  <si>
    <t>RELLENO CON MATERIAL DEL SITIO</t>
  </si>
  <si>
    <t>9,11,6</t>
  </si>
  <si>
    <t>9,11,7</t>
  </si>
  <si>
    <t>9,11,8</t>
  </si>
  <si>
    <t xml:space="preserve">INSTALACION DE DOSIFICADOR VOLUMETRICO DE SOLIDOS SULFATO DE ALUMBRE Y CAL </t>
  </si>
  <si>
    <t>INSTALACION DE DOSIFICADOR DE CLORO</t>
  </si>
  <si>
    <t>INTERVENTORIA</t>
  </si>
  <si>
    <t>SUBTOTAL OBRAS COMPLEMENTARIAS</t>
  </si>
  <si>
    <t>REDES HIDRAULICAS</t>
  </si>
  <si>
    <t>PUNTOS HIDRAULICOS DE 1/2"</t>
  </si>
  <si>
    <t>CODO DE 90*1 PVC-PRESION</t>
  </si>
  <si>
    <t>TEE DE 1*1 PVC-PRESION</t>
  </si>
  <si>
    <t>CODO DE 45*1 PVC-PRESION</t>
  </si>
  <si>
    <t>TEE DE 1*3/4"</t>
  </si>
  <si>
    <t>TUBERIA PVC-PRESION DE 3/4"</t>
  </si>
  <si>
    <t>TUBERIA PVC-PRESION DE 1/2"</t>
  </si>
  <si>
    <t>LLAVE DE PASO DE 1 1/2"</t>
  </si>
  <si>
    <t>GRIFO  DE  1/2"</t>
  </si>
  <si>
    <t>TEE 1 * 1/2"</t>
  </si>
  <si>
    <t>MONTAJE DE APARATOS</t>
  </si>
  <si>
    <t>DUCHA CAMPANA</t>
  </si>
  <si>
    <t>UN</t>
  </si>
  <si>
    <t>SANITARIO TANQUE</t>
  </si>
  <si>
    <t>LAVAMANOS</t>
  </si>
  <si>
    <t>GRIFOS</t>
  </si>
  <si>
    <t>LAVAPLATOS</t>
  </si>
  <si>
    <t>PUNTOS SANITARIOS</t>
  </si>
  <si>
    <t xml:space="preserve">PUNTOS HIDRAULICOS </t>
  </si>
  <si>
    <t>13,1,1</t>
  </si>
  <si>
    <t>13,1,2</t>
  </si>
  <si>
    <t>13,1,3</t>
  </si>
  <si>
    <t>13,1,4</t>
  </si>
  <si>
    <t>13,1,5</t>
  </si>
  <si>
    <t>13,1,6</t>
  </si>
  <si>
    <t>13,1,7</t>
  </si>
  <si>
    <t>13,1,8</t>
  </si>
  <si>
    <t>13,1,9</t>
  </si>
  <si>
    <t>13,1,10</t>
  </si>
  <si>
    <t>13,2,1</t>
  </si>
  <si>
    <t>13,2,2</t>
  </si>
  <si>
    <t>13,2,3</t>
  </si>
  <si>
    <t>13,2,4</t>
  </si>
  <si>
    <t>13,2,5</t>
  </si>
  <si>
    <t>PUNTOS SANITARIOS DE 2"</t>
  </si>
  <si>
    <t>PUNTOS SANITARIOS DE 3"</t>
  </si>
  <si>
    <t>13,3,1</t>
  </si>
  <si>
    <t>PUNTOS SANITARIOS DE 4"</t>
  </si>
  <si>
    <t xml:space="preserve">TUBERIA PVC SANITARIA </t>
  </si>
  <si>
    <t>4´´</t>
  </si>
  <si>
    <t>3´´</t>
  </si>
  <si>
    <t>2´´</t>
  </si>
  <si>
    <t>CODO SANITARIO 90 C X C</t>
  </si>
  <si>
    <t>SIFON SANITARIO</t>
  </si>
  <si>
    <t>YEE SANITARIA</t>
  </si>
  <si>
    <t>4*2</t>
  </si>
  <si>
    <t>4*3</t>
  </si>
  <si>
    <t>TUBERIA VENTILACION</t>
  </si>
  <si>
    <t>13,3,2</t>
  </si>
  <si>
    <t>13,3,3</t>
  </si>
  <si>
    <t>13,4,1</t>
  </si>
  <si>
    <t>13,4,2</t>
  </si>
  <si>
    <t>13,4,3</t>
  </si>
  <si>
    <t>13,5,1</t>
  </si>
  <si>
    <t>13,5,2</t>
  </si>
  <si>
    <t>13,5,3</t>
  </si>
  <si>
    <t>13,6,1</t>
  </si>
  <si>
    <t>13,6,2</t>
  </si>
  <si>
    <t>13,7,1</t>
  </si>
  <si>
    <t>13,7,2</t>
  </si>
  <si>
    <t>13,8,1</t>
  </si>
  <si>
    <t>SUBTOTAL ELECTRICO</t>
  </si>
  <si>
    <t>SISTEMA DE SUMINISTRO INTERNO</t>
  </si>
  <si>
    <t>EQUIPO DE BOMBEO Q = 18 GPM, H = 25 PSI, BOMBAS = 1 UN</t>
  </si>
  <si>
    <t>SISTEMA DE SEGURIDAD EQUIPO</t>
  </si>
  <si>
    <t>EXTINTOR ABC 10 LBS</t>
  </si>
  <si>
    <t>EXTINTOR CO2 5 LBS</t>
  </si>
  <si>
    <t>GABINETES PARA EXTINTOR 70 X 40 X 22</t>
  </si>
  <si>
    <t>SISTEMA DE SUMINISTRO AGUA  INTERNO</t>
  </si>
  <si>
    <t>SUBTOTAL SUMINISTRO INTERNO</t>
  </si>
  <si>
    <t>SUMINISTRO TUBERIA PVC-P RDE 26</t>
  </si>
  <si>
    <t>10"</t>
  </si>
  <si>
    <t>8"</t>
  </si>
  <si>
    <t>SUBTOTAL SUMINISTRO TUBERIA</t>
  </si>
  <si>
    <t>TUBERIA PVC-P RDE 26</t>
  </si>
  <si>
    <t>EXCAVACION A MAQUINA</t>
  </si>
  <si>
    <t>SEGUIMIENTO</t>
  </si>
  <si>
    <t>6"</t>
  </si>
  <si>
    <t>SUBTOTAL SUMINISTRO AGUA</t>
  </si>
  <si>
    <t>SUBTOTAL INS SANITARIAS</t>
  </si>
  <si>
    <t>SUBTOTAL MACROMEDIDOR</t>
  </si>
  <si>
    <t>3"</t>
  </si>
  <si>
    <t>SUMINISTRO TUBERIA PVC-P RDE 32,6</t>
  </si>
  <si>
    <t>SUMINISTRO TUBERIA PVC-P RDE 32,5</t>
  </si>
  <si>
    <t>TUBERIA PVC  D=8" SANITARIA</t>
  </si>
  <si>
    <t>TUB.PVC UM 8 RDE 32,5</t>
  </si>
  <si>
    <t xml:space="preserve">CINTA PVC   V-15 (SIKA) </t>
  </si>
  <si>
    <t>REDES HIDRAULICAS Y SANITARIA</t>
  </si>
  <si>
    <t>CORREAS METALICAS DE FORMA TRIANGULAR DE 0.14 M ARRIBA, FORMADA POR 3 No.4, ESTRIBOS EN 3/8" Y CELOSIAS EN 3/8"</t>
  </si>
  <si>
    <t>VIGA DE CIMENTACION EN CONCRERO 3000 PSI, (VIGA EN T DE O,6M *0,20M EN LA BASE Y 0,25M*0,20M EN LA PARTE SUPERIOR</t>
  </si>
  <si>
    <t>SOLADO DE LIMPIEZA E:0,05M, 3000 PSI</t>
  </si>
  <si>
    <t xml:space="preserve">COLUMNAS EN CONCRETO 3000 PSI, </t>
  </si>
  <si>
    <t>VIGA DE AMARRE EN CONCRETO DE 3000 PSI</t>
  </si>
  <si>
    <t>VIGAS DE CULATA CONCRETO 3000 PSI</t>
  </si>
  <si>
    <t>CANALETA EN PVC . PARA RECOLECCION DE AGUAS LLUVIAS</t>
  </si>
  <si>
    <t>MARIELA BETANCOURTH</t>
  </si>
  <si>
    <t>RESUMEN</t>
  </si>
  <si>
    <t xml:space="preserve">PASAMURO HF EL D=6"  </t>
  </si>
  <si>
    <t>TEE PVC SANITARIA 8"X4"</t>
  </si>
  <si>
    <t>MALLA DE PROTECCION 5 MM</t>
  </si>
  <si>
    <t>CODO SANITARIO PVC 4"X 90º CE-</t>
  </si>
  <si>
    <t>TEE PVC SANITARIA 8"X8"</t>
  </si>
  <si>
    <t>VALVULA FLOTADORA CONTROL PILOTO 6"</t>
  </si>
  <si>
    <t>TEE PVC SANITARIA 4</t>
  </si>
  <si>
    <t>CODO PVC ALC  8"X90º  CE-</t>
  </si>
  <si>
    <t>CODO PVC ALC  8"X45º  CE-</t>
  </si>
  <si>
    <t>TUB.PVC 8".NOVAFO</t>
  </si>
  <si>
    <t xml:space="preserve">COLUMNA DE MANIOBRA </t>
  </si>
  <si>
    <t>VASTAGO DE EXTENSION L=3,9m Y SOPORTE GUIA  CADA 1,5 M</t>
  </si>
  <si>
    <t>4"</t>
  </si>
  <si>
    <t>INTERVENTORIA 6%</t>
  </si>
  <si>
    <t>CABEZAL - CAJAS ALCANTARILLADO 2500 PSI</t>
  </si>
  <si>
    <t>INGENIERA CONSULTORA</t>
  </si>
  <si>
    <t>VALVULA D=3" HF E.L PVC SELLO EL."</t>
  </si>
  <si>
    <t>VALVULA D=12" HF E.L PVC SELLO EL."</t>
  </si>
  <si>
    <t>CUBIERTAS EN TEJA DE ASBESTO CEMENTO</t>
  </si>
  <si>
    <t>CABALLETE TEJA ASBESTO CEMENTO FIJO</t>
  </si>
  <si>
    <t>ENTRAMADO TEJA ASBESTO</t>
  </si>
  <si>
    <t>TEJA ASBESTO CEMENTO # 3</t>
  </si>
  <si>
    <t>TEJA ASBESTO CEMENTO # 5</t>
  </si>
  <si>
    <t>TEJA ASBESTO CEMENTO # 6</t>
  </si>
  <si>
    <t>PERGOLA CONCRETO 20CM X 20CM</t>
  </si>
  <si>
    <t>9,5,1</t>
  </si>
  <si>
    <t>9,5,2</t>
  </si>
  <si>
    <t>9,5,3</t>
  </si>
  <si>
    <t>9,5,4</t>
  </si>
  <si>
    <t>9,5,5</t>
  </si>
  <si>
    <t>9,5,6</t>
  </si>
  <si>
    <t>9,5,7</t>
  </si>
  <si>
    <t>9,13,1</t>
  </si>
  <si>
    <t>9,13,2</t>
  </si>
  <si>
    <t>9,13,3</t>
  </si>
  <si>
    <t>9,13,4</t>
  </si>
  <si>
    <t>9,13,5</t>
  </si>
  <si>
    <t>9,14,1</t>
  </si>
  <si>
    <t>9,15,1</t>
  </si>
  <si>
    <t>9,15,2</t>
  </si>
  <si>
    <t>9,15,3</t>
  </si>
  <si>
    <t>9,15,6</t>
  </si>
  <si>
    <t>9,15,7</t>
  </si>
  <si>
    <t>9,15,8</t>
  </si>
  <si>
    <t>9,15,9</t>
  </si>
  <si>
    <t>9,15,10</t>
  </si>
  <si>
    <t>9,16,1</t>
  </si>
  <si>
    <t>ESCALERA PASAMANOS TUBO GALV.2" BARR.1"</t>
  </si>
  <si>
    <t>ESCALERA CONCRETO 3000 PSI</t>
  </si>
  <si>
    <t xml:space="preserve"> 0,60X0,60  H=  3,48 M</t>
  </si>
  <si>
    <t>TUBERIA  PVC 12" ALC</t>
  </si>
  <si>
    <t>TUBERIA PVC 10" ALC</t>
  </si>
  <si>
    <t>SUMINISTRO TRANSPORTE E INSTALACION  VALVULA DE COMPUERTA DESLIZANTE TIPO GUILLOTINA CON OBTURADOR EN HIERRO DUCTIL Y GUIAS EN ACERO INOXIDABLE SOPORTE GUIA VASTAGO EN ACERO INOXIDABLE PEDESTAL DE MANIOBRA  CRM :</t>
  </si>
  <si>
    <t>0,50X050 VASTAGO H:1,84</t>
  </si>
  <si>
    <t>0,50X050 VASTAGO H:2,82</t>
  </si>
  <si>
    <t>SUMINISTRO TRANSPORTE E INSTALACION  VALVULA DE COMPUERTA DESLIZANTE TIPO GUILLOTINA CON OBTURADOR EN HIERRO DUCTIL  Y GUIAS EN ACERO INOXIDABLE , SOPORTE GUIA VASTAGO EN ACERO INOXIDABLE   PEDESTAL DE MANIOBRA COLUMNA RUEDA DE MANEJO DE  :</t>
  </si>
  <si>
    <t xml:space="preserve"> 0,60X0,60  H=  3,38 M</t>
  </si>
  <si>
    <t xml:space="preserve">VALVULA D=3" HF EL PVC SELLO </t>
  </si>
  <si>
    <t xml:space="preserve">VALVULA D=12" HF EL PVC SELLO </t>
  </si>
  <si>
    <r>
      <t>VIGUETAS EN "V" INVERTIDA,  PREFABRICADAS EN CONCRETO DE f'c=280 kg/ cm</t>
    </r>
    <r>
      <rPr>
        <sz val="8"/>
        <color indexed="8"/>
        <rFont val="Calibri"/>
        <family val="2"/>
      </rPr>
      <t xml:space="preserve">2 </t>
    </r>
    <r>
      <rPr>
        <sz val="11"/>
        <color theme="1"/>
        <rFont val="Calibri"/>
        <family val="2"/>
        <scheme val="minor"/>
      </rPr>
      <t>(ANCHO=0,38 M, ALTURA=0,25 M, L=3,42 M) CON 17 ORIFICIOS POR CADA CARADE D=1/2" POR LADO DE VIGUETA ESPACIADOS CADA 13 CM, INCLUYE REFUERZO</t>
    </r>
  </si>
  <si>
    <t>TUBERIA PVC  D=8" ALC</t>
  </si>
  <si>
    <t>MURO LAD.TIZON LIMPIO [2C]</t>
  </si>
  <si>
    <t>CUBIERTAS EN TEJAS  DE ASBESTO CEMENTO</t>
  </si>
  <si>
    <t>ENTRAMADO TEJA ASBESTO CEMENTO</t>
  </si>
  <si>
    <t>TEJA DE ASBESTO CEMENTO No 3</t>
  </si>
  <si>
    <t>TEJA DE ASBESTO CEMENTO No 5</t>
  </si>
  <si>
    <t>TEJA DE ASBESTO CEMENTO No 6</t>
  </si>
  <si>
    <t>PERGOLA CONCRETO 20 CM X20CM</t>
  </si>
  <si>
    <t>ESCALERA PASAMANOS TUBO GALV 2" BARR 1"</t>
  </si>
  <si>
    <t>ESCALERA EN CONCRETO 3000 PSI</t>
  </si>
  <si>
    <t>9,3,6</t>
  </si>
  <si>
    <t>9,5,2,1</t>
  </si>
  <si>
    <t>9,5,2,2</t>
  </si>
  <si>
    <t>9,5,2,3</t>
  </si>
  <si>
    <t>9,5,2,4</t>
  </si>
  <si>
    <t>9,5,2,5</t>
  </si>
  <si>
    <t>9.13</t>
  </si>
  <si>
    <t>9,17,1</t>
  </si>
  <si>
    <t>9,17,2</t>
  </si>
  <si>
    <t>9,18,1</t>
  </si>
  <si>
    <t>9,18,2</t>
  </si>
  <si>
    <t>9,18,3</t>
  </si>
  <si>
    <t>9,18,4</t>
  </si>
  <si>
    <t>9,18,5</t>
  </si>
  <si>
    <t xml:space="preserve">0,30X0,30   H= 4,02 M   </t>
  </si>
  <si>
    <t xml:space="preserve">0,90X0,90  H= 5,77 M     </t>
  </si>
  <si>
    <t xml:space="preserve"> 0,45X0,45  H=  7,73 M   </t>
  </si>
  <si>
    <t xml:space="preserve"> 0,55X0,55  H=  7,63 M     </t>
  </si>
  <si>
    <t xml:space="preserve"> 0,30X0,30  H= 5,34 M    </t>
  </si>
  <si>
    <t>PASAMURO HF D= 6" L=050</t>
  </si>
  <si>
    <t>PASAMURO HF D=8" L=050</t>
  </si>
  <si>
    <t>PASAMURO HF D=14"  L=050</t>
  </si>
  <si>
    <t>PASAMURO HF D=3"   L=050</t>
  </si>
  <si>
    <t>LOSA MACIZA  H=15 CM</t>
  </si>
  <si>
    <t>LOSA MACIZA H=10 CM</t>
  </si>
  <si>
    <t>TAPA ALFAJOR 0,85X0,85</t>
  </si>
  <si>
    <t xml:space="preserve">TAPA ALFAJOR 0,9X0,90  </t>
  </si>
  <si>
    <t>TOTAL TANQUE DE CLORACION</t>
  </si>
  <si>
    <t>Viga concreto ciclopeo 0,30*0,25m</t>
  </si>
  <si>
    <t xml:space="preserve">Columna en concreto 3000 psi, </t>
  </si>
  <si>
    <t>Zapatas en concreto 3000 psi</t>
  </si>
  <si>
    <t>Muro de ladrillo tizon sucio revitado 2C</t>
  </si>
  <si>
    <t>0,60X0,60  H=  3,48 M</t>
  </si>
  <si>
    <t>Columna de maniobra $452.000X1,16x1,10=$576.752 </t>
  </si>
  <si>
    <t>Soporte guia cada 1,5 m $235.000X1,16X1,10=$299.890</t>
  </si>
  <si>
    <t>Vastago de extension Vr/m $250.000X1,16X1,20=$320.000</t>
  </si>
  <si>
    <t>precio</t>
  </si>
  <si>
    <t>+</t>
  </si>
  <si>
    <t>Correa métalica triangular (14*25) de 0,14m arriba, formada por 3 No. 4 celosia No. 3</t>
  </si>
  <si>
    <t>Correa métalica triangular L:4.10-5.0M</t>
  </si>
  <si>
    <t>Correa métalica triangular L:5.10-6.0M</t>
  </si>
  <si>
    <t>Correa métalica triangular L:6.10-7.0M</t>
  </si>
  <si>
    <t>Correa métalica triangular L:7.10-7.50M</t>
  </si>
  <si>
    <t>Tensor estr. Varilla diametro 3/8"</t>
  </si>
  <si>
    <t>Caballete teja asbesto cemento fijo</t>
  </si>
  <si>
    <t>Entremado teja asbesto cemento</t>
  </si>
  <si>
    <t>Teja de asbesto cemento No. 3</t>
  </si>
  <si>
    <t>Teja de asbesto cemento No. 5</t>
  </si>
  <si>
    <t>Teja de asbesto cemento No. 6</t>
  </si>
  <si>
    <t>Und.</t>
  </si>
  <si>
    <t>9,5,1,1</t>
  </si>
  <si>
    <t>9,5,1,2</t>
  </si>
  <si>
    <t>9,5,1,3</t>
  </si>
  <si>
    <t>9,5,1,4</t>
  </si>
  <si>
    <t>9,5,1,5</t>
  </si>
  <si>
    <t>SUBTOTAL SEGURIDAD EQUIPO</t>
  </si>
  <si>
    <t>DEMOLICION PAVIMENTO FLEXIBLE + RETIRO 10 KM</t>
  </si>
  <si>
    <t>RETIRO DE ESCOMBROS</t>
  </si>
  <si>
    <t>TUBERIA PVC-PRESION RDE 32,5</t>
  </si>
  <si>
    <t>INTERVENTORIA 4%</t>
  </si>
  <si>
    <t>TERRAPLEN</t>
  </si>
  <si>
    <t>0,30X0,30 VASTAGO H:1,80</t>
  </si>
  <si>
    <t>0,30X0,30 VASTAGO H:2,50</t>
  </si>
  <si>
    <t>TAPA DE LAMINA ALFAJOR 0,45X0,46</t>
  </si>
  <si>
    <t>TAPA DE LAMINA ALFAJOR 0,45X0,47</t>
  </si>
  <si>
    <t>0,40X0,40 VASTAGO H:1,50</t>
  </si>
  <si>
    <t>ANCLAJE EN CONCRETO VALVULAS</t>
  </si>
  <si>
    <t>CODOS HF 90°X12"</t>
  </si>
  <si>
    <t>NIPLE PASAMUROS HF 12"  L: 0,80m, EL</t>
  </si>
  <si>
    <t>0,30X0,30  H=  3,10 M</t>
  </si>
  <si>
    <t>0,30X0,30 M  H=3,80 M</t>
  </si>
  <si>
    <t>NIPLE PASAMUROS HF 16"  L: 0,50m, EL</t>
  </si>
  <si>
    <t xml:space="preserve">0,30X0,30   H= 3,5 M   </t>
  </si>
  <si>
    <t xml:space="preserve">0,30X0,30  H= 4,8 M     </t>
  </si>
  <si>
    <t xml:space="preserve"> 0,40X0,40  H=  6,7 M   </t>
  </si>
  <si>
    <t xml:space="preserve"> 0,3X0,3  H=  6,50 M     </t>
  </si>
  <si>
    <t xml:space="preserve"> 0,30X0,30  H= 3,6 M    </t>
  </si>
  <si>
    <t>PASAMURO HF D=14"  L=0,50</t>
  </si>
  <si>
    <t>PASAMURO HF D= 6" L=0,50</t>
  </si>
  <si>
    <t>PASAMURO HF D=8" L=0,50</t>
  </si>
  <si>
    <t>PASAMURO HF D=3"   L=0,50</t>
  </si>
  <si>
    <t>PASAMURO HF D=12"  L=0,50</t>
  </si>
  <si>
    <t>Nave</t>
  </si>
  <si>
    <t>SUMINISTRO Y COLOCACIÓN DE MATERIAL SELECCIONADO PARA BASE, DEBIDAMENTE COMPACTADO PARA MEJORAR CIMENTACIÓN DE TUBERÍA.</t>
  </si>
  <si>
    <t>SUMINISTRO Y COLOCACIÓN DE MATERIAL SELECCIONADO PARA SUB-BASE, DEBIDAMENTE COMPACTADO PARA MEJORAR CIMENTACIÓN DE TUBERÍA.</t>
  </si>
  <si>
    <t>IMPRIMACION MC-70</t>
  </si>
  <si>
    <t>COLCHON ARENA GRUESA E=5-7CM</t>
  </si>
  <si>
    <t>CARPETA ASFALTICA [CT]</t>
  </si>
  <si>
    <t>EQUIPO DOSIFICADOR</t>
  </si>
  <si>
    <t>SUBTOTAL SUMINISTRO DOSIFICADOR</t>
  </si>
  <si>
    <t>EXCAVACION EN CONGLOMERADO A MANO</t>
  </si>
  <si>
    <t>BASE PARA PISO EN ROCAMUERTA E:0,20M</t>
  </si>
  <si>
    <t>MURO LAD.SOGA LIMPIO REVITADO [2C]</t>
  </si>
  <si>
    <t>ZAPATAS EN CONCRETO 3000 PSI, (72 DE 0,60M*0,60M*0,50)</t>
  </si>
  <si>
    <t>VIGA DE CIMENTACION EN CONCRERO 3000 PSI, CON 4 No.4 Y E  No. 3 C/20CM</t>
  </si>
  <si>
    <t>COLUMNAS EN CONCRETO 3000 PSI, (72 DE 0,20*0,20M)</t>
  </si>
  <si>
    <t>VIGAS DE CULATA CONCRETO 3000 PSI, CON 4 No.3 Y E  No. 2 C/20CM</t>
  </si>
  <si>
    <t>9,1,2</t>
  </si>
  <si>
    <t>9,1,1</t>
  </si>
  <si>
    <t>9,3,7</t>
  </si>
  <si>
    <t>CONCRETO CICLOPEO PARA CIMENTACION 60% CONCRETO SIMPLE</t>
  </si>
  <si>
    <t>CUBIERTAS EN TEJAS  TERMOACUSTICA</t>
  </si>
  <si>
    <t>TEJA TERMOACUSTICAS</t>
  </si>
  <si>
    <t>CIELORASOLAMINA BOARD 1214*605 *6MM  P. ALUMINIO</t>
  </si>
  <si>
    <t>BAJANTE AGUAS LLUVIAS PVC CUADRADO CANAL</t>
  </si>
  <si>
    <t>PISO EN CONCRETO 3000 PSI, E:0,10M BODEGA DE ALMACENAMIENTO Y CLORACION</t>
  </si>
  <si>
    <t xml:space="preserve">LOSA FONDO CONCRETO  3000 PSI </t>
  </si>
  <si>
    <t xml:space="preserve">LOSA  TAPA CONCRETO  3000 PSI </t>
  </si>
  <si>
    <t>LOSA  MACIZA FONDO CONCRETO 3000  PSI  IMPERMEABILIZADO</t>
  </si>
  <si>
    <t>LOSA SUPERIOR CONCRETO AEREA 3000 PSI</t>
  </si>
  <si>
    <t>VIGAS EN CONCRETO 3000 PSI</t>
  </si>
  <si>
    <t>COLUMNAS EN CONCRETO 3000 PSI</t>
  </si>
  <si>
    <t>ANDEN INTERNO</t>
  </si>
  <si>
    <t>ZONAS BLANDAS</t>
  </si>
  <si>
    <t>PISO CIRCULACION (TABLO CUCUTA)</t>
  </si>
  <si>
    <t>VIA INTERNA (BASE COMP.MAT. TRITURAD GRANUL AC-10K NO)</t>
  </si>
  <si>
    <t>TEJA AJOVER 27MM</t>
  </si>
  <si>
    <t>ESTRUCTURA PERLINES</t>
  </si>
  <si>
    <t>COLUMNAS EN CONCETO (0.20 X 0.20 X 2.85 MT)</t>
  </si>
  <si>
    <t>PISO (BASE EN CONCRETO)</t>
  </si>
  <si>
    <t>PUERTA METALICA BATIENTE</t>
  </si>
  <si>
    <t>CUBIERTA (LOZA MACIZA EN CONCRETO) E=8CM</t>
  </si>
  <si>
    <t>ALFAJIA EN CONCRETO</t>
  </si>
  <si>
    <t>VEGETACION</t>
  </si>
  <si>
    <t>ZONA BLANDA MATERA</t>
  </si>
  <si>
    <t>MATERAS</t>
  </si>
  <si>
    <t>PALMA ARECA(ORNAMENTAL GRANDE 0.50-0.80 MT DE H)</t>
  </si>
  <si>
    <t>ARBUSTOS (ACCESO)</t>
  </si>
  <si>
    <t>OTROS</t>
  </si>
  <si>
    <t>POZUELO</t>
  </si>
  <si>
    <t>MURETE AVISO CON NOMBRE (MURO LADRILLO SUCIO CON ACABADO 1M DE PINTURA)</t>
  </si>
  <si>
    <t xml:space="preserve">MUROS </t>
  </si>
  <si>
    <t>MUROS MAMPOSTERIA</t>
  </si>
  <si>
    <t>QUIEBRA SOLES</t>
  </si>
  <si>
    <t>PISO</t>
  </si>
  <si>
    <t>PISO EN CONCRETO (ESPESOR=10CM)</t>
  </si>
  <si>
    <t>VENTANA METALICA</t>
  </si>
  <si>
    <t>PUERTA BATIENTE EN MADERA UN CUERPO</t>
  </si>
  <si>
    <t>CUBIERTA TEJA TERMO ACUSTICA A DOS AGUAS</t>
  </si>
  <si>
    <t>CABALLETE CUBIERTA</t>
  </si>
  <si>
    <t>MURO DE CALADOS</t>
  </si>
  <si>
    <t>MUROS CON RELLENO, ESTUCO Y PINTURA (2M)</t>
  </si>
  <si>
    <t>PISO TABLON CUCUTA</t>
  </si>
  <si>
    <t>BASE TOLVA</t>
  </si>
  <si>
    <t>ENCHAPE SALPICADERO</t>
  </si>
  <si>
    <t>VENTANA EN ALUMINIO DOS CUERPOS</t>
  </si>
  <si>
    <t>GABINETES DOBLE PUERTAS MADERA</t>
  </si>
  <si>
    <t>LAVAMANOS METALICO</t>
  </si>
  <si>
    <t>CANALETA Y BAJANTES AGUA LLUVIA</t>
  </si>
  <si>
    <t>CIELO FALSO EN PANEL YESO</t>
  </si>
  <si>
    <t>LOSA EN CONCRETO</t>
  </si>
  <si>
    <t>PISO CERAMICA (0.225 X 0.225 MTS)</t>
  </si>
  <si>
    <t>VENTANA EN ALUMINIO UN CUERPO</t>
  </si>
  <si>
    <t>VENTANA EN ALUMINIO DOS CUERPOS CORREDIZA</t>
  </si>
  <si>
    <t>MOBILIARIO FIJO BANO</t>
  </si>
  <si>
    <t>COMBO SANITARIO ECONOMICO + INST.</t>
  </si>
  <si>
    <t>INCRUST.CERAM. JUEGO 4 PIEZAS ACUARIO + INST.</t>
  </si>
  <si>
    <t>ESPEJO BISELADO 2MM (0.50 X 0.80) + INSTALACION</t>
  </si>
  <si>
    <t>LAVAPLATOS A.INOX. 50X 60CM PESTA.GRIFO + INST.</t>
  </si>
  <si>
    <t>MESON DE COCINA EN CERAMICA</t>
  </si>
  <si>
    <t>REPISA MUEBLE FIJO EN MADERA (SALA DE JUNTAS)</t>
  </si>
  <si>
    <t>PERGOLAS EN CONCRETO</t>
  </si>
  <si>
    <t>PISO Y MUROS DUCHA</t>
  </si>
  <si>
    <t>MUEBLE MADERA FIJO</t>
  </si>
  <si>
    <t>BANCO FIJO EN MADERA</t>
  </si>
  <si>
    <t>DUCHA MEZCLADORA L.PISCIS (E)</t>
  </si>
  <si>
    <t>PRESUPUESTO AGUAS RESIDUALES</t>
  </si>
  <si>
    <t>0,30X0,30 VASTAGO H:1,69</t>
  </si>
  <si>
    <t>VALVULA DE 12" H=6,0 M</t>
  </si>
  <si>
    <t xml:space="preserve">0,30X0,30  H= 4,85 M     </t>
  </si>
  <si>
    <t xml:space="preserve"> 0,3X0,3  H=  6,60 M     </t>
  </si>
  <si>
    <t xml:space="preserve"> 0,30X0,30  H= 3,8 M    </t>
  </si>
  <si>
    <t>Acero de refuerzo</t>
  </si>
  <si>
    <t>ACERO DE REFUERZO FLEJADO 60000 PSI 420 Mpa.</t>
  </si>
  <si>
    <t>EXCAVACION A MANO SIN RETIRO</t>
  </si>
  <si>
    <t>ESTRUCTURA EN CONCRETO</t>
  </si>
  <si>
    <t>ZAPATAS EN CONCRETO 3000 PSI(38 DE 0,6*0,6*0,5)</t>
  </si>
  <si>
    <t>SOLADO DE LIMPIESA E:0,05m DE 3000 PSI</t>
  </si>
  <si>
    <t>VIGA DE CIMIENTO EN CONCRETO 3000 PSI(VIGA EN T) DE 0,6m*0,2m EN LA BASE Y 0,25m*0,20m EN LA PARTE SUPERIOR</t>
  </si>
  <si>
    <t>COLUMNAS EN CONCRETO DE 3000 PSI</t>
  </si>
  <si>
    <t>VIGAS DE AMARRE EN CONCRETO DE 3000 PSI</t>
  </si>
  <si>
    <t>SUMINISTRO E INSTALACION VALVULA FLOTADORA CONTROL PILOTO VALVULA Ø6"; CUERPO Y TAPA EN HIERRO FUNDIDO. ASIENTO, CILINDRO. INCLUYE DOS (2) BRIDAS VAN STONE PVC DE Ø6"GIRATORIA DIECISEIOS (16) TORNILLO Y 16 ACERO INOX 5/8 X4"</t>
  </si>
  <si>
    <t>TUB.PVC PRESION RDE 32,5  8".</t>
  </si>
  <si>
    <t xml:space="preserve">PLACAS PREFABRICADAS EN CONCRETO SIMPLE 0,50X0,35X0,05 </t>
  </si>
  <si>
    <t>VIGA CANAL</t>
  </si>
  <si>
    <t>VIGA CUBIERTA</t>
  </si>
  <si>
    <t>VIGA CINTA</t>
  </si>
  <si>
    <t xml:space="preserve">VIGAS CIMENTACION </t>
  </si>
  <si>
    <t>CONCRETO CICLOPEO</t>
  </si>
  <si>
    <t>LOSA PISO</t>
  </si>
  <si>
    <t>ESTRUCTURAL CASETAS-LABORATORIO ETC</t>
  </si>
  <si>
    <t>MUROS MAMPOSTERIA BLOQUE ESTRUCTURAL CERAMICO 12*20*30</t>
  </si>
  <si>
    <t>EMPRADIZADO-PRADO TRENZA</t>
  </si>
  <si>
    <t>INSTALACION TUBERIA PVC-P RDE 32,5</t>
  </si>
  <si>
    <t>SUBTOTAL INSTALACION TUBERIA</t>
  </si>
  <si>
    <t>NIPLE PASAMUROS HF 12"  L: 0,60m, EL</t>
  </si>
  <si>
    <t>NIPLE PASAMUROS HF 0,4"  L: 0,80m, EL</t>
  </si>
  <si>
    <t>NIPLE  TUBERIA PVC-ALCANTARILLADO 12" L:3,5m</t>
  </si>
  <si>
    <t xml:space="preserve">TAPA DE LAMINA ALFAJOR 0,65X0,65 </t>
  </si>
  <si>
    <t xml:space="preserve">VALVULA DE COMPUERTA - DESAGUE HF EL 12" </t>
  </si>
  <si>
    <t xml:space="preserve">TAPA DE LAMINA ALFAJOR 1,05X1,05 </t>
  </si>
  <si>
    <t>0,30X0,30  H=  3,0 M</t>
  </si>
  <si>
    <t>0,30X0,30 M  H=2,10 M</t>
  </si>
  <si>
    <t>TAPA LAMINA ALFAJOR 0,6X0,35</t>
  </si>
  <si>
    <t>TUB.PVC 4 SANITARIA</t>
  </si>
  <si>
    <t xml:space="preserve">TAPA ALFAJOR 0,85X0,85 </t>
  </si>
  <si>
    <t>Malla galvanizada No 10 con postes galvanizados de 2"  de 1,5 metros de alto  instalada en todo el perímetro</t>
  </si>
  <si>
    <t>Equipo de medida en baja tensión</t>
  </si>
  <si>
    <t>Tableros monofásico 6 circuitos c/Retie</t>
  </si>
  <si>
    <t>Tableros monofásico 8 circuitos c/Retie</t>
  </si>
  <si>
    <t>Tableros bifásico trfilar 18 circuitos c/Retie</t>
  </si>
  <si>
    <t>Breakers para protección de tableros</t>
  </si>
  <si>
    <t>TABLEROS</t>
  </si>
  <si>
    <t>EQUIPO DE MEDIDA</t>
  </si>
  <si>
    <t>TOTALIZADOR TRANSFORMADOR PRINCIPAL</t>
  </si>
  <si>
    <t>Totalizador 2x60 A</t>
  </si>
  <si>
    <t>UTENSILIOS, MOTOR GRUA Y DOSIFICADORES</t>
  </si>
  <si>
    <t>CONDUCTOR PUESTA A TIERRA</t>
  </si>
  <si>
    <t>ACOMETIDA</t>
  </si>
  <si>
    <t>Acometida al tablero 2</t>
  </si>
  <si>
    <t>Acometida al tablero 3</t>
  </si>
  <si>
    <t>Acometida al tablero 4</t>
  </si>
  <si>
    <t>SALIDAS LÁMPARAS (INCLUYE LÁMPARA) *</t>
  </si>
  <si>
    <t>SALIDAS TOMAS</t>
  </si>
  <si>
    <t>Toma Doble monofásica con Protección (Tipo GFCI)</t>
  </si>
  <si>
    <t>Toma Bifásica de 20 Amperios</t>
  </si>
  <si>
    <t>PUESTA A TIERRA</t>
  </si>
  <si>
    <t xml:space="preserve">Varilla de Puesta a Tierra D5/8" </t>
  </si>
  <si>
    <t>Accesorios Utensilios, motor grua y dosificadores</t>
  </si>
  <si>
    <t>Conductor (puesta a tierra) 2/0 AWG</t>
  </si>
  <si>
    <t>Acometida transformador-tablero principal</t>
  </si>
  <si>
    <t>Lámpara Fluorescente de 2X28W</t>
  </si>
  <si>
    <t>Luminaria de sobreponer 20 W</t>
  </si>
  <si>
    <t xml:space="preserve">Toma Doble Monofásica de 20 Amperios con Polo Puesta a Tierra </t>
  </si>
  <si>
    <t>MEDIA TENSIÓN Y TRANSFORMADOR DE MT A BT</t>
  </si>
  <si>
    <t>LÍNEA DE MEDIA TENSIÓN</t>
  </si>
  <si>
    <t>POSTERÍA</t>
  </si>
  <si>
    <t>TRANSFORMADOR</t>
  </si>
  <si>
    <t>ESTRUCTURAS</t>
  </si>
  <si>
    <t>Cable de Media Tensión 1/0 ACSR</t>
  </si>
  <si>
    <t>Poste de concreto 12m tipo línea (510 kg.  Carga de rotura)</t>
  </si>
  <si>
    <t>Transformador 15 KVA 13200/220/127</t>
  </si>
  <si>
    <t>Circuitos red M.T 13200 V</t>
  </si>
  <si>
    <t>LUMINARIAS Y REFLECTORES</t>
  </si>
  <si>
    <t>Luminaria de sodio 150W</t>
  </si>
  <si>
    <t>CABLE AWG THW</t>
  </si>
  <si>
    <t>Cable 1X10 AWG THW</t>
  </si>
  <si>
    <t>ILUMINACION EXTERIOR</t>
  </si>
  <si>
    <t>Poste de concreto tipo recto de 9 m para alumbrado público</t>
  </si>
  <si>
    <t>TRANSPORTE</t>
  </si>
  <si>
    <t>LEGALIZACIÓN</t>
  </si>
  <si>
    <t>TRANSPORTE Y LEGALIZACION, INTERVENTORIA E INSPECCION RETIE</t>
  </si>
  <si>
    <t>PASAMURO HF EL D=6"  L:0,40m</t>
  </si>
  <si>
    <t>TERRAPLEN 1y2</t>
  </si>
  <si>
    <t>CORREA PHR 220*80-2,0mm 650</t>
  </si>
  <si>
    <t>CONCRETO MESON</t>
  </si>
  <si>
    <t>Tuberia para alimentación  tableros</t>
  </si>
  <si>
    <t>10.2.1</t>
  </si>
  <si>
    <t>10.2.2</t>
  </si>
  <si>
    <t>10.2.3</t>
  </si>
  <si>
    <t>10.2.4</t>
  </si>
  <si>
    <t>10.3.1</t>
  </si>
  <si>
    <t>10.4.1</t>
  </si>
  <si>
    <t>10.4</t>
  </si>
  <si>
    <t>LAVAPLATOS A.INOX.DOBLE 51X 80CM P.GRIFO</t>
  </si>
  <si>
    <t>LAVAMANOS SOBREPONER MEZC.LINEA MEDIA</t>
  </si>
  <si>
    <t>DUCHA SENCILLA L.PRISMA-GALAXIA (M)</t>
  </si>
  <si>
    <t>GRIFO SENCILLO LAVAPL L PRISMA-GALAX (M)</t>
  </si>
  <si>
    <t xml:space="preserve">SUMINISTRO TRANSPORTE E INSTALACION  VALVULA DE COMPUERTA DESLIZANTE TIPO GUILLOTINA CON OBTURADOR EN HIERRODUCTIL, COLUMNA DE MANIOBRA, VASTAGO, SOPORTES GUIAS VASTAGOS, TORNILLERIA ANCLAJE COLUMNA Y TORNILLERIA ANCLAJE GUIAS: </t>
  </si>
  <si>
    <t>NIPLE  TUBERIA PVC-ALCANTARILLADO 12" L:3,3m</t>
  </si>
  <si>
    <t>0,30X0,30 VASTAGO H:1,78</t>
  </si>
  <si>
    <t>NIPLE PASAMURO TUBERIA PVC D:8" L:0,3m</t>
  </si>
  <si>
    <t>VALVULA DE DRENAJE 3" HF EL DE COMPUERTA</t>
  </si>
  <si>
    <t>NIPLE PASAMURO PVC 4 SANITARIA L:0.5M</t>
  </si>
  <si>
    <t xml:space="preserve">TUBERIA PVC 8" SANITARIA </t>
  </si>
  <si>
    <t>MUROS MAMPOSTERIA BLOQUE ESTRUCTURAL CERAMICO 12*20*30, INCLUYE GLOUDING Y REFUERZO</t>
  </si>
  <si>
    <t>VENTANA METALICA 1,5*0,6m</t>
  </si>
  <si>
    <t>VENTANA EN ALUMINIO DOS CUERPOS (1,5*1,5)</t>
  </si>
  <si>
    <t>VENTANA EN ALUMINIO DOS CUERPOS CORREDIZA (1,5*2,43)</t>
  </si>
  <si>
    <t>VENTANA EN ALUMINIO UN CUERPO (1,5*0,6)</t>
  </si>
  <si>
    <t>PUERTA METALICA DESLIZANTE (2,9*3)</t>
  </si>
  <si>
    <t>PUERTA METALICA ENROLLABLE (2,9*3)</t>
  </si>
  <si>
    <t>PUERTA BATIENTE EN MADERA UN CUERPO (0.9*2)</t>
  </si>
  <si>
    <t>PUERTA METALICA UN CUERPO (0.7*2)</t>
  </si>
  <si>
    <t>EXCAVACION A MANO EN TIERRA</t>
  </si>
  <si>
    <t>RETIRO SOBRANTES MAQUINA &lt; 10KM</t>
  </si>
  <si>
    <t xml:space="preserve">LOSA FONDO CONCRETO  4000 PSI </t>
  </si>
  <si>
    <t>MURO CONCRETO 4000 PSI IMPERMEABILIZADO</t>
  </si>
  <si>
    <t xml:space="preserve">LOSA  TAPA CONCRETO  4000 PSI </t>
  </si>
  <si>
    <t>COLUMNAS EN CONCRETO 4000 PSI</t>
  </si>
  <si>
    <t>VIGAS EN CONCRETO 4000 PSI</t>
  </si>
  <si>
    <t>LOSA  MACIZA FONDO CONCRETO 4000  PSI  IMPERMEABILIZADO</t>
  </si>
  <si>
    <t>LOCALIZACION Y REPLANTEO REDES</t>
  </si>
  <si>
    <t>PASILLO</t>
  </si>
  <si>
    <t>PLACA BASE DE 30CM*15CM, ESPESOR 30CM</t>
  </si>
  <si>
    <t>SUMINISTRO Y SIEMBREA DE ARBOLES FRUTALES</t>
  </si>
  <si>
    <t>SUMINISTRO Y SIEMBREA DE MANI FORRAJERO</t>
  </si>
  <si>
    <t>EXCAVACIÓN A MÁQUINA EN SECO EN MATERIAL COMÚN HASTA  3.0 M DE PROFUNDIDAD SIN RETIRO</t>
  </si>
  <si>
    <t>EXCAVACIÓN A MÁQUINA EN SECO EN MATERIAL COMÚN   A MAS DE   3.0 M DE PROFUNDIDAD SIN RETIRO</t>
  </si>
  <si>
    <t>Puerta metálica de 5,0 metros de ancho por 3,0 metros de alto (2 naves de 2*3)</t>
  </si>
  <si>
    <t>MATERIAL TRITURADO O BALASTRO DE RIO COMPACTADO AL 95% PM E:0,15M)</t>
  </si>
  <si>
    <t>EXCAVACION EN TIERRA A MANO, SIN RETIRO</t>
  </si>
  <si>
    <t>NIPLE  PVC SANITARIA D=2"  L:0,4 PERFORADA DE VENTILACION</t>
  </si>
  <si>
    <t>PASAMURO HF EL D=6"  L:0,70m</t>
  </si>
  <si>
    <t>CODO PVC -SAN  6"X90º  CE</t>
  </si>
  <si>
    <t>PASAMURO HF EL D=10"  L=0,40</t>
  </si>
  <si>
    <t>PASAMURO HF EL D=8"   L=0,25</t>
  </si>
  <si>
    <t>PASAMURO HF B-EL D=10"  L:0,80m</t>
  </si>
  <si>
    <t>NIPLE DE 8" PVC-S L: 1,12</t>
  </si>
  <si>
    <t>NIPLE PASAMURO  PVC  SAN 4 " L:0,40M</t>
  </si>
  <si>
    <t>EXCAVACION EN TIERRA A MANO</t>
  </si>
  <si>
    <t>RETIRO DE MATERIAL DEL SITIO A MAQUINA HASTA &lt;10KM</t>
  </si>
  <si>
    <t>COLCHON GRAVA  COMPACTADA</t>
  </si>
  <si>
    <t>EXCAVACION EN TIERRA A MAQUINA MAS DE 3M</t>
  </si>
  <si>
    <t>CORTE DE PAVIMENTO CON CORTADORA</t>
  </si>
  <si>
    <t>TUBERIA PVC-PRESION DE 1"</t>
  </si>
  <si>
    <t>Excavacion en tierra a mano</t>
  </si>
  <si>
    <t xml:space="preserve">CAJAS DE INSPECCION EN CONCRETO DE 0,6*0,6M </t>
  </si>
  <si>
    <t>CAJAS DE INSPECCION EN CONCRETO DE 1,2*1,2M H:1,5m</t>
  </si>
  <si>
    <t>CAJAS DE INSPECCION EN CONCRETO DE 1,2*1,2M H:1,51-2m</t>
  </si>
  <si>
    <t>CAJAS DE INSPECCION EN CONCRETO DE 1,2*1,2M H:3,51-4m</t>
  </si>
  <si>
    <t>CAJAS DE INSPECCION EN CONCRETO DE 1,2*1,2M H:5,51-6m</t>
  </si>
  <si>
    <t>CAJAS DE INSPECCION EN CONCRETO DE 1,2*1,2M H:6,5-7m</t>
  </si>
  <si>
    <t>CAJAS DE INSPECCION EN CONCRETO DE 1,2*1,2M H:7,5m</t>
  </si>
  <si>
    <t>SUMINISTRO Y COLOCACIÓN DE MATERIAL SELECCIONADO PARA BASE, DEBIDAMENTE COMPACTADO PARA VIAS</t>
  </si>
  <si>
    <t>SUMINISTRO Y COLOCACIÓN DE MATERIAL SELECCIONADO PARA SUB-BASE, DEBIDAMENTE COMPACTADO PARA VIAS.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</si>
  <si>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</si>
  <si>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</si>
  <si>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</si>
  <si>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</si>
  <si>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</si>
  <si>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</si>
  <si>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</si>
  <si>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</si>
  <si>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</si>
  <si>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</si>
  <si>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</si>
  <si>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</si>
  <si>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1.1</t>
  </si>
  <si>
    <t>1.2</t>
  </si>
  <si>
    <t>1.3</t>
  </si>
  <si>
    <t>1.4</t>
  </si>
  <si>
    <t>3.1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</si>
  <si>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</si>
  <si>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</si>
  <si>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</si>
  <si>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</si>
  <si>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</si>
  <si>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</si>
  <si>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</si>
  <si>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</si>
  <si>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</si>
  <si>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</si>
  <si>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3.13</t>
  </si>
  <si>
    <t>3.14</t>
  </si>
  <si>
    <t>3.15</t>
  </si>
  <si>
    <t>3.16</t>
  </si>
  <si>
    <t>3.16.1</t>
  </si>
  <si>
    <t>3.16.2</t>
  </si>
  <si>
    <t>3.16.3</t>
  </si>
  <si>
    <t>3.17</t>
  </si>
  <si>
    <t>3.18</t>
  </si>
  <si>
    <t>3.19</t>
  </si>
  <si>
    <t>3.20</t>
  </si>
  <si>
    <t>3.21</t>
  </si>
  <si>
    <t>3.22</t>
  </si>
  <si>
    <t>3.23</t>
  </si>
  <si>
    <t>3.24</t>
  </si>
  <si>
    <t>3.25</t>
  </si>
  <si>
    <t>3.26</t>
  </si>
  <si>
    <t>3.27</t>
  </si>
  <si>
    <t>4.2</t>
  </si>
  <si>
    <t>4.14</t>
  </si>
  <si>
    <t>4.14.1</t>
  </si>
  <si>
    <t>4.14.2</t>
  </si>
  <si>
    <t>4.15</t>
  </si>
  <si>
    <t>4.16</t>
  </si>
  <si>
    <t>4.18</t>
  </si>
  <si>
    <t>4.19</t>
  </si>
  <si>
    <t>4.20</t>
  </si>
  <si>
    <t>4.21</t>
  </si>
  <si>
    <t>4.22</t>
  </si>
  <si>
    <t>4.23</t>
  </si>
  <si>
    <t>4.24</t>
  </si>
  <si>
    <t>4.25</t>
  </si>
  <si>
    <t>4.26</t>
  </si>
  <si>
    <t>4.27</t>
  </si>
  <si>
    <t>4.28</t>
  </si>
  <si>
    <t>5.14</t>
  </si>
  <si>
    <t>5.14.1</t>
  </si>
  <si>
    <t>5.14.2</t>
  </si>
  <si>
    <t>5.14.3</t>
  </si>
  <si>
    <t>5.14.4</t>
  </si>
  <si>
    <t>5.14.5</t>
  </si>
  <si>
    <t>5.15</t>
  </si>
  <si>
    <t>5.16</t>
  </si>
  <si>
    <t>5.17</t>
  </si>
  <si>
    <t>5.18</t>
  </si>
  <si>
    <t>5.19</t>
  </si>
  <si>
    <t>5.23</t>
  </si>
  <si>
    <t>5.24</t>
  </si>
  <si>
    <t>5.25</t>
  </si>
  <si>
    <t>5.26</t>
  </si>
  <si>
    <t>5.27</t>
  </si>
  <si>
    <t>6.14</t>
  </si>
  <si>
    <t>6.15</t>
  </si>
  <si>
    <t>6.16</t>
  </si>
  <si>
    <t>6.17</t>
  </si>
  <si>
    <t>6.18</t>
  </si>
  <si>
    <t>6.19</t>
  </si>
  <si>
    <t>6.21</t>
  </si>
  <si>
    <t>7.9</t>
  </si>
  <si>
    <t>7.10</t>
  </si>
  <si>
    <t>7.12</t>
  </si>
  <si>
    <t>7.13</t>
  </si>
  <si>
    <t>7.14</t>
  </si>
  <si>
    <t>7.17</t>
  </si>
  <si>
    <t>7.18</t>
  </si>
  <si>
    <t>7.19</t>
  </si>
  <si>
    <t>7.20</t>
  </si>
  <si>
    <t>7.21</t>
  </si>
  <si>
    <t>7.22</t>
  </si>
  <si>
    <t>7.23</t>
  </si>
  <si>
    <t>7.24</t>
  </si>
  <si>
    <t>7.25</t>
  </si>
  <si>
    <t>7.26</t>
  </si>
  <si>
    <t>7.27</t>
  </si>
  <si>
    <t>7.28</t>
  </si>
  <si>
    <t>7.29</t>
  </si>
  <si>
    <t>7.30</t>
  </si>
  <si>
    <t>7.31</t>
  </si>
  <si>
    <t>7.32</t>
  </si>
  <si>
    <t>7.33</t>
  </si>
  <si>
    <t>7.34</t>
  </si>
  <si>
    <t>7.35</t>
  </si>
  <si>
    <t>7.37</t>
  </si>
  <si>
    <t>7.38</t>
  </si>
  <si>
    <t>8.5</t>
  </si>
  <si>
    <t>8.9</t>
  </si>
  <si>
    <t>8.10</t>
  </si>
  <si>
    <t>8.11</t>
  </si>
  <si>
    <t>8.12</t>
  </si>
  <si>
    <t>8.13</t>
  </si>
  <si>
    <t>8.14</t>
  </si>
  <si>
    <t>9.1</t>
  </si>
  <si>
    <t>9.1.5</t>
  </si>
  <si>
    <t>9.2</t>
  </si>
  <si>
    <t>9.2.3</t>
  </si>
  <si>
    <t>9.2.4</t>
  </si>
  <si>
    <t>9.2.5</t>
  </si>
  <si>
    <t>9.2.6</t>
  </si>
  <si>
    <t>9.2.7</t>
  </si>
  <si>
    <t>9.2.8</t>
  </si>
  <si>
    <t>9.3</t>
  </si>
  <si>
    <t>9.3.4</t>
  </si>
  <si>
    <t>9.3.5</t>
  </si>
  <si>
    <t>9.3.6</t>
  </si>
  <si>
    <t>9.3.7</t>
  </si>
  <si>
    <t>9.3.8</t>
  </si>
  <si>
    <t>9.4</t>
  </si>
  <si>
    <t>9.4.3</t>
  </si>
  <si>
    <t>9.4.4</t>
  </si>
  <si>
    <t>9.4.5</t>
  </si>
  <si>
    <t>9.4.6</t>
  </si>
  <si>
    <t>9.4.7</t>
  </si>
  <si>
    <t>9.4.8</t>
  </si>
  <si>
    <t>9.4.9</t>
  </si>
  <si>
    <t>9.5</t>
  </si>
  <si>
    <t>9.5.1</t>
  </si>
  <si>
    <t>9.5.2</t>
  </si>
  <si>
    <t>9.5.3</t>
  </si>
  <si>
    <t>9.5.4</t>
  </si>
  <si>
    <t>9.5.5</t>
  </si>
  <si>
    <t>9.5.6</t>
  </si>
  <si>
    <t>9.5.7</t>
  </si>
  <si>
    <t>9.5.8</t>
  </si>
  <si>
    <t>9.6</t>
  </si>
  <si>
    <t>9.6.1</t>
  </si>
  <si>
    <t>9.6.2</t>
  </si>
  <si>
    <t>9.6.3</t>
  </si>
  <si>
    <t>9.7</t>
  </si>
  <si>
    <t>9.7.1</t>
  </si>
  <si>
    <t>9.7.2</t>
  </si>
  <si>
    <t>9.8</t>
  </si>
  <si>
    <t>9.8.2</t>
  </si>
  <si>
    <t>9.9</t>
  </si>
  <si>
    <t>9.9.3</t>
  </si>
  <si>
    <t>9.9.4</t>
  </si>
  <si>
    <t>9.9.5</t>
  </si>
  <si>
    <t>9.9.6</t>
  </si>
  <si>
    <t>9.9.7</t>
  </si>
  <si>
    <t>9.9.8</t>
  </si>
  <si>
    <t>9.9.9</t>
  </si>
  <si>
    <t>9.9.10</t>
  </si>
  <si>
    <t>9.10</t>
  </si>
  <si>
    <t>10.1</t>
  </si>
  <si>
    <t>10.2</t>
  </si>
  <si>
    <t>10.2.5</t>
  </si>
  <si>
    <t>10.3</t>
  </si>
  <si>
    <t>10.5</t>
  </si>
  <si>
    <t>10.5.1</t>
  </si>
  <si>
    <t>10.6</t>
  </si>
  <si>
    <t>10.6.1</t>
  </si>
  <si>
    <t>10.6.2</t>
  </si>
  <si>
    <t>10.6.3</t>
  </si>
  <si>
    <t>10.6.4</t>
  </si>
  <si>
    <t>10.7</t>
  </si>
  <si>
    <t>10.7.1</t>
  </si>
  <si>
    <t>10.7.2</t>
  </si>
  <si>
    <t>10.8</t>
  </si>
  <si>
    <t>10.8.1</t>
  </si>
  <si>
    <t>10.8.2</t>
  </si>
  <si>
    <t>10.8.3</t>
  </si>
  <si>
    <t>10.9</t>
  </si>
  <si>
    <t>10.9.1</t>
  </si>
  <si>
    <t>10.10</t>
  </si>
  <si>
    <t>10.10.1</t>
  </si>
  <si>
    <t>10.11</t>
  </si>
  <si>
    <t>10.11.1</t>
  </si>
  <si>
    <t>10.12</t>
  </si>
  <si>
    <t>10.12.1</t>
  </si>
  <si>
    <t>10.13</t>
  </si>
  <si>
    <t>10.13.1</t>
  </si>
  <si>
    <t>10.14</t>
  </si>
  <si>
    <t>10.14.1</t>
  </si>
  <si>
    <t>10.15</t>
  </si>
  <si>
    <t>10.15.1</t>
  </si>
  <si>
    <t>10.16</t>
  </si>
  <si>
    <t>10.16.1</t>
  </si>
  <si>
    <t>10.17</t>
  </si>
  <si>
    <t>10.17.1</t>
  </si>
  <si>
    <t>10.17.2</t>
  </si>
  <si>
    <t>10.17.3</t>
  </si>
  <si>
    <t>11.5</t>
  </si>
  <si>
    <t>11.6</t>
  </si>
  <si>
    <t>11.7</t>
  </si>
  <si>
    <t>11.8</t>
  </si>
  <si>
    <t>11.9</t>
  </si>
  <si>
    <t>11.10</t>
  </si>
  <si>
    <t>11.11</t>
  </si>
  <si>
    <t>11.12</t>
  </si>
  <si>
    <t>11.13</t>
  </si>
  <si>
    <t>11.14</t>
  </si>
  <si>
    <t>11.15</t>
  </si>
  <si>
    <t>11.16</t>
  </si>
  <si>
    <t>11.17</t>
  </si>
  <si>
    <t>11.18</t>
  </si>
  <si>
    <t>11.19</t>
  </si>
  <si>
    <t>11.20</t>
  </si>
  <si>
    <t>11.21</t>
  </si>
  <si>
    <t>11.22</t>
  </si>
  <si>
    <t>11.23</t>
  </si>
  <si>
    <t>11.25</t>
  </si>
  <si>
    <t>11.26</t>
  </si>
  <si>
    <t>11.27</t>
  </si>
  <si>
    <t>12.1</t>
  </si>
  <si>
    <t>12.2</t>
  </si>
  <si>
    <t>12.3</t>
  </si>
  <si>
    <t>12.4</t>
  </si>
  <si>
    <t>12.5</t>
  </si>
  <si>
    <t>12.7</t>
  </si>
  <si>
    <t>12.8</t>
  </si>
  <si>
    <t>12.9</t>
  </si>
  <si>
    <t>12.10</t>
  </si>
  <si>
    <t>12.1.2</t>
  </si>
  <si>
    <t>12.1.3</t>
  </si>
  <si>
    <t>12.1.4</t>
  </si>
  <si>
    <t>12.1.5</t>
  </si>
  <si>
    <t>12.1.6</t>
  </si>
  <si>
    <t>12.1.7</t>
  </si>
  <si>
    <t>12.1.8</t>
  </si>
  <si>
    <t>12.1.9</t>
  </si>
  <si>
    <t>12.1.10</t>
  </si>
  <si>
    <t>12.1.11</t>
  </si>
  <si>
    <t>12.1.12</t>
  </si>
  <si>
    <t>12.2.2</t>
  </si>
  <si>
    <t>12.2.3</t>
  </si>
  <si>
    <t>12.2.4</t>
  </si>
  <si>
    <t>12.2.5</t>
  </si>
  <si>
    <t>12.3.1</t>
  </si>
  <si>
    <t>12.3.2</t>
  </si>
  <si>
    <t>12.3.3</t>
  </si>
  <si>
    <t>12.4.1</t>
  </si>
  <si>
    <t>12.4.2</t>
  </si>
  <si>
    <t>12.4.3</t>
  </si>
  <si>
    <t>12.5.1</t>
  </si>
  <si>
    <t>12.5.2</t>
  </si>
  <si>
    <t>12.5.3</t>
  </si>
  <si>
    <t>12.6.</t>
  </si>
  <si>
    <t>12.6.1</t>
  </si>
  <si>
    <t>12.6.2</t>
  </si>
  <si>
    <t>12.7.1</t>
  </si>
  <si>
    <t>12.8.1</t>
  </si>
  <si>
    <t>12.9.1</t>
  </si>
  <si>
    <t>13.1</t>
  </si>
  <si>
    <t>13.4</t>
  </si>
  <si>
    <t>13.5</t>
  </si>
  <si>
    <t>13.7</t>
  </si>
  <si>
    <t>13.8</t>
  </si>
  <si>
    <t>13.9</t>
  </si>
  <si>
    <t>13.10</t>
  </si>
  <si>
    <t>13.11</t>
  </si>
  <si>
    <t>13.12</t>
  </si>
  <si>
    <t>13.12.1</t>
  </si>
  <si>
    <t>13.12.2</t>
  </si>
  <si>
    <t>13.12.3</t>
  </si>
  <si>
    <t>13.12.4</t>
  </si>
  <si>
    <t>13.12.5</t>
  </si>
  <si>
    <t>LOSA MACIZA H=15 CM 4000 PSI</t>
  </si>
  <si>
    <t>VIGA CANAL EN CONCRETO DE 3000 PSI</t>
  </si>
  <si>
    <t>VIGA CUBIERTA EN CONCRETO DE 3000 PSI</t>
  </si>
  <si>
    <t>VIGA CINTA EN CONCRETO DE 3000 PSI</t>
  </si>
  <si>
    <t>VIGAS CIMENTACION EN CONCRETO DE 3000 PSI</t>
  </si>
  <si>
    <t>11.28</t>
  </si>
  <si>
    <t>0,3*0,3 H:6.0M</t>
  </si>
  <si>
    <t xml:space="preserve">PLACAS PREFABRICADAS EN CONCRETO SIMPLE 0,50X0,28X0,05 </t>
  </si>
  <si>
    <t>PALMA MANILA H:80-100CM</t>
  </si>
  <si>
    <t>ARBUSTOS DURANTA (ACCESO)</t>
  </si>
  <si>
    <t>ARBOL NATIVO H:80-100CM</t>
  </si>
  <si>
    <t>CABEZAL DE ENTREGA EN CONCRETO 3000 PSI</t>
  </si>
  <si>
    <t>CUNETA EN CONCRETO 2500 PSI E:0,15M</t>
  </si>
  <si>
    <t>ALFAJIA EN CONCRETO 0,25M</t>
  </si>
  <si>
    <t>ANDEN  CONCRETO INTERNO E:0,10M</t>
  </si>
  <si>
    <t xml:space="preserve">SUMINISTRO DE TUBERIA PVC DE ALCANTARILLADO </t>
  </si>
  <si>
    <t xml:space="preserve">SUMINISTRO E INSTALACION DE TUBERIA PVC DE SANITARIA </t>
  </si>
  <si>
    <t xml:space="preserve">2"  </t>
  </si>
  <si>
    <t>INSTALACION DE TUBERIA PVC DE ALCANTARILLADO D:14"</t>
  </si>
  <si>
    <t>INSTALACION DE TUBERIA  PVC 12" ALCANTARILLADO</t>
  </si>
  <si>
    <t>INSTALACION DE TUBERIA PVC DE ALCANTARILLADO D:8"</t>
  </si>
  <si>
    <t>INSTALACION DE TUBERIA PVC DE ALCANTARILLADO D:6"</t>
  </si>
  <si>
    <t>INSTALACION DE TUBERIA PVC DE SANITARIA DE D:4"</t>
  </si>
  <si>
    <t xml:space="preserve"> INSTALACION DE TUBERIA PVC SANITARIA DE D:3"</t>
  </si>
  <si>
    <t xml:space="preserve">INSTALACION DE TUBERIA PVC SANITARIA D=2"  </t>
  </si>
  <si>
    <t>Malla galvanizada No 10 2"*2"  de 1,5 metros de alto  instalada en todo el perímetro</t>
  </si>
  <si>
    <t>NIPLE TUB.PVC 4 SANITARIA L:2,5M</t>
  </si>
  <si>
    <t>LOSA TAPA CONCRETO  4000 PSI</t>
  </si>
  <si>
    <t>GEODREN, INCLUYE EXCAVACION Y RELLENO</t>
  </si>
  <si>
    <t>11.29</t>
  </si>
  <si>
    <t>11.30</t>
  </si>
  <si>
    <t>2</t>
  </si>
  <si>
    <t>4.14.3</t>
  </si>
  <si>
    <t>EMPRADIZADO PRADO TRENZA</t>
  </si>
  <si>
    <t>SANITARIO CON TANQUE LINEA MEDIA</t>
  </si>
  <si>
    <t>PANTALLA CONCRETO MATERA E=15 H=45-55CM</t>
  </si>
  <si>
    <t>PLACA BASE DE 0,3*0,15*0,3M EN CONCRETO 4000PSI</t>
  </si>
  <si>
    <t>LOSA PISO DE 3000 PSI</t>
  </si>
  <si>
    <t>12.7.2</t>
  </si>
  <si>
    <t>12.9.2</t>
  </si>
  <si>
    <t>12.9.3</t>
  </si>
  <si>
    <t>12.10.1</t>
  </si>
  <si>
    <t>12.11</t>
  </si>
  <si>
    <t>CAJAS DE INSPECCION EN CONCRETO DE 1,2*1,2M H:4,51-5m</t>
  </si>
  <si>
    <t>INSTALACION DE TUBERIA PVC DE ALCANTARILLADO D:18"</t>
  </si>
  <si>
    <t>INSTALACION DE TUBERIA PVC DE ALCANTARILLADO D:16"</t>
  </si>
  <si>
    <t>INSTALACION DE TUBERIA PVC DE ALCANTARILLADO D:10"</t>
  </si>
  <si>
    <t>11.24</t>
  </si>
  <si>
    <t>11.31</t>
  </si>
  <si>
    <t>11.32</t>
  </si>
  <si>
    <t>11.33</t>
  </si>
  <si>
    <t>0,30X0,30  H=  3,4 M</t>
  </si>
  <si>
    <t>DEMOL.LOSA CONCRETO E&lt;=15CMS+ RETIRO</t>
  </si>
  <si>
    <t xml:space="preserve">DESCAPOTE MAQUINA </t>
  </si>
  <si>
    <t>Viga concreto ciclopeo 3000 psi  0,30*0,25m</t>
  </si>
  <si>
    <t>VALVULA DE COMPUERTA  10"  HF B-B</t>
  </si>
  <si>
    <t>VALVULA DE COMPUERTA 8"   B*B</t>
  </si>
  <si>
    <t>PUNTOS HIDRAULICOS SUMINISTRO E INSTALACION</t>
  </si>
  <si>
    <t>SUBTOTAL SUMINISTRO E INSTALACION INTERNO</t>
  </si>
  <si>
    <t>SUBTOTAL SUMINISTRO E INSTALACION SANITARIAS</t>
  </si>
  <si>
    <t>SUMINISTROS E INSTALACION DE ILUMINACIÓN INTERNA Y DISPOSITIVOS ELÉCTRICOS DENTRO DE LAS EDIFICACIONES</t>
  </si>
  <si>
    <t>SUBTOTAL SUMINISTRO E INSTALACION ELECTRICA</t>
  </si>
  <si>
    <t>SUBTOTAL SUMINISTRO E INSTALACION CASETA, LABORATORIO Y BODEGA</t>
  </si>
  <si>
    <t>CASETA LABORATORIO, BODEGA SUMINISTRO E INSTALACION</t>
  </si>
  <si>
    <t>SUBTOTAL SUMINISTRO E INSTALACION DE LECHOS DE SECADO</t>
  </si>
  <si>
    <t>SUBTOTAL SUMINISTRO E INSTALACION TANQUE DE ALMACENAMIENTO</t>
  </si>
  <si>
    <t>SUBTOTAL SUMINISTRO E INSTALACION DE TANQUE DE CLORACION</t>
  </si>
  <si>
    <t>SUBTOTAL SUMINISTRO E INSTALACION FILTRO RAPIDO</t>
  </si>
  <si>
    <t>SUMINISTRO E INSTALACION</t>
  </si>
  <si>
    <t>SUBTOTAL SUMINISTRO E INSTALACION DE  SEGURIDAD EQUIPO</t>
  </si>
  <si>
    <t>OBRAS COMPLEMENTARIAS- SUMINISTRO E INSTALACION</t>
  </si>
  <si>
    <t>INCRUST.CERAM. JUEGO 4 PIEZAS + INST.</t>
  </si>
  <si>
    <t xml:space="preserve">SUBTOTAL SUMINISTRO E INSTALACION SEDIMENTADOR </t>
  </si>
  <si>
    <t>CANALETA PVC PARA CUBIERTAS</t>
  </si>
  <si>
    <t>SOLADO ESPESOR E: 0,05M 2500 PSI 17.5 Mpa</t>
  </si>
  <si>
    <t>CERAMICA MESON COCINA</t>
  </si>
  <si>
    <t>COLCHÓN DE ARENA - GRAVA PARA SOPORTE DE TUBERÍAS</t>
  </si>
  <si>
    <t>LOSA CASETON ESTERILLA H=25CM</t>
  </si>
  <si>
    <t>SUMINISTRO E INSTALACIÓN TAPA EN LÁMINA ALFAJOR ESPESOR 5 MM, CON MARCO METÁLICO Y ÁNGULO DE ACERO CON BISAGRA de 0,9*0,9m</t>
  </si>
  <si>
    <t>SUMINISTRO E INSTALACIÓN TAPA EN LÁMINA ALFAJOR ESPESOR 5 MM, CON MARCO METÁLICO Y ÁNGULO DE ACERO CON BISAGRA 1,05X1,05 m</t>
  </si>
  <si>
    <t>SUMINISTRO E INSTALACIÓN TAPA EN LÁMINA ALFAJOR ESPESOR 5 MM, CON MARCO METÁLICO Y ÁNGULO DE ACERO CON BISAGRA De 1,35X1,05m</t>
  </si>
  <si>
    <t>SUMINISTRO E INSTALACIÓN TAPA EN LÁMINA ALFAJOR ESPESOR 5 MM, CON MARCO METÁLICO Y ÁNGULO DE ACERO CON BISAGRA DE 0,65X0,65M</t>
  </si>
  <si>
    <t>SUMINISTRO E INSTALACIÓN TAPA EN LÁMINA ALFAJOR ESPESOR 5 MM, CON MARCO METÁLICO Y ÁNGULO DE ACERO CON BISAGRA 0,45X0,45 M</t>
  </si>
  <si>
    <t>SUMINISTRO E INSTALACIÓN TAPA EN LÁMINA ALFAJOR ESPESOR 5 MM, CON MARCO METÁLICO Y ÁNGULO DE ACERO CON BISAGRADE 0,6X0,60M</t>
  </si>
  <si>
    <t>SUMINISTRO E INSTALACIÓN TAPA EN LÁMINA ALFAJOR ESPESOR 5 MM, CON MARCO METÁLICO Y ÁNGULO DE ACERO CON BISAGRA DE 0,85X0,85M</t>
  </si>
  <si>
    <t xml:space="preserve">SUMINISTRO E INSTALACIÓN TAPA EN LÁMINA ALFAJOR ESPESOR 5 MM, CON MARCO METÁLICO Y ÁNGULO DE ACERO CON BISAGRA DE 0,85X0,85 M </t>
  </si>
  <si>
    <t>SUMINISTRO E INSTALACIÓN TAPA EN LÁMINA ALFAJOR ESPESOR 5 MM, CON MARCO METÁLICO Y ÁNGULO DE ACERO CON BISAGRA DE  0,95X0,85 M</t>
  </si>
  <si>
    <t>SUMINISTRO E INSTALACIÓN TAPA EN LÁMINA ALFAJOR ESPESOR 5 MM, CON MARCO METÁLICO Y ÁNGULO DE ACERO CON BISAGRA DE  0,9X0,90M</t>
  </si>
  <si>
    <t>TAPA DE LAMINA ALFAJOR 0,45X0,45</t>
  </si>
  <si>
    <t>gl</t>
  </si>
  <si>
    <t>PRESUPUESTO ESTIMADO FASE III</t>
  </si>
  <si>
    <t>CONSTRUCCIÓN PLANTA DE TRATAMIENTO QUITAPEREZA CABECERA MUNICIPAL DE SANTANDER DE QUILICHAO</t>
  </si>
  <si>
    <t>VALOR MÍNIMO DEL VALOR UNITARIO</t>
  </si>
  <si>
    <t>VALOR VALOR MÁXIMO DEL VALOR UNITARIO</t>
  </si>
  <si>
    <t xml:space="preserve">un </t>
  </si>
  <si>
    <t>SUMINISTRO E INSTALACION VALVULA FLOTADORA CONTROL PILOTO VALVULA Ø6"; CUERPO Y TAPA EN HIERRO FunIDO. ASIENTO, CILINDRO. INCLUYE DOS (2) BRIDAS VAN STONE PVC DE Ø6"GIRATORIA DIECISEIOS (16) TORNILLO Y 16 ACERO INOX 5/8 X4"</t>
  </si>
  <si>
    <t xml:space="preserve">m </t>
  </si>
  <si>
    <t>PLATINA DE 150MM*50MM*1,5MM A-36 (2,8m) incluye pernos de anclajes 3/8" con gancho, tuercas,  arandelas y mortero tipo grouting E:0,05</t>
  </si>
  <si>
    <t>CAMPAMENTO 18 m2</t>
  </si>
  <si>
    <t>VIGUETAS EN "V" INVERTIDA,  PREFABRICADAS EN CONCRETO DE f'c=280 kg/ cm2 (ANCHO=0,38 M, ALTURA=0,25 M, L=3,42 M) CON 17 ORIFICIOS POR CADA CARADE D=1/2" POR LADO DE VIGUETA ESPACIADOS CADA 13 CM, INCLUYE REFUERZO</t>
  </si>
  <si>
    <t>juego</t>
  </si>
  <si>
    <r>
      <t>m</t>
    </r>
    <r>
      <rPr>
        <vertAlign val="superscript"/>
        <sz val="8"/>
        <color rgb="FF000000"/>
        <rFont val="Arial Narrow"/>
        <family val="2"/>
      </rPr>
      <t>2</t>
    </r>
  </si>
  <si>
    <r>
      <t>m</t>
    </r>
    <r>
      <rPr>
        <vertAlign val="superscript"/>
        <sz val="8"/>
        <color rgb="FF000000"/>
        <rFont val="Arial Narrow"/>
        <family val="2"/>
      </rPr>
      <t>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</si>
</sst>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-* #,##0.00\ _€_-;\-* #,##0.00\ _€_-;_-* &quot;-&quot;??\ _€_-;_-@_-"/>
    <numFmt numFmtId="165" formatCode="_-* #,##0.00_-;\-* #,##0.00_-;_-* &quot;-&quot;??_-;_-@_-"/>
    <numFmt numFmtId="166" formatCode="_ * #,##0.00_ ;_ * \-#,##0.00_ ;_ * &quot;-&quot;??_ ;_ @_ "/>
    <numFmt numFmtId="167" formatCode="_ * #,##0_ ;_ * \-#,##0_ ;_ * &quot;-&quot;??_ ;_ @_ "/>
    <numFmt numFmtId="168" formatCode="#,##0_ ;\-#,##0\ "/>
    <numFmt numFmtId="169" formatCode="d\-mmm\-yyyy"/>
    <numFmt numFmtId="170" formatCode="0.0%"/>
    <numFmt numFmtId="171" formatCode="_ &quot;$&quot;\ * #,##0_ ;_ &quot;$&quot;\ * \-#,##0_ ;_ &quot;$&quot;\ * &quot;-&quot;??_ ;_ @_ "/>
    <numFmt numFmtId="172" formatCode="_ * #,##0.000_ ;_ * \-#,##0.000_ ;_ * &quot;-&quot;??_ ;_ @_ "/>
    <numFmt numFmtId="173" formatCode="_(* #,##0_);_(* \(#,##0\);_(* &quot;-&quot;??_);_(@_)"/>
    <numFmt numFmtId="174" formatCode="#,##0.0"/>
    <numFmt numFmtId="175" formatCode="0.0"/>
    <numFmt numFmtId="176" formatCode="0.000"/>
    <numFmt numFmtId="177" formatCode="_-* #,##0_-;\-* #,##0_-;_-* &quot;-&quot;??_-;_-@_-"/>
    <numFmt numFmtId="178" formatCode="_ * #,##0.0_ ;_ * \-#,##0.0_ ;_ * &quot;-&quot;??_ ;_ @_ "/>
    <numFmt numFmtId="179" formatCode="_(&quot;$&quot;* #,##0.00_);_(&quot;$&quot;* \(#,##0.00\);_(&quot;$&quot;* &quot;-&quot;??_);_(@_)"/>
    <numFmt numFmtId="180" formatCode="_(* #,##0.0_);_(* \(#,##0.0\);_(* &quot;-&quot;?_);_(@_)"/>
    <numFmt numFmtId="181" formatCode="_(&quot;$&quot;\ * #,##0.0_);_(&quot;$&quot;\ * \(#,##0.0\);_(&quot;$&quot;\ * &quot;-&quot;??_);_(@_)"/>
    <numFmt numFmtId="182" formatCode="_(&quot;$&quot;* #,##0_);_(&quot;$&quot;* \(#,##0\);_(&quot;$&quot;* &quot;-&quot;??_);_(@_)"/>
    <numFmt numFmtId="183" formatCode="_(&quot;$&quot;\ * #,##0_);_(&quot;$&quot;\ * \(#,##0\);_(&quot;$&quot;\ * &quot;-&quot;??_);_(@_)"/>
    <numFmt numFmtId="184" formatCode="_ &quot;$&quot;\ * #,##0.00_ ;_ &quot;$&quot;\ * \-#,##0.00_ ;_ &quot;$&quot;\ * &quot;-&quot;??_ ;_ @_ "/>
    <numFmt numFmtId="185" formatCode="0.0000"/>
  </numFmts>
  <fonts count="10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22"/>
      <name val="Arial"/>
      <family val="2"/>
    </font>
    <font>
      <sz val="9"/>
      <name val="Arial"/>
      <family val="2"/>
    </font>
    <font>
      <b/>
      <sz val="11"/>
      <color indexed="10"/>
      <name val="Arial"/>
      <family val="2"/>
    </font>
    <font>
      <sz val="10"/>
      <color indexed="9"/>
      <name val="Arial"/>
      <family val="2"/>
    </font>
    <font>
      <sz val="8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10"/>
      <color theme="1" tint="0.34998626667073579"/>
      <name val="Arial"/>
      <family val="2"/>
    </font>
    <font>
      <sz val="10"/>
      <color indexed="22"/>
      <name val="Arial"/>
      <family val="2"/>
    </font>
    <font>
      <u/>
      <sz val="10"/>
      <color indexed="12"/>
      <name val="Arial"/>
      <family val="2"/>
    </font>
    <font>
      <sz val="10"/>
      <name val="Arial Narrow"/>
      <family val="2"/>
    </font>
    <font>
      <sz val="9"/>
      <color theme="1"/>
      <name val="Arial"/>
      <family val="2"/>
    </font>
    <font>
      <b/>
      <sz val="8"/>
      <color indexed="12"/>
      <name val="Arial"/>
      <family val="2"/>
    </font>
    <font>
      <sz val="8"/>
      <name val="Arial"/>
      <family val="2"/>
    </font>
    <font>
      <sz val="8"/>
      <color indexed="22"/>
      <name val="Arial"/>
      <family val="2"/>
    </font>
    <font>
      <b/>
      <sz val="11"/>
      <color indexed="8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 Narrow"/>
      <family val="2"/>
    </font>
    <font>
      <b/>
      <sz val="9"/>
      <name val="Arial"/>
      <family val="2"/>
    </font>
    <font>
      <b/>
      <sz val="11"/>
      <name val="Arial"/>
      <family val="2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8"/>
      <color rgb="FF0000FF"/>
      <name val="Arial"/>
      <family val="2"/>
    </font>
    <font>
      <sz val="7"/>
      <color indexed="60"/>
      <name val="Arial"/>
      <family val="2"/>
    </font>
    <font>
      <b/>
      <sz val="8"/>
      <color indexed="60"/>
      <name val="Arial"/>
      <family val="2"/>
    </font>
    <font>
      <sz val="9"/>
      <color indexed="10"/>
      <name val="Arial"/>
      <family val="2"/>
    </font>
    <font>
      <b/>
      <sz val="11"/>
      <color indexed="12"/>
      <name val="Arial"/>
      <family val="2"/>
    </font>
    <font>
      <sz val="10"/>
      <color theme="1" tint="4.9989318521683403E-2"/>
      <name val="Arial"/>
      <family val="2"/>
    </font>
    <font>
      <sz val="8"/>
      <color indexed="60"/>
      <name val="Arial"/>
      <family val="2"/>
    </font>
    <font>
      <b/>
      <sz val="7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sz val="6"/>
      <name val="Arial"/>
      <family val="2"/>
    </font>
    <font>
      <sz val="14"/>
      <name val="Arial"/>
      <family val="2"/>
    </font>
    <font>
      <sz val="9"/>
      <name val="Arial Narrow"/>
      <family val="2"/>
    </font>
    <font>
      <b/>
      <sz val="13"/>
      <name val="Arial"/>
      <family val="2"/>
    </font>
    <font>
      <b/>
      <sz val="8"/>
      <color indexed="9"/>
      <name val="Arial"/>
      <family val="2"/>
    </font>
    <font>
      <sz val="8"/>
      <color indexed="9"/>
      <name val="Arial"/>
      <family val="2"/>
    </font>
    <font>
      <sz val="10"/>
      <color indexed="8"/>
      <name val="Arial Narrow"/>
      <family val="2"/>
    </font>
    <font>
      <b/>
      <sz val="8"/>
      <name val="Arial Narrow"/>
      <family val="2"/>
    </font>
    <font>
      <b/>
      <sz val="10"/>
      <color indexed="8"/>
      <name val="Arial Narrow"/>
      <family val="2"/>
    </font>
    <font>
      <sz val="8"/>
      <name val="Arial Narrow"/>
      <family val="2"/>
    </font>
    <font>
      <sz val="9"/>
      <color indexed="9"/>
      <name val="Arial"/>
      <family val="2"/>
    </font>
    <font>
      <b/>
      <sz val="16"/>
      <name val="Arial"/>
      <family val="2"/>
    </font>
    <font>
      <b/>
      <sz val="13.5"/>
      <name val="Arial"/>
      <family val="2"/>
    </font>
    <font>
      <b/>
      <sz val="14"/>
      <color indexed="12"/>
      <name val="Arial"/>
      <family val="2"/>
    </font>
    <font>
      <b/>
      <sz val="8"/>
      <color indexed="8"/>
      <name val="Arial Narrow"/>
      <family val="2"/>
    </font>
    <font>
      <sz val="10"/>
      <color indexed="9"/>
      <name val="Arial Narrow"/>
      <family val="2"/>
    </font>
    <font>
      <b/>
      <sz val="12"/>
      <color indexed="10"/>
      <name val="Arial Narrow"/>
      <family val="2"/>
    </font>
    <font>
      <sz val="8"/>
      <color indexed="8"/>
      <name val="Arial Narrow"/>
      <family val="2"/>
    </font>
    <font>
      <sz val="8"/>
      <color indexed="10"/>
      <name val="Arial Narrow"/>
      <family val="2"/>
    </font>
    <font>
      <sz val="12"/>
      <color indexed="9"/>
      <name val="Arial Narrow"/>
      <family val="2"/>
    </font>
    <font>
      <b/>
      <sz val="10"/>
      <name val="WP MathB"/>
      <charset val="2"/>
    </font>
    <font>
      <b/>
      <sz val="10"/>
      <color indexed="8"/>
      <name val="WP MathB"/>
      <charset val="2"/>
    </font>
    <font>
      <b/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1"/>
      <name val="Calibri"/>
      <family val="2"/>
    </font>
    <font>
      <sz val="10"/>
      <color indexed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Arial Narrow"/>
      <family val="2"/>
    </font>
    <font>
      <sz val="11"/>
      <color theme="1"/>
      <name val="Arial Narrow"/>
      <family val="2"/>
    </font>
    <font>
      <sz val="10"/>
      <color rgb="FF404040"/>
      <name val="Arial"/>
      <family val="2"/>
    </font>
    <font>
      <sz val="12"/>
      <name val="Times New Roman"/>
      <family val="1"/>
    </font>
    <font>
      <sz val="11"/>
      <name val="Calibri"/>
      <family val="2"/>
      <scheme val="minor"/>
    </font>
    <font>
      <sz val="10"/>
      <color theme="1"/>
      <name val="Arial Narrow"/>
      <family val="2"/>
    </font>
    <font>
      <sz val="12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1"/>
      <name val="Arial"/>
      <family val="2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color indexed="8"/>
      <name val="Calibri"/>
      <family val="2"/>
    </font>
    <font>
      <b/>
      <sz val="11"/>
      <color indexed="8"/>
      <name val="Calibri"/>
      <family val="2"/>
    </font>
    <font>
      <sz val="10"/>
      <color rgb="FF000000"/>
      <name val="Verdana"/>
      <family val="2"/>
    </font>
    <font>
      <sz val="12"/>
      <name val="Arial Narrow"/>
      <family val="2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0"/>
      <name val="Arial Narrow"/>
      <family val="2"/>
    </font>
    <font>
      <sz val="10"/>
      <name val="Arial"/>
      <family val="2"/>
    </font>
    <font>
      <sz val="10"/>
      <name val="Courier"/>
      <family val="3"/>
    </font>
    <font>
      <sz val="10"/>
      <name val="MS Sans Serif"/>
      <family val="2"/>
    </font>
    <font>
      <sz val="8"/>
      <color theme="0"/>
      <name val="Arial"/>
      <family val="2"/>
    </font>
    <font>
      <sz val="8"/>
      <color indexed="22"/>
      <name val="Arial Narrow"/>
      <family val="2"/>
    </font>
    <font>
      <b/>
      <sz val="8"/>
      <color indexed="10"/>
      <name val="Arial Narrow"/>
      <family val="2"/>
    </font>
    <font>
      <sz val="8"/>
      <color indexed="9"/>
      <name val="Arial Narrow"/>
      <family val="2"/>
    </font>
    <font>
      <sz val="8"/>
      <color rgb="FF000000"/>
      <name val="Arial Narrow"/>
      <family val="2"/>
    </font>
    <font>
      <sz val="8"/>
      <color theme="1"/>
      <name val="Arial Narrow"/>
      <family val="2"/>
    </font>
    <font>
      <sz val="8"/>
      <color theme="0"/>
      <name val="Arial Narrow"/>
      <family val="2"/>
    </font>
    <font>
      <b/>
      <sz val="8"/>
      <color indexed="12"/>
      <name val="Arial Narrow"/>
      <family val="2"/>
    </font>
    <font>
      <b/>
      <sz val="8"/>
      <color theme="0"/>
      <name val="Arial Narrow"/>
      <family val="2"/>
    </font>
    <font>
      <vertAlign val="superscript"/>
      <sz val="8"/>
      <color rgb="FF000000"/>
      <name val="Arial Narrow"/>
      <family val="2"/>
    </font>
    <font>
      <b/>
      <sz val="8"/>
      <color theme="1"/>
      <name val="Arial Narrow"/>
      <family val="2"/>
    </font>
    <font>
      <u/>
      <sz val="8"/>
      <color indexed="12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D0DCE2"/>
        <bgColor indexed="64"/>
      </patternFill>
    </fill>
    <fill>
      <patternFill patternType="solid">
        <fgColor rgb="FFC4D3DA"/>
        <bgColor indexed="64"/>
      </patternFill>
    </fill>
    <fill>
      <gradientFill degree="270">
        <stop position="0">
          <color theme="0"/>
        </stop>
        <stop position="1">
          <color rgb="FFCCFFCC"/>
        </stop>
      </gradientFill>
    </fill>
    <fill>
      <patternFill patternType="solid">
        <fgColor indexed="42"/>
        <bgColor indexed="64"/>
      </patternFill>
    </fill>
    <fill>
      <gradientFill degree="270">
        <stop position="0">
          <color theme="0"/>
        </stop>
        <stop position="1">
          <color theme="0" tint="-0.34900967436750391"/>
        </stop>
      </gradientFill>
    </fill>
    <fill>
      <patternFill patternType="solid">
        <fgColor rgb="FFDEDEDE"/>
        <bgColor indexed="64"/>
      </patternFill>
    </fill>
    <fill>
      <patternFill patternType="solid">
        <fgColor rgb="FFDEDEDE"/>
        <bgColor auto="1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gradientFill degree="270">
        <stop position="0">
          <color theme="0"/>
        </stop>
        <stop position="1">
          <color rgb="FFC1FFC1"/>
        </stop>
      </gradientFill>
    </fill>
    <fill>
      <patternFill patternType="solid">
        <fgColor theme="9" tint="0.7999511703848384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3FF"/>
        <bgColor indexed="64"/>
      </patternFill>
    </fill>
    <fill>
      <patternFill patternType="solid">
        <fgColor rgb="FFFFF9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A5A5A5"/>
      </patternFill>
    </fill>
    <fill>
      <patternFill patternType="solid">
        <fgColor theme="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/>
        <bgColor auto="1"/>
      </patternFill>
    </fill>
  </fills>
  <borders count="26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ck">
        <color indexed="10"/>
      </top>
      <bottom/>
      <diagonal/>
    </border>
    <border>
      <left style="thick">
        <color indexed="12"/>
      </left>
      <right style="thick">
        <color indexed="10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auto="1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indexed="12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thin">
        <color indexed="64"/>
      </right>
      <top/>
      <bottom style="double">
        <color auto="1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auto="1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auto="1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auto="1"/>
      </top>
      <bottom style="hair">
        <color indexed="64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/>
      <diagonal/>
    </border>
    <border>
      <left style="thin">
        <color indexed="64"/>
      </left>
      <right style="thick">
        <color rgb="FFFF0000"/>
      </right>
      <top/>
      <bottom/>
      <diagonal/>
    </border>
    <border>
      <left style="thin">
        <color indexed="64"/>
      </left>
      <right style="thick">
        <color indexed="10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theme="1" tint="0.499984740745262"/>
      </bottom>
      <diagonal/>
    </border>
    <border>
      <left style="thin">
        <color indexed="64"/>
      </left>
      <right style="thick">
        <color indexed="10"/>
      </right>
      <top style="thin">
        <color indexed="64"/>
      </top>
      <bottom style="thick">
        <color theme="1" tint="0.499984740745262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/>
      <bottom/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0"/>
      </right>
      <top style="hair">
        <color indexed="64"/>
      </top>
      <bottom style="hair">
        <color indexed="0"/>
      </bottom>
      <diagonal/>
    </border>
    <border>
      <left style="hair">
        <color indexed="0"/>
      </left>
      <right style="hair">
        <color indexed="0"/>
      </right>
      <top style="hair">
        <color indexed="64"/>
      </top>
      <bottom style="hair">
        <color indexed="0"/>
      </bottom>
      <diagonal/>
    </border>
    <border>
      <left style="hair">
        <color indexed="0"/>
      </left>
      <right style="double">
        <color indexed="64"/>
      </right>
      <top style="hair">
        <color indexed="64"/>
      </top>
      <bottom style="hair">
        <color indexed="0"/>
      </bottom>
      <diagonal/>
    </border>
    <border>
      <left style="double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indexed="64"/>
      </left>
      <right style="hair">
        <color indexed="64"/>
      </right>
      <top style="hair">
        <color indexed="0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0"/>
      </top>
      <bottom style="hair">
        <color indexed="64"/>
      </bottom>
      <diagonal/>
    </border>
    <border>
      <left style="double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0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auto="1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0"/>
      </right>
      <top style="hair">
        <color indexed="64"/>
      </top>
      <bottom style="hair">
        <color indexed="0"/>
      </bottom>
      <diagonal/>
    </border>
    <border>
      <left style="hair">
        <color indexed="0"/>
      </left>
      <right style="hair">
        <color indexed="0"/>
      </right>
      <top style="hair">
        <color indexed="64"/>
      </top>
      <bottom style="hair">
        <color indexed="0"/>
      </bottom>
      <diagonal/>
    </border>
    <border>
      <left style="hair">
        <color indexed="0"/>
      </left>
      <right style="double">
        <color indexed="64"/>
      </right>
      <top style="hair">
        <color indexed="64"/>
      </top>
      <bottom style="hair">
        <color indexed="0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ck">
        <color indexed="12"/>
      </left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rgb="FF3F3F3F"/>
      </left>
      <right/>
      <top style="double">
        <color rgb="FF3F3F3F"/>
      </top>
      <bottom style="double">
        <color rgb="FF3F3F3F"/>
      </bottom>
      <diagonal/>
    </border>
    <border>
      <left/>
      <right/>
      <top style="double">
        <color rgb="FF3F3F3F"/>
      </top>
      <bottom style="double">
        <color rgb="FF3F3F3F"/>
      </bottom>
      <diagonal/>
    </border>
    <border>
      <left/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/>
      <diagonal/>
    </border>
    <border>
      <left style="medium">
        <color indexed="64"/>
      </left>
      <right style="double">
        <color rgb="FF3F3F3F"/>
      </right>
      <top style="double">
        <color rgb="FF3F3F3F"/>
      </top>
      <bottom/>
      <diagonal/>
    </border>
    <border>
      <left style="double">
        <color rgb="FF3F3F3F"/>
      </left>
      <right style="medium">
        <color indexed="64"/>
      </right>
      <top style="double">
        <color rgb="FF3F3F3F"/>
      </top>
      <bottom/>
      <diagonal/>
    </border>
    <border>
      <left style="medium">
        <color indexed="64"/>
      </left>
      <right/>
      <top style="double">
        <color rgb="FF3F3F3F"/>
      </top>
      <bottom style="double">
        <color rgb="FF3F3F3F"/>
      </bottom>
      <diagonal/>
    </border>
    <border>
      <left/>
      <right style="medium">
        <color indexed="64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</borders>
  <cellStyleXfs count="1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7" fillId="0" borderId="0"/>
    <xf numFmtId="165" fontId="7" fillId="0" borderId="0" applyFont="0" applyFill="0" applyBorder="0" applyAlignment="0" applyProtection="0"/>
    <xf numFmtId="0" fontId="67" fillId="37" borderId="253" applyNumberFormat="0" applyAlignment="0" applyProtection="0"/>
    <xf numFmtId="0" fontId="7" fillId="0" borderId="0"/>
    <xf numFmtId="0" fontId="90" fillId="0" borderId="0"/>
    <xf numFmtId="166" fontId="7" fillId="0" borderId="0" applyFont="0" applyFill="0" applyBorder="0" applyAlignment="0" applyProtection="0"/>
    <xf numFmtId="18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0" fontId="92" fillId="0" borderId="0" applyFont="0" applyFill="0" applyBorder="0" applyAlignment="0" applyProtection="0"/>
    <xf numFmtId="44" fontId="91" fillId="0" borderId="0" applyFont="0" applyFill="0" applyBorder="0" applyAlignment="0" applyProtection="0"/>
  </cellStyleXfs>
  <cellXfs count="2299">
    <xf numFmtId="0" fontId="0" fillId="0" borderId="0" xfId="0"/>
    <xf numFmtId="0" fontId="2" fillId="2" borderId="0" xfId="0" applyFont="1" applyFill="1" applyBorder="1" applyAlignment="1" applyProtection="1">
      <alignment horizontal="center"/>
    </xf>
    <xf numFmtId="0" fontId="3" fillId="3" borderId="0" xfId="0" applyFont="1" applyFill="1" applyBorder="1" applyAlignment="1" applyProtection="1">
      <alignment horizontal="center" vertical="center"/>
      <protection hidden="1"/>
    </xf>
    <xf numFmtId="0" fontId="4" fillId="3" borderId="0" xfId="0" applyFont="1" applyFill="1" applyBorder="1" applyAlignment="1" applyProtection="1">
      <alignment horizontal="left" vertical="center"/>
      <protection hidden="1"/>
    </xf>
    <xf numFmtId="0" fontId="5" fillId="3" borderId="0" xfId="0" applyFont="1" applyFill="1" applyBorder="1" applyAlignment="1" applyProtection="1">
      <alignment vertical="center"/>
      <protection hidden="1"/>
    </xf>
    <xf numFmtId="167" fontId="8" fillId="4" borderId="0" xfId="1" applyNumberFormat="1" applyFont="1" applyFill="1" applyBorder="1" applyAlignment="1" applyProtection="1">
      <alignment vertical="center"/>
      <protection hidden="1"/>
    </xf>
    <xf numFmtId="167" fontId="9" fillId="4" borderId="0" xfId="1" applyNumberFormat="1" applyFont="1" applyFill="1" applyBorder="1" applyAlignment="1" applyProtection="1">
      <alignment horizontal="center" vertical="center"/>
      <protection hidden="1"/>
    </xf>
    <xf numFmtId="167" fontId="10" fillId="4" borderId="0" xfId="1" applyNumberFormat="1" applyFont="1" applyFill="1" applyBorder="1" applyAlignment="1" applyProtection="1">
      <alignment horizontal="center" vertical="center"/>
      <protection hidden="1"/>
    </xf>
    <xf numFmtId="167" fontId="9" fillId="4" borderId="1" xfId="1" applyNumberFormat="1" applyFont="1" applyFill="1" applyBorder="1" applyAlignment="1" applyProtection="1">
      <alignment horizontal="center" vertical="center"/>
      <protection hidden="1"/>
    </xf>
    <xf numFmtId="167" fontId="11" fillId="4" borderId="0" xfId="1" applyNumberFormat="1" applyFont="1" applyFill="1" applyBorder="1" applyAlignment="1" applyProtection="1">
      <alignment horizontal="center" vertical="center"/>
      <protection hidden="1"/>
    </xf>
    <xf numFmtId="167" fontId="10" fillId="5" borderId="2" xfId="1" applyNumberFormat="1" applyFont="1" applyFill="1" applyBorder="1" applyAlignment="1" applyProtection="1">
      <alignment horizontal="center" vertical="center"/>
      <protection hidden="1"/>
    </xf>
    <xf numFmtId="167" fontId="7" fillId="5" borderId="2" xfId="1" applyNumberFormat="1" applyFont="1" applyFill="1" applyBorder="1" applyAlignment="1" applyProtection="1">
      <alignment horizontal="left"/>
      <protection hidden="1"/>
    </xf>
    <xf numFmtId="0" fontId="12" fillId="2" borderId="3" xfId="0" applyFont="1" applyFill="1" applyBorder="1" applyProtection="1">
      <protection hidden="1"/>
    </xf>
    <xf numFmtId="0" fontId="13" fillId="0" borderId="0" xfId="4" applyAlignment="1" applyProtection="1"/>
    <xf numFmtId="0" fontId="13" fillId="0" borderId="0" xfId="4" applyFill="1" applyAlignment="1" applyProtection="1">
      <alignment horizontal="left" wrapText="1"/>
      <protection hidden="1"/>
    </xf>
    <xf numFmtId="0" fontId="0" fillId="0" borderId="0" xfId="0" applyFill="1" applyProtection="1">
      <protection hidden="1"/>
    </xf>
    <xf numFmtId="0" fontId="0" fillId="0" borderId="0" xfId="0" applyFill="1" applyBorder="1" applyProtection="1">
      <protection hidden="1"/>
    </xf>
    <xf numFmtId="0" fontId="0" fillId="0" borderId="4" xfId="0" applyFill="1" applyBorder="1" applyProtection="1">
      <protection hidden="1"/>
    </xf>
    <xf numFmtId="0" fontId="0" fillId="0" borderId="4" xfId="0" applyBorder="1" applyProtection="1">
      <protection hidden="1"/>
    </xf>
    <xf numFmtId="0" fontId="0" fillId="0" borderId="0" xfId="0" applyProtection="1">
      <protection hidden="1"/>
    </xf>
    <xf numFmtId="0" fontId="0" fillId="0" borderId="5" xfId="0" applyFill="1" applyBorder="1" applyAlignment="1" applyProtection="1">
      <alignment horizontal="center" vertical="top"/>
      <protection hidden="1"/>
    </xf>
    <xf numFmtId="49" fontId="7" fillId="0" borderId="6" xfId="0" applyNumberFormat="1" applyFont="1" applyBorder="1" applyAlignment="1" applyProtection="1">
      <alignment horizontal="center" vertical="top"/>
      <protection locked="0"/>
    </xf>
    <xf numFmtId="0" fontId="14" fillId="0" borderId="7" xfId="0" applyFont="1" applyBorder="1" applyAlignment="1" applyProtection="1">
      <alignment vertical="top" wrapText="1"/>
      <protection hidden="1"/>
    </xf>
    <xf numFmtId="0" fontId="0" fillId="0" borderId="7" xfId="0" applyBorder="1" applyAlignment="1" applyProtection="1">
      <alignment horizontal="center" vertical="top"/>
      <protection hidden="1"/>
    </xf>
    <xf numFmtId="0" fontId="0" fillId="0" borderId="7" xfId="0" applyBorder="1" applyAlignment="1" applyProtection="1">
      <alignment horizontal="right" vertical="top"/>
      <protection locked="0"/>
    </xf>
    <xf numFmtId="167" fontId="0" fillId="0" borderId="7" xfId="1" applyNumberFormat="1" applyFont="1" applyBorder="1" applyAlignment="1" applyProtection="1">
      <alignment horizontal="right" vertical="top"/>
      <protection hidden="1"/>
    </xf>
    <xf numFmtId="166" fontId="0" fillId="0" borderId="8" xfId="1" applyNumberFormat="1" applyFont="1" applyBorder="1" applyAlignment="1" applyProtection="1">
      <alignment horizontal="right" vertical="top"/>
      <protection hidden="1"/>
    </xf>
    <xf numFmtId="167" fontId="0" fillId="0" borderId="9" xfId="1" applyNumberFormat="1" applyFont="1" applyBorder="1" applyAlignment="1" applyProtection="1">
      <alignment horizontal="right" vertical="top"/>
      <protection hidden="1"/>
    </xf>
    <xf numFmtId="166" fontId="0" fillId="0" borderId="10" xfId="1" applyNumberFormat="1" applyFont="1" applyBorder="1" applyAlignment="1" applyProtection="1">
      <alignment horizontal="right" vertical="top"/>
      <protection hidden="1"/>
    </xf>
    <xf numFmtId="166" fontId="0" fillId="0" borderId="11" xfId="1" applyNumberFormat="1" applyFont="1" applyBorder="1" applyAlignment="1" applyProtection="1">
      <alignment horizontal="right" vertical="top"/>
      <protection hidden="1"/>
    </xf>
    <xf numFmtId="0" fontId="15" fillId="3" borderId="0" xfId="0" quotePrefix="1" applyFont="1" applyFill="1" applyBorder="1" applyAlignment="1" applyProtection="1">
      <alignment horizontal="center" vertical="center"/>
      <protection hidden="1"/>
    </xf>
    <xf numFmtId="0" fontId="16" fillId="3" borderId="0" xfId="0" applyFont="1" applyFill="1" applyBorder="1" applyAlignment="1" applyProtection="1">
      <alignment horizontal="left" vertical="center"/>
      <protection hidden="1"/>
    </xf>
    <xf numFmtId="0" fontId="0" fillId="3" borderId="0" xfId="0" applyFill="1" applyBorder="1" applyProtection="1">
      <protection hidden="1"/>
    </xf>
    <xf numFmtId="167" fontId="17" fillId="4" borderId="0" xfId="0" applyNumberFormat="1" applyFont="1" applyFill="1" applyBorder="1" applyAlignment="1" applyProtection="1">
      <alignment horizontal="right" vertical="center"/>
      <protection hidden="1"/>
    </xf>
    <xf numFmtId="166" fontId="18" fillId="4" borderId="0" xfId="0" applyNumberFormat="1" applyFont="1" applyFill="1" applyBorder="1" applyAlignment="1" applyProtection="1">
      <alignment horizontal="right" vertical="center"/>
      <protection hidden="1"/>
    </xf>
    <xf numFmtId="168" fontId="19" fillId="4" borderId="1" xfId="0" applyNumberFormat="1" applyFont="1" applyFill="1" applyBorder="1" applyAlignment="1" applyProtection="1">
      <alignment horizontal="center" vertical="center"/>
      <protection hidden="1"/>
    </xf>
    <xf numFmtId="166" fontId="3" fillId="4" borderId="0" xfId="0" applyNumberFormat="1" applyFont="1" applyFill="1" applyBorder="1" applyAlignment="1" applyProtection="1">
      <alignment horizontal="right" vertical="center"/>
      <protection hidden="1"/>
    </xf>
    <xf numFmtId="166" fontId="3" fillId="6" borderId="12" xfId="0" applyNumberFormat="1" applyFont="1" applyFill="1" applyBorder="1" applyAlignment="1" applyProtection="1">
      <alignment horizontal="right" vertical="center"/>
      <protection hidden="1"/>
    </xf>
    <xf numFmtId="0" fontId="0" fillId="0" borderId="0" xfId="0" applyBorder="1" applyProtection="1">
      <protection hidden="1"/>
    </xf>
    <xf numFmtId="0" fontId="0" fillId="0" borderId="0" xfId="0" applyFill="1" applyBorder="1" applyAlignment="1" applyProtection="1">
      <alignment vertical="top"/>
    </xf>
    <xf numFmtId="0" fontId="20" fillId="0" borderId="0" xfId="0" applyFont="1" applyFill="1" applyBorder="1" applyAlignment="1" applyProtection="1">
      <alignment horizontal="center" vertical="center" wrapText="1"/>
      <protection hidden="1"/>
    </xf>
    <xf numFmtId="0" fontId="21" fillId="0" borderId="0" xfId="0" applyFont="1" applyFill="1" applyBorder="1" applyAlignment="1" applyProtection="1">
      <alignment horizontal="center" vertical="top"/>
      <protection hidden="1"/>
    </xf>
    <xf numFmtId="0" fontId="0" fillId="0" borderId="0" xfId="0" applyFill="1" applyProtection="1">
      <protection locked="0"/>
    </xf>
    <xf numFmtId="0" fontId="0" fillId="0" borderId="0" xfId="0" applyFill="1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7" fillId="0" borderId="5" xfId="0" applyFont="1" applyBorder="1" applyAlignment="1" applyProtection="1">
      <alignment horizontal="right" vertical="top"/>
      <protection locked="0"/>
    </xf>
    <xf numFmtId="15" fontId="7" fillId="0" borderId="25" xfId="0" applyNumberFormat="1" applyFont="1" applyBorder="1" applyAlignment="1" applyProtection="1">
      <alignment horizontal="center" vertical="top" wrapText="1"/>
      <protection locked="0"/>
    </xf>
    <xf numFmtId="15" fontId="7" fillId="0" borderId="0" xfId="0" applyNumberFormat="1" applyFont="1" applyBorder="1" applyAlignment="1" applyProtection="1">
      <alignment horizontal="center" vertical="top" wrapText="1"/>
      <protection hidden="1"/>
    </xf>
    <xf numFmtId="43" fontId="3" fillId="0" borderId="0" xfId="1" applyFont="1" applyFill="1" applyBorder="1" applyAlignment="1" applyProtection="1">
      <alignment horizontal="center" vertical="top"/>
      <protection hidden="1"/>
    </xf>
    <xf numFmtId="169" fontId="14" fillId="0" borderId="0" xfId="1" applyNumberFormat="1" applyFont="1" applyBorder="1" applyAlignment="1" applyProtection="1">
      <alignment horizontal="center" vertical="top"/>
      <protection hidden="1"/>
    </xf>
    <xf numFmtId="169" fontId="1" fillId="0" borderId="0" xfId="1" applyNumberFormat="1" applyFill="1" applyBorder="1" applyAlignment="1" applyProtection="1">
      <alignment horizontal="center" vertical="top"/>
      <protection hidden="1"/>
    </xf>
    <xf numFmtId="0" fontId="0" fillId="0" borderId="0" xfId="0" applyBorder="1" applyAlignment="1" applyProtection="1">
      <alignment vertical="top"/>
      <protection locked="0"/>
    </xf>
    <xf numFmtId="0" fontId="0" fillId="0" borderId="0" xfId="0" applyBorder="1" applyAlignment="1" applyProtection="1">
      <alignment vertical="top" wrapText="1"/>
      <protection locked="0"/>
    </xf>
    <xf numFmtId="0" fontId="0" fillId="0" borderId="0" xfId="0" applyBorder="1" applyAlignment="1" applyProtection="1">
      <alignment horizontal="center" vertical="top"/>
      <protection locked="0"/>
    </xf>
    <xf numFmtId="0" fontId="0" fillId="0" borderId="0" xfId="0" applyBorder="1" applyAlignment="1" applyProtection="1">
      <alignment horizontal="right" vertical="top"/>
      <protection locked="0"/>
    </xf>
    <xf numFmtId="167" fontId="0" fillId="0" borderId="0" xfId="1" applyNumberFormat="1" applyFont="1" applyBorder="1" applyAlignment="1" applyProtection="1">
      <alignment vertical="top"/>
      <protection locked="0"/>
    </xf>
    <xf numFmtId="43" fontId="0" fillId="0" borderId="0" xfId="1" applyFont="1" applyBorder="1" applyAlignment="1" applyProtection="1">
      <alignment vertical="top"/>
      <protection hidden="1"/>
    </xf>
    <xf numFmtId="43" fontId="0" fillId="0" borderId="0" xfId="1" applyFont="1" applyFill="1" applyBorder="1" applyAlignment="1" applyProtection="1">
      <alignment vertical="top"/>
      <protection hidden="1"/>
    </xf>
    <xf numFmtId="0" fontId="0" fillId="2" borderId="0" xfId="0" applyFill="1" applyBorder="1" applyAlignment="1" applyProtection="1">
      <alignment vertical="top"/>
    </xf>
    <xf numFmtId="0" fontId="8" fillId="7" borderId="35" xfId="0" applyFont="1" applyFill="1" applyBorder="1" applyAlignment="1" applyProtection="1">
      <alignment horizontal="center" vertical="center"/>
      <protection hidden="1"/>
    </xf>
    <xf numFmtId="167" fontId="8" fillId="7" borderId="35" xfId="1" applyNumberFormat="1" applyFont="1" applyFill="1" applyBorder="1" applyAlignment="1" applyProtection="1">
      <alignment horizontal="center" vertical="center" wrapText="1"/>
      <protection hidden="1"/>
    </xf>
    <xf numFmtId="43" fontId="17" fillId="0" borderId="35" xfId="1" applyFont="1" applyBorder="1" applyAlignment="1" applyProtection="1">
      <alignment horizontal="center" vertical="center"/>
      <protection hidden="1"/>
    </xf>
    <xf numFmtId="43" fontId="8" fillId="8" borderId="35" xfId="1" applyFont="1" applyFill="1" applyBorder="1" applyAlignment="1" applyProtection="1">
      <alignment horizontal="center" vertical="center" wrapText="1"/>
      <protection hidden="1"/>
    </xf>
    <xf numFmtId="43" fontId="23" fillId="9" borderId="35" xfId="1" applyFont="1" applyFill="1" applyBorder="1" applyAlignment="1" applyProtection="1">
      <alignment horizontal="center" vertical="center" wrapText="1"/>
      <protection hidden="1"/>
    </xf>
    <xf numFmtId="43" fontId="8" fillId="9" borderId="35" xfId="1" applyFont="1" applyFill="1" applyBorder="1" applyAlignment="1" applyProtection="1">
      <alignment horizontal="center" vertical="center" wrapText="1"/>
      <protection hidden="1"/>
    </xf>
    <xf numFmtId="0" fontId="0" fillId="0" borderId="0" xfId="0" applyFill="1" applyAlignment="1" applyProtection="1">
      <alignment vertical="top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horizontal="right" vertical="top"/>
    </xf>
    <xf numFmtId="167" fontId="0" fillId="0" borderId="0" xfId="1" applyNumberFormat="1" applyFont="1" applyAlignment="1">
      <alignment vertical="top"/>
    </xf>
    <xf numFmtId="0" fontId="0" fillId="2" borderId="3" xfId="0" applyFill="1" applyBorder="1" applyProtection="1">
      <protection hidden="1"/>
    </xf>
    <xf numFmtId="0" fontId="0" fillId="0" borderId="36" xfId="0" applyFill="1" applyBorder="1" applyAlignment="1" applyProtection="1">
      <alignment horizontal="center" vertical="top"/>
      <protection locked="0"/>
    </xf>
    <xf numFmtId="0" fontId="24" fillId="10" borderId="37" xfId="0" applyFont="1" applyFill="1" applyBorder="1" applyAlignment="1" applyProtection="1">
      <alignment horizontal="center" vertical="top" wrapText="1"/>
      <protection locked="0" hidden="1"/>
    </xf>
    <xf numFmtId="0" fontId="24" fillId="10" borderId="38" xfId="0" applyFont="1" applyFill="1" applyBorder="1" applyAlignment="1" applyProtection="1">
      <alignment vertical="top"/>
      <protection locked="0"/>
    </xf>
    <xf numFmtId="0" fontId="8" fillId="10" borderId="38" xfId="0" applyFont="1" applyFill="1" applyBorder="1" applyAlignment="1" applyProtection="1">
      <alignment vertical="top" wrapText="1"/>
      <protection hidden="1"/>
    </xf>
    <xf numFmtId="167" fontId="24" fillId="10" borderId="39" xfId="0" applyNumberFormat="1" applyFont="1" applyFill="1" applyBorder="1" applyAlignment="1" applyProtection="1">
      <alignment horizontal="right" vertical="top" wrapText="1"/>
      <protection hidden="1"/>
    </xf>
    <xf numFmtId="3" fontId="24" fillId="0" borderId="18" xfId="0" applyNumberFormat="1" applyFont="1" applyFill="1" applyBorder="1" applyAlignment="1" applyProtection="1">
      <alignment horizontal="right" vertical="top" wrapText="1"/>
      <protection hidden="1"/>
    </xf>
    <xf numFmtId="43" fontId="5" fillId="0" borderId="0" xfId="1" applyFont="1" applyFill="1" applyBorder="1" applyAlignment="1" applyProtection="1">
      <alignment vertical="top"/>
      <protection hidden="1"/>
    </xf>
    <xf numFmtId="43" fontId="5" fillId="11" borderId="40" xfId="1" applyFont="1" applyFill="1" applyBorder="1" applyAlignment="1" applyProtection="1">
      <alignment vertical="top"/>
      <protection hidden="1"/>
    </xf>
    <xf numFmtId="43" fontId="5" fillId="11" borderId="41" xfId="1" applyFont="1" applyFill="1" applyBorder="1" applyAlignment="1" applyProtection="1">
      <alignment vertical="top"/>
      <protection hidden="1"/>
    </xf>
    <xf numFmtId="43" fontId="5" fillId="11" borderId="42" xfId="1" applyFont="1" applyFill="1" applyBorder="1" applyAlignment="1" applyProtection="1">
      <alignment vertical="top"/>
      <protection hidden="1"/>
    </xf>
    <xf numFmtId="43" fontId="25" fillId="11" borderId="43" xfId="1" applyFont="1" applyFill="1" applyBorder="1" applyAlignment="1" applyProtection="1">
      <alignment vertical="top"/>
      <protection hidden="1"/>
    </xf>
    <xf numFmtId="0" fontId="0" fillId="2" borderId="44" xfId="0" applyFill="1" applyBorder="1" applyAlignment="1" applyProtection="1">
      <alignment horizontal="center" vertical="top"/>
      <protection locked="0"/>
    </xf>
    <xf numFmtId="0" fontId="7" fillId="0" borderId="45" xfId="0" applyFont="1" applyBorder="1" applyAlignment="1" applyProtection="1">
      <alignment horizontal="center" vertical="top"/>
      <protection locked="0" hidden="1"/>
    </xf>
    <xf numFmtId="0" fontId="14" fillId="0" borderId="41" xfId="0" applyFont="1" applyBorder="1" applyAlignment="1" applyProtection="1">
      <alignment vertical="top" wrapText="1"/>
      <protection hidden="1"/>
    </xf>
    <xf numFmtId="0" fontId="0" fillId="0" borderId="41" xfId="0" applyBorder="1" applyAlignment="1" applyProtection="1">
      <alignment horizontal="center" vertical="top"/>
      <protection hidden="1"/>
    </xf>
    <xf numFmtId="0" fontId="0" fillId="0" borderId="41" xfId="0" applyBorder="1" applyAlignment="1" applyProtection="1">
      <alignment horizontal="right" vertical="top"/>
      <protection locked="0" hidden="1"/>
    </xf>
    <xf numFmtId="167" fontId="0" fillId="0" borderId="41" xfId="1" applyNumberFormat="1" applyFont="1" applyBorder="1" applyAlignment="1" applyProtection="1">
      <alignment horizontal="right" vertical="top"/>
      <protection hidden="1"/>
    </xf>
    <xf numFmtId="167" fontId="0" fillId="0" borderId="46" xfId="1" applyNumberFormat="1" applyFont="1" applyBorder="1" applyAlignment="1" applyProtection="1">
      <alignment horizontal="right" vertical="top"/>
      <protection hidden="1"/>
    </xf>
    <xf numFmtId="167" fontId="0" fillId="0" borderId="47" xfId="1" applyNumberFormat="1" applyFont="1" applyBorder="1" applyAlignment="1" applyProtection="1">
      <alignment horizontal="right" vertical="top"/>
      <protection hidden="1"/>
    </xf>
    <xf numFmtId="167" fontId="0" fillId="0" borderId="42" xfId="1" applyNumberFormat="1" applyFont="1" applyBorder="1" applyAlignment="1" applyProtection="1">
      <alignment horizontal="right" vertical="top"/>
      <protection hidden="1"/>
    </xf>
    <xf numFmtId="167" fontId="0" fillId="0" borderId="43" xfId="1" applyNumberFormat="1" applyFont="1" applyBorder="1" applyAlignment="1" applyProtection="1">
      <alignment horizontal="right" vertical="top"/>
      <protection hidden="1"/>
    </xf>
    <xf numFmtId="167" fontId="0" fillId="0" borderId="48" xfId="1" applyNumberFormat="1" applyFont="1" applyBorder="1" applyAlignment="1" applyProtection="1">
      <alignment horizontal="right" vertical="top"/>
      <protection hidden="1"/>
    </xf>
    <xf numFmtId="167" fontId="0" fillId="0" borderId="0" xfId="1" applyNumberFormat="1" applyFont="1" applyBorder="1" applyAlignment="1" applyProtection="1">
      <alignment horizontal="right" vertical="top"/>
      <protection hidden="1"/>
    </xf>
    <xf numFmtId="3" fontId="0" fillId="0" borderId="49" xfId="1" applyNumberFormat="1" applyFont="1" applyBorder="1" applyAlignment="1" applyProtection="1">
      <alignment horizontal="right" vertical="top"/>
      <protection hidden="1"/>
    </xf>
    <xf numFmtId="3" fontId="0" fillId="0" borderId="7" xfId="1" applyNumberFormat="1" applyFont="1" applyBorder="1" applyAlignment="1" applyProtection="1">
      <alignment horizontal="right" vertical="top"/>
      <protection hidden="1"/>
    </xf>
    <xf numFmtId="3" fontId="0" fillId="0" borderId="10" xfId="1" applyNumberFormat="1" applyFont="1" applyBorder="1" applyAlignment="1" applyProtection="1">
      <alignment horizontal="right" vertical="top"/>
      <protection hidden="1"/>
    </xf>
    <xf numFmtId="3" fontId="8" fillId="0" borderId="11" xfId="1" applyNumberFormat="1" applyFont="1" applyBorder="1" applyAlignment="1" applyProtection="1">
      <alignment horizontal="right" vertical="top"/>
      <protection hidden="1"/>
    </xf>
    <xf numFmtId="0" fontId="0" fillId="2" borderId="50" xfId="0" applyFill="1" applyBorder="1" applyAlignment="1" applyProtection="1">
      <alignment horizontal="center" vertical="top" wrapText="1"/>
      <protection locked="0"/>
    </xf>
    <xf numFmtId="0" fontId="7" fillId="0" borderId="51" xfId="0" applyFont="1" applyBorder="1" applyAlignment="1" applyProtection="1">
      <alignment horizontal="center" vertical="top" wrapText="1"/>
      <protection locked="0" hidden="1"/>
    </xf>
    <xf numFmtId="0" fontId="14" fillId="0" borderId="52" xfId="0" applyFont="1" applyBorder="1" applyAlignment="1" applyProtection="1">
      <alignment vertical="top" wrapText="1"/>
      <protection hidden="1"/>
    </xf>
    <xf numFmtId="0" fontId="0" fillId="0" borderId="52" xfId="0" applyBorder="1" applyAlignment="1" applyProtection="1">
      <alignment horizontal="right" vertical="top" wrapText="1"/>
      <protection locked="0" hidden="1"/>
    </xf>
    <xf numFmtId="0" fontId="0" fillId="0" borderId="52" xfId="0" applyBorder="1" applyAlignment="1" applyProtection="1">
      <alignment horizontal="center" vertical="top" wrapText="1"/>
      <protection hidden="1"/>
    </xf>
    <xf numFmtId="0" fontId="0" fillId="0" borderId="53" xfId="0" applyFill="1" applyBorder="1" applyAlignment="1" applyProtection="1">
      <alignment horizontal="center" vertical="top"/>
      <protection locked="0"/>
    </xf>
    <xf numFmtId="0" fontId="7" fillId="0" borderId="6" xfId="0" applyFont="1" applyBorder="1" applyAlignment="1" applyProtection="1">
      <alignment horizontal="center" vertical="top"/>
      <protection locked="0" hidden="1"/>
    </xf>
    <xf numFmtId="0" fontId="0" fillId="0" borderId="7" xfId="0" applyBorder="1" applyAlignment="1" applyProtection="1">
      <alignment horizontal="right" vertical="top"/>
      <protection locked="0" hidden="1"/>
    </xf>
    <xf numFmtId="167" fontId="0" fillId="0" borderId="8" xfId="1" applyNumberFormat="1" applyFont="1" applyBorder="1" applyAlignment="1" applyProtection="1">
      <alignment horizontal="right" vertical="top"/>
      <protection hidden="1"/>
    </xf>
    <xf numFmtId="167" fontId="0" fillId="0" borderId="10" xfId="1" applyNumberFormat="1" applyFont="1" applyBorder="1" applyAlignment="1" applyProtection="1">
      <alignment horizontal="right" vertical="top"/>
      <protection hidden="1"/>
    </xf>
    <xf numFmtId="167" fontId="0" fillId="0" borderId="11" xfId="1" applyNumberFormat="1" applyFont="1" applyBorder="1" applyAlignment="1" applyProtection="1">
      <alignment horizontal="right" vertical="top"/>
      <protection hidden="1"/>
    </xf>
    <xf numFmtId="167" fontId="0" fillId="0" borderId="54" xfId="1" applyNumberFormat="1" applyFont="1" applyBorder="1" applyAlignment="1" applyProtection="1">
      <alignment horizontal="right" vertical="top"/>
      <protection hidden="1"/>
    </xf>
    <xf numFmtId="0" fontId="0" fillId="2" borderId="55" xfId="0" applyFill="1" applyBorder="1" applyAlignment="1" applyProtection="1">
      <alignment horizontal="center" vertical="top"/>
      <protection locked="0"/>
    </xf>
    <xf numFmtId="0" fontId="7" fillId="10" borderId="56" xfId="0" applyFont="1" applyFill="1" applyBorder="1" applyAlignment="1" applyProtection="1">
      <alignment horizontal="center" vertical="top"/>
      <protection locked="0" hidden="1"/>
    </xf>
    <xf numFmtId="0" fontId="14" fillId="10" borderId="57" xfId="0" applyFont="1" applyFill="1" applyBorder="1" applyAlignment="1" applyProtection="1">
      <alignment vertical="top" wrapText="1"/>
      <protection hidden="1"/>
    </xf>
    <xf numFmtId="0" fontId="0" fillId="10" borderId="57" xfId="0" applyFill="1" applyBorder="1" applyAlignment="1" applyProtection="1">
      <alignment horizontal="center" vertical="top"/>
      <protection hidden="1"/>
    </xf>
    <xf numFmtId="0" fontId="0" fillId="10" borderId="57" xfId="0" applyFill="1" applyBorder="1" applyAlignment="1" applyProtection="1">
      <alignment horizontal="right" vertical="top"/>
      <protection locked="0" hidden="1"/>
    </xf>
    <xf numFmtId="167" fontId="24" fillId="10" borderId="57" xfId="1" applyNumberFormat="1" applyFont="1" applyFill="1" applyBorder="1" applyAlignment="1" applyProtection="1">
      <alignment horizontal="right" vertical="top"/>
      <protection hidden="1"/>
    </xf>
    <xf numFmtId="167" fontId="24" fillId="10" borderId="58" xfId="1" applyNumberFormat="1" applyFont="1" applyFill="1" applyBorder="1" applyAlignment="1" applyProtection="1">
      <alignment horizontal="right" vertical="top"/>
      <protection hidden="1"/>
    </xf>
    <xf numFmtId="167" fontId="24" fillId="0" borderId="35" xfId="1" applyNumberFormat="1" applyFont="1" applyBorder="1" applyAlignment="1" applyProtection="1">
      <alignment horizontal="right" vertical="top"/>
      <protection hidden="1"/>
    </xf>
    <xf numFmtId="3" fontId="0" fillId="11" borderId="59" xfId="1" applyNumberFormat="1" applyFont="1" applyFill="1" applyBorder="1" applyAlignment="1" applyProtection="1">
      <alignment horizontal="right" vertical="top"/>
      <protection hidden="1"/>
    </xf>
    <xf numFmtId="3" fontId="0" fillId="11" borderId="60" xfId="1" applyNumberFormat="1" applyFont="1" applyFill="1" applyBorder="1" applyAlignment="1" applyProtection="1">
      <alignment horizontal="right" vertical="top"/>
      <protection hidden="1"/>
    </xf>
    <xf numFmtId="3" fontId="0" fillId="11" borderId="61" xfId="1" applyNumberFormat="1" applyFont="1" applyFill="1" applyBorder="1" applyAlignment="1" applyProtection="1">
      <alignment horizontal="right" vertical="top"/>
      <protection hidden="1"/>
    </xf>
    <xf numFmtId="3" fontId="8" fillId="11" borderId="62" xfId="1" applyNumberFormat="1" applyFont="1" applyFill="1" applyBorder="1" applyAlignment="1" applyProtection="1">
      <alignment horizontal="right" vertical="top"/>
      <protection hidden="1"/>
    </xf>
    <xf numFmtId="0" fontId="0" fillId="0" borderId="0" xfId="0" applyFill="1" applyAlignment="1" applyProtection="1">
      <alignment vertical="top"/>
      <protection locked="0"/>
    </xf>
    <xf numFmtId="43" fontId="0" fillId="0" borderId="0" xfId="1" applyFont="1" applyAlignment="1">
      <alignment vertical="top"/>
    </xf>
    <xf numFmtId="4" fontId="24" fillId="10" borderId="39" xfId="0" applyNumberFormat="1" applyFont="1" applyFill="1" applyBorder="1" applyAlignment="1" applyProtection="1">
      <alignment horizontal="right" vertical="top" wrapText="1"/>
      <protection hidden="1"/>
    </xf>
    <xf numFmtId="0" fontId="0" fillId="2" borderId="63" xfId="0" applyFill="1" applyBorder="1" applyAlignment="1" applyProtection="1">
      <alignment horizontal="center" vertical="top" wrapText="1"/>
      <protection locked="0"/>
    </xf>
    <xf numFmtId="0" fontId="7" fillId="0" borderId="64" xfId="0" applyFont="1" applyBorder="1" applyAlignment="1" applyProtection="1">
      <alignment horizontal="center" vertical="top" wrapText="1"/>
      <protection locked="0" hidden="1"/>
    </xf>
    <xf numFmtId="0" fontId="14" fillId="0" borderId="65" xfId="0" applyFont="1" applyBorder="1" applyAlignment="1" applyProtection="1">
      <alignment vertical="top" wrapText="1"/>
      <protection hidden="1"/>
    </xf>
    <xf numFmtId="0" fontId="0" fillId="0" borderId="65" xfId="0" applyBorder="1" applyAlignment="1" applyProtection="1">
      <alignment horizontal="center" vertical="top" wrapText="1"/>
      <protection hidden="1"/>
    </xf>
    <xf numFmtId="0" fontId="0" fillId="0" borderId="65" xfId="0" applyBorder="1" applyAlignment="1" applyProtection="1">
      <alignment horizontal="right" vertical="top" wrapText="1"/>
      <protection locked="0" hidden="1"/>
    </xf>
    <xf numFmtId="0" fontId="0" fillId="2" borderId="66" xfId="0" quotePrefix="1" applyFill="1" applyBorder="1" applyAlignment="1" applyProtection="1">
      <alignment horizontal="center" vertical="top" wrapText="1"/>
      <protection locked="0"/>
    </xf>
    <xf numFmtId="0" fontId="7" fillId="0" borderId="67" xfId="0" applyFont="1" applyBorder="1" applyAlignment="1" applyProtection="1">
      <alignment horizontal="center" vertical="top" wrapText="1"/>
      <protection locked="0" hidden="1"/>
    </xf>
    <xf numFmtId="0" fontId="14" fillId="0" borderId="68" xfId="0" applyFont="1" applyBorder="1" applyAlignment="1" applyProtection="1">
      <alignment vertical="top" wrapText="1"/>
      <protection hidden="1"/>
    </xf>
    <xf numFmtId="0" fontId="0" fillId="0" borderId="68" xfId="0" applyBorder="1" applyAlignment="1" applyProtection="1">
      <alignment horizontal="center" vertical="top" wrapText="1"/>
      <protection hidden="1"/>
    </xf>
    <xf numFmtId="0" fontId="0" fillId="0" borderId="68" xfId="0" applyBorder="1" applyAlignment="1" applyProtection="1">
      <alignment horizontal="right" vertical="top" wrapText="1"/>
      <protection locked="0" hidden="1"/>
    </xf>
    <xf numFmtId="166" fontId="24" fillId="10" borderId="58" xfId="1" applyNumberFormat="1" applyFont="1" applyFill="1" applyBorder="1" applyAlignment="1" applyProtection="1">
      <alignment horizontal="right" vertical="top"/>
      <protection hidden="1"/>
    </xf>
    <xf numFmtId="0" fontId="0" fillId="2" borderId="69" xfId="0" applyFill="1" applyBorder="1" applyAlignment="1" applyProtection="1">
      <alignment horizontal="center" vertical="top" wrapText="1"/>
      <protection locked="0"/>
    </xf>
    <xf numFmtId="0" fontId="7" fillId="0" borderId="70" xfId="0" applyFont="1" applyBorder="1" applyAlignment="1" applyProtection="1">
      <alignment horizontal="center" vertical="top" wrapText="1"/>
      <protection locked="0" hidden="1"/>
    </xf>
    <xf numFmtId="0" fontId="14" fillId="0" borderId="71" xfId="0" applyFont="1" applyBorder="1" applyAlignment="1" applyProtection="1">
      <alignment vertical="top" wrapText="1"/>
      <protection hidden="1"/>
    </xf>
    <xf numFmtId="0" fontId="0" fillId="0" borderId="71" xfId="0" applyBorder="1" applyAlignment="1" applyProtection="1">
      <alignment horizontal="center" vertical="top" wrapText="1"/>
      <protection hidden="1"/>
    </xf>
    <xf numFmtId="0" fontId="0" fillId="0" borderId="71" xfId="0" applyBorder="1" applyAlignment="1" applyProtection="1">
      <alignment horizontal="right" vertical="top" wrapText="1"/>
      <protection locked="0" hidden="1"/>
    </xf>
    <xf numFmtId="0" fontId="0" fillId="2" borderId="66" xfId="0" applyFill="1" applyBorder="1" applyAlignment="1" applyProtection="1">
      <alignment horizontal="center" vertical="top" wrapText="1"/>
      <protection locked="0"/>
    </xf>
    <xf numFmtId="0" fontId="3" fillId="2" borderId="0" xfId="0" applyFont="1" applyFill="1" applyAlignment="1" applyProtection="1">
      <alignment horizontal="center" vertical="center"/>
    </xf>
    <xf numFmtId="0" fontId="0" fillId="10" borderId="5" xfId="0" applyFill="1" applyBorder="1" applyAlignment="1" applyProtection="1">
      <alignment vertical="center"/>
      <protection hidden="1"/>
    </xf>
    <xf numFmtId="0" fontId="0" fillId="10" borderId="72" xfId="0" applyFill="1" applyBorder="1" applyAlignment="1" applyProtection="1">
      <alignment vertical="center"/>
      <protection hidden="1"/>
    </xf>
    <xf numFmtId="0" fontId="24" fillId="10" borderId="72" xfId="0" applyFont="1" applyFill="1" applyBorder="1" applyAlignment="1" applyProtection="1">
      <alignment horizontal="right" vertical="center"/>
      <protection hidden="1"/>
    </xf>
    <xf numFmtId="3" fontId="24" fillId="13" borderId="7" xfId="1" applyNumberFormat="1" applyFont="1" applyFill="1" applyBorder="1" applyAlignment="1" applyProtection="1">
      <alignment horizontal="right" vertical="center"/>
      <protection hidden="1"/>
    </xf>
    <xf numFmtId="4" fontId="23" fillId="13" borderId="7" xfId="1" applyNumberFormat="1" applyFont="1" applyFill="1" applyBorder="1" applyAlignment="1" applyProtection="1">
      <alignment horizontal="right" vertical="center"/>
      <protection hidden="1"/>
    </xf>
    <xf numFmtId="4" fontId="23" fillId="13" borderId="11" xfId="1" applyNumberFormat="1" applyFont="1" applyFill="1" applyBorder="1" applyAlignment="1" applyProtection="1">
      <alignment horizontal="right" vertical="center"/>
      <protection hidden="1"/>
    </xf>
    <xf numFmtId="3" fontId="24" fillId="13" borderId="73" xfId="1" applyNumberFormat="1" applyFont="1" applyFill="1" applyBorder="1" applyAlignment="1" applyProtection="1">
      <alignment horizontal="right" vertical="center"/>
      <protection hidden="1"/>
    </xf>
    <xf numFmtId="43" fontId="0" fillId="0" borderId="0" xfId="1" applyFont="1" applyAlignment="1" applyProtection="1">
      <alignment vertical="center"/>
      <protection hidden="1"/>
    </xf>
    <xf numFmtId="3" fontId="24" fillId="13" borderId="74" xfId="1" applyNumberFormat="1" applyFont="1" applyFill="1" applyBorder="1" applyAlignment="1" applyProtection="1">
      <alignment horizontal="right" vertical="center"/>
      <protection hidden="1"/>
    </xf>
    <xf numFmtId="3" fontId="24" fillId="13" borderId="75" xfId="1" applyNumberFormat="1" applyFont="1" applyFill="1" applyBorder="1" applyAlignment="1" applyProtection="1">
      <alignment horizontal="right" vertical="center"/>
      <protection hidden="1"/>
    </xf>
    <xf numFmtId="0" fontId="26" fillId="0" borderId="0" xfId="0" applyFont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vertical="top" wrapText="1"/>
      <protection hidden="1"/>
    </xf>
    <xf numFmtId="43" fontId="5" fillId="0" borderId="0" xfId="1" applyFont="1" applyAlignment="1" applyProtection="1">
      <alignment vertical="top"/>
      <protection hidden="1"/>
    </xf>
    <xf numFmtId="43" fontId="0" fillId="0" borderId="0" xfId="1" applyFont="1" applyAlignment="1" applyProtection="1">
      <alignment vertical="top"/>
      <protection hidden="1"/>
    </xf>
    <xf numFmtId="43" fontId="26" fillId="0" borderId="0" xfId="1" applyFont="1" applyFill="1" applyBorder="1" applyAlignment="1" applyProtection="1">
      <alignment vertical="top"/>
      <protection hidden="1"/>
    </xf>
    <xf numFmtId="0" fontId="3" fillId="2" borderId="0" xfId="0" applyFont="1" applyFill="1" applyAlignment="1" applyProtection="1">
      <alignment horizontal="center" vertical="top"/>
    </xf>
    <xf numFmtId="0" fontId="24" fillId="14" borderId="5" xfId="0" applyFont="1" applyFill="1" applyBorder="1" applyAlignment="1" applyProtection="1">
      <alignment vertical="top" wrapText="1"/>
      <protection hidden="1"/>
    </xf>
    <xf numFmtId="0" fontId="0" fillId="14" borderId="72" xfId="0" applyFill="1" applyBorder="1" applyAlignment="1" applyProtection="1">
      <alignment horizontal="center" vertical="top"/>
      <protection hidden="1"/>
    </xf>
    <xf numFmtId="0" fontId="0" fillId="14" borderId="72" xfId="0" applyFill="1" applyBorder="1" applyAlignment="1" applyProtection="1">
      <alignment horizontal="right" vertical="top"/>
      <protection hidden="1"/>
    </xf>
    <xf numFmtId="0" fontId="0" fillId="14" borderId="72" xfId="0" applyFill="1" applyBorder="1" applyAlignment="1" applyProtection="1">
      <alignment vertical="top"/>
      <protection hidden="1"/>
    </xf>
    <xf numFmtId="43" fontId="0" fillId="0" borderId="23" xfId="1" applyFont="1" applyFill="1" applyBorder="1" applyAlignment="1" applyProtection="1">
      <alignment vertical="top"/>
      <protection hidden="1"/>
    </xf>
    <xf numFmtId="43" fontId="0" fillId="0" borderId="24" xfId="1" applyFont="1" applyFill="1" applyBorder="1" applyAlignment="1" applyProtection="1">
      <alignment vertical="top"/>
      <protection hidden="1"/>
    </xf>
    <xf numFmtId="43" fontId="0" fillId="8" borderId="73" xfId="1" applyFont="1" applyFill="1" applyBorder="1" applyAlignment="1" applyProtection="1">
      <alignment vertical="top"/>
      <protection hidden="1"/>
    </xf>
    <xf numFmtId="0" fontId="3" fillId="2" borderId="0" xfId="0" applyFont="1" applyFill="1" applyAlignment="1" applyProtection="1">
      <alignment horizontal="center"/>
    </xf>
    <xf numFmtId="0" fontId="0" fillId="0" borderId="76" xfId="0" applyBorder="1" applyProtection="1">
      <protection hidden="1"/>
    </xf>
    <xf numFmtId="0" fontId="0" fillId="0" borderId="47" xfId="0" applyBorder="1" applyProtection="1">
      <protection hidden="1"/>
    </xf>
    <xf numFmtId="0" fontId="8" fillId="0" borderId="77" xfId="0" applyFont="1" applyBorder="1" applyAlignment="1" applyProtection="1">
      <alignment horizontal="right"/>
      <protection hidden="1"/>
    </xf>
    <xf numFmtId="167" fontId="8" fillId="0" borderId="43" xfId="1" applyNumberFormat="1" applyFont="1" applyBorder="1" applyAlignment="1" applyProtection="1">
      <alignment vertical="top"/>
      <protection hidden="1"/>
    </xf>
    <xf numFmtId="167" fontId="8" fillId="0" borderId="0" xfId="1" applyNumberFormat="1" applyFont="1" applyFill="1" applyBorder="1" applyAlignment="1" applyProtection="1">
      <alignment vertical="top"/>
      <protection hidden="1"/>
    </xf>
    <xf numFmtId="167" fontId="8" fillId="0" borderId="79" xfId="1" applyNumberFormat="1" applyFont="1" applyFill="1" applyBorder="1" applyAlignment="1" applyProtection="1">
      <alignment vertical="top"/>
      <protection hidden="1"/>
    </xf>
    <xf numFmtId="167" fontId="8" fillId="0" borderId="0" xfId="1" applyNumberFormat="1" applyFont="1" applyBorder="1" applyAlignment="1" applyProtection="1">
      <alignment vertical="top"/>
      <protection hidden="1"/>
    </xf>
    <xf numFmtId="0" fontId="0" fillId="0" borderId="80" xfId="0" applyBorder="1" applyProtection="1">
      <protection hidden="1"/>
    </xf>
    <xf numFmtId="0" fontId="0" fillId="0" borderId="81" xfId="0" applyBorder="1" applyProtection="1">
      <protection hidden="1"/>
    </xf>
    <xf numFmtId="0" fontId="0" fillId="0" borderId="81" xfId="0" applyBorder="1" applyAlignment="1" applyProtection="1">
      <alignment horizontal="right"/>
      <protection hidden="1"/>
    </xf>
    <xf numFmtId="10" fontId="0" fillId="0" borderId="82" xfId="0" applyNumberFormat="1" applyBorder="1" applyAlignment="1" applyProtection="1">
      <alignment horizontal="center"/>
      <protection hidden="1"/>
    </xf>
    <xf numFmtId="167" fontId="0" fillId="0" borderId="83" xfId="1" applyNumberFormat="1" applyFont="1" applyBorder="1" applyProtection="1">
      <protection hidden="1"/>
    </xf>
    <xf numFmtId="167" fontId="0" fillId="0" borderId="0" xfId="1" applyNumberFormat="1" applyFont="1" applyFill="1" applyBorder="1" applyProtection="1">
      <protection hidden="1"/>
    </xf>
    <xf numFmtId="167" fontId="0" fillId="0" borderId="79" xfId="1" applyNumberFormat="1" applyFont="1" applyFill="1" applyBorder="1" applyProtection="1">
      <protection hidden="1"/>
    </xf>
    <xf numFmtId="167" fontId="0" fillId="0" borderId="0" xfId="1" applyNumberFormat="1" applyFont="1" applyBorder="1" applyProtection="1">
      <protection hidden="1"/>
    </xf>
    <xf numFmtId="0" fontId="3" fillId="2" borderId="0" xfId="0" applyFont="1" applyFill="1" applyBorder="1" applyAlignment="1" applyProtection="1">
      <alignment horizontal="center"/>
    </xf>
    <xf numFmtId="0" fontId="0" fillId="0" borderId="84" xfId="0" applyBorder="1" applyProtection="1">
      <protection hidden="1"/>
    </xf>
    <xf numFmtId="0" fontId="0" fillId="0" borderId="9" xfId="0" applyBorder="1" applyProtection="1">
      <protection hidden="1"/>
    </xf>
    <xf numFmtId="0" fontId="0" fillId="0" borderId="9" xfId="0" applyBorder="1" applyAlignment="1" applyProtection="1">
      <alignment horizontal="right"/>
      <protection hidden="1"/>
    </xf>
    <xf numFmtId="10" fontId="0" fillId="0" borderId="85" xfId="0" applyNumberFormat="1" applyBorder="1" applyAlignment="1" applyProtection="1">
      <alignment horizontal="center"/>
      <protection hidden="1"/>
    </xf>
    <xf numFmtId="167" fontId="0" fillId="0" borderId="11" xfId="1" applyNumberFormat="1" applyFont="1" applyBorder="1" applyProtection="1">
      <protection hidden="1"/>
    </xf>
    <xf numFmtId="0" fontId="0" fillId="0" borderId="86" xfId="0" applyBorder="1" applyProtection="1">
      <protection hidden="1"/>
    </xf>
    <xf numFmtId="0" fontId="0" fillId="0" borderId="87" xfId="0" applyBorder="1" applyProtection="1">
      <protection hidden="1"/>
    </xf>
    <xf numFmtId="0" fontId="8" fillId="0" borderId="87" xfId="0" applyFont="1" applyBorder="1" applyAlignment="1" applyProtection="1">
      <alignment horizontal="right"/>
      <protection hidden="1"/>
    </xf>
    <xf numFmtId="10" fontId="8" fillId="0" borderId="88" xfId="0" applyNumberFormat="1" applyFont="1" applyBorder="1" applyAlignment="1" applyProtection="1">
      <alignment horizontal="center"/>
      <protection hidden="1"/>
    </xf>
    <xf numFmtId="167" fontId="8" fillId="0" borderId="0" xfId="1" applyNumberFormat="1" applyFont="1" applyFill="1" applyBorder="1" applyProtection="1">
      <protection hidden="1"/>
    </xf>
    <xf numFmtId="167" fontId="8" fillId="0" borderId="79" xfId="1" applyNumberFormat="1" applyFont="1" applyFill="1" applyBorder="1" applyProtection="1">
      <protection hidden="1"/>
    </xf>
    <xf numFmtId="167" fontId="8" fillId="0" borderId="0" xfId="1" applyNumberFormat="1" applyFont="1" applyBorder="1" applyProtection="1">
      <protection hidden="1"/>
    </xf>
    <xf numFmtId="167" fontId="8" fillId="0" borderId="0" xfId="0" applyNumberFormat="1" applyFont="1" applyFill="1" applyBorder="1" applyProtection="1">
      <protection hidden="1"/>
    </xf>
    <xf numFmtId="167" fontId="8" fillId="0" borderId="89" xfId="1" applyNumberFormat="1" applyFont="1" applyBorder="1" applyProtection="1">
      <protection hidden="1"/>
    </xf>
    <xf numFmtId="0" fontId="13" fillId="10" borderId="5" xfId="4" applyFont="1" applyFill="1" applyBorder="1" applyAlignment="1" applyProtection="1">
      <protection hidden="1"/>
    </xf>
    <xf numFmtId="0" fontId="0" fillId="10" borderId="72" xfId="0" applyFill="1" applyBorder="1" applyProtection="1">
      <protection hidden="1"/>
    </xf>
    <xf numFmtId="0" fontId="24" fillId="10" borderId="72" xfId="0" applyFont="1" applyFill="1" applyBorder="1" applyAlignment="1" applyProtection="1">
      <alignment horizontal="right"/>
      <protection hidden="1"/>
    </xf>
    <xf numFmtId="167" fontId="5" fillId="0" borderId="18" xfId="0" applyNumberFormat="1" applyFont="1" applyFill="1" applyBorder="1" applyProtection="1">
      <protection hidden="1"/>
    </xf>
    <xf numFmtId="3" fontId="24" fillId="0" borderId="18" xfId="0" applyNumberFormat="1" applyFont="1" applyFill="1" applyBorder="1" applyAlignment="1" applyProtection="1">
      <alignment horizontal="right"/>
      <protection hidden="1"/>
    </xf>
    <xf numFmtId="4" fontId="24" fillId="0" borderId="90" xfId="0" applyNumberFormat="1" applyFont="1" applyFill="1" applyBorder="1" applyAlignment="1" applyProtection="1">
      <alignment horizontal="right"/>
      <protection hidden="1"/>
    </xf>
    <xf numFmtId="3" fontId="24" fillId="8" borderId="73" xfId="0" applyNumberFormat="1" applyFont="1" applyFill="1" applyBorder="1" applyAlignment="1" applyProtection="1">
      <alignment horizontal="right"/>
      <protection hidden="1"/>
    </xf>
    <xf numFmtId="167" fontId="8" fillId="0" borderId="0" xfId="0" applyNumberFormat="1" applyFont="1" applyBorder="1" applyProtection="1">
      <protection hidden="1"/>
    </xf>
    <xf numFmtId="3" fontId="24" fillId="0" borderId="0" xfId="0" applyNumberFormat="1" applyFont="1" applyFill="1" applyBorder="1" applyAlignment="1" applyProtection="1">
      <alignment horizontal="right"/>
      <protection hidden="1"/>
    </xf>
    <xf numFmtId="0" fontId="3" fillId="0" borderId="0" xfId="0" applyFont="1" applyFill="1" applyBorder="1" applyAlignment="1" applyProtection="1">
      <alignment horizontal="center"/>
    </xf>
    <xf numFmtId="0" fontId="0" fillId="0" borderId="0" xfId="0" applyProtection="1"/>
    <xf numFmtId="167" fontId="0" fillId="0" borderId="0" xfId="0" applyNumberFormat="1" applyBorder="1" applyProtection="1">
      <protection hidden="1"/>
    </xf>
    <xf numFmtId="0" fontId="0" fillId="0" borderId="0" xfId="0" applyFill="1" applyBorder="1" applyProtection="1"/>
    <xf numFmtId="3" fontId="27" fillId="0" borderId="0" xfId="0" applyNumberFormat="1" applyFont="1" applyBorder="1" applyAlignment="1" applyProtection="1">
      <alignment horizontal="center" vertical="center"/>
      <protection hidden="1"/>
    </xf>
    <xf numFmtId="0" fontId="27" fillId="0" borderId="0" xfId="0" applyFont="1" applyBorder="1" applyAlignment="1" applyProtection="1">
      <alignment horizontal="center" vertical="center"/>
      <protection hidden="1"/>
    </xf>
    <xf numFmtId="0" fontId="14" fillId="0" borderId="0" xfId="0" applyFont="1" applyBorder="1" applyAlignment="1" applyProtection="1">
      <alignment vertical="top" wrapText="1"/>
      <protection hidden="1"/>
    </xf>
    <xf numFmtId="0" fontId="0" fillId="0" borderId="0" xfId="0" applyBorder="1" applyAlignment="1" applyProtection="1">
      <alignment horizontal="center" vertical="top"/>
      <protection hidden="1"/>
    </xf>
    <xf numFmtId="0" fontId="0" fillId="0" borderId="0" xfId="0" applyBorder="1" applyAlignment="1" applyProtection="1">
      <alignment horizontal="right" vertical="top"/>
      <protection hidden="1"/>
    </xf>
    <xf numFmtId="0" fontId="3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22" xfId="0" applyFont="1" applyFill="1" applyBorder="1" applyAlignment="1" applyProtection="1">
      <alignment horizontal="center" vertical="center"/>
      <protection hidden="1"/>
    </xf>
    <xf numFmtId="0" fontId="3" fillId="2" borderId="23" xfId="0" applyFont="1" applyFill="1" applyBorder="1" applyProtection="1">
      <protection hidden="1"/>
    </xf>
    <xf numFmtId="0" fontId="28" fillId="0" borderId="91" xfId="0" applyFont="1" applyFill="1" applyBorder="1" applyAlignment="1" applyProtection="1">
      <alignment horizontal="center" vertical="center" wrapText="1"/>
      <protection hidden="1"/>
    </xf>
    <xf numFmtId="0" fontId="3" fillId="4" borderId="0" xfId="0" applyFont="1" applyFill="1" applyProtection="1">
      <protection locked="0"/>
    </xf>
    <xf numFmtId="9" fontId="0" fillId="2" borderId="0" xfId="0" applyNumberFormat="1" applyFill="1" applyAlignment="1" applyProtection="1">
      <alignment horizontal="center" vertical="top"/>
    </xf>
    <xf numFmtId="0" fontId="0" fillId="2" borderId="0" xfId="0" applyFill="1"/>
    <xf numFmtId="0" fontId="5" fillId="0" borderId="0" xfId="0" applyFont="1"/>
    <xf numFmtId="0" fontId="0" fillId="0" borderId="0" xfId="0" quotePrefix="1"/>
    <xf numFmtId="0" fontId="31" fillId="2" borderId="0" xfId="0" applyFont="1" applyFill="1" applyAlignment="1">
      <alignment horizontal="center"/>
    </xf>
    <xf numFmtId="0" fontId="3" fillId="16" borderId="19" xfId="0" applyFont="1" applyFill="1" applyBorder="1" applyProtection="1">
      <protection hidden="1"/>
    </xf>
    <xf numFmtId="0" fontId="3" fillId="16" borderId="18" xfId="0" applyFont="1" applyFill="1" applyBorder="1" applyProtection="1">
      <protection hidden="1"/>
    </xf>
    <xf numFmtId="0" fontId="3" fillId="0" borderId="92" xfId="0" applyFont="1" applyFill="1" applyBorder="1" applyAlignment="1" applyProtection="1">
      <alignment horizontal="center"/>
      <protection hidden="1"/>
    </xf>
    <xf numFmtId="9" fontId="0" fillId="2" borderId="0" xfId="3" applyFont="1" applyFill="1" applyAlignment="1" applyProtection="1">
      <alignment horizontal="center" vertical="top"/>
      <protection locked="0"/>
    </xf>
    <xf numFmtId="0" fontId="8" fillId="2" borderId="0" xfId="0" applyFont="1" applyFill="1" applyAlignment="1">
      <alignment horizontal="center"/>
    </xf>
    <xf numFmtId="0" fontId="32" fillId="2" borderId="91" xfId="0" applyFont="1" applyFill="1" applyBorder="1" applyAlignment="1" applyProtection="1">
      <alignment horizontal="center"/>
      <protection hidden="1"/>
    </xf>
    <xf numFmtId="170" fontId="33" fillId="2" borderId="91" xfId="0" applyNumberFormat="1" applyFont="1" applyFill="1" applyBorder="1" applyAlignment="1">
      <alignment horizontal="center"/>
    </xf>
    <xf numFmtId="170" fontId="0" fillId="2" borderId="91" xfId="3" applyNumberFormat="1" applyFont="1" applyFill="1" applyBorder="1" applyAlignment="1">
      <alignment horizontal="center"/>
    </xf>
    <xf numFmtId="170" fontId="0" fillId="2" borderId="91" xfId="0" applyNumberFormat="1" applyFill="1" applyBorder="1" applyAlignment="1">
      <alignment horizontal="center"/>
    </xf>
    <xf numFmtId="9" fontId="3" fillId="2" borderId="35" xfId="0" applyNumberFormat="1" applyFont="1" applyFill="1" applyBorder="1" applyProtection="1">
      <protection hidden="1"/>
    </xf>
    <xf numFmtId="0" fontId="3" fillId="2" borderId="35" xfId="0" applyFont="1" applyFill="1" applyBorder="1" applyProtection="1">
      <protection hidden="1"/>
    </xf>
    <xf numFmtId="0" fontId="3" fillId="0" borderId="0" xfId="0" applyFont="1" applyBorder="1" applyProtection="1">
      <protection locked="0"/>
    </xf>
    <xf numFmtId="0" fontId="0" fillId="0" borderId="0" xfId="0" applyFill="1"/>
    <xf numFmtId="0" fontId="3" fillId="0" borderId="0" xfId="0" applyFont="1" applyFill="1" applyAlignment="1">
      <alignment horizontal="center"/>
    </xf>
    <xf numFmtId="0" fontId="20" fillId="0" borderId="0" xfId="0" applyFont="1" applyFill="1" applyBorder="1" applyAlignment="1">
      <alignment vertical="center" wrapText="1"/>
    </xf>
    <xf numFmtId="0" fontId="34" fillId="2" borderId="35" xfId="0" applyFont="1" applyFill="1" applyBorder="1" applyAlignment="1">
      <alignment horizontal="center" vertical="center"/>
    </xf>
    <xf numFmtId="10" fontId="34" fillId="2" borderId="95" xfId="3" applyNumberFormat="1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>
      <alignment horizontal="center"/>
    </xf>
    <xf numFmtId="0" fontId="3" fillId="0" borderId="96" xfId="0" applyFont="1" applyFill="1" applyBorder="1" applyAlignment="1">
      <alignment horizontal="center"/>
    </xf>
    <xf numFmtId="0" fontId="3" fillId="2" borderId="96" xfId="0" applyFont="1" applyFill="1" applyBorder="1" applyAlignment="1">
      <alignment horizontal="center"/>
    </xf>
    <xf numFmtId="0" fontId="7" fillId="0" borderId="5" xfId="0" applyFont="1" applyBorder="1" applyAlignment="1">
      <alignment horizontal="right" vertical="top"/>
    </xf>
    <xf numFmtId="15" fontId="7" fillId="0" borderId="25" xfId="0" applyNumberFormat="1" applyFont="1" applyBorder="1" applyAlignment="1">
      <alignment horizontal="center" vertical="top"/>
    </xf>
    <xf numFmtId="15" fontId="7" fillId="0" borderId="0" xfId="0" applyNumberFormat="1" applyFont="1" applyBorder="1" applyAlignment="1">
      <alignment vertical="top"/>
    </xf>
    <xf numFmtId="0" fontId="35" fillId="2" borderId="73" xfId="0" applyFont="1" applyFill="1" applyBorder="1" applyAlignment="1">
      <alignment vertical="center" wrapText="1"/>
    </xf>
    <xf numFmtId="166" fontId="36" fillId="2" borderId="95" xfId="1" applyNumberFormat="1" applyFont="1" applyFill="1" applyBorder="1" applyAlignment="1" applyProtection="1">
      <alignment vertical="center"/>
      <protection locked="0"/>
    </xf>
    <xf numFmtId="169" fontId="14" fillId="0" borderId="0" xfId="0" applyNumberFormat="1" applyFont="1" applyBorder="1" applyAlignment="1">
      <alignment vertical="center"/>
    </xf>
    <xf numFmtId="0" fontId="37" fillId="2" borderId="100" xfId="0" applyFont="1" applyFill="1" applyBorder="1" applyAlignment="1">
      <alignment vertical="center"/>
    </xf>
    <xf numFmtId="171" fontId="17" fillId="2" borderId="101" xfId="2" applyNumberFormat="1" applyFont="1" applyFill="1" applyBorder="1" applyAlignment="1">
      <alignment vertical="center"/>
    </xf>
    <xf numFmtId="0" fontId="38" fillId="4" borderId="0" xfId="0" applyFont="1" applyFill="1" applyAlignment="1" applyProtection="1">
      <alignment horizontal="center" vertical="top"/>
      <protection locked="0"/>
    </xf>
    <xf numFmtId="43" fontId="1" fillId="0" borderId="0" xfId="1" applyFill="1" applyProtection="1">
      <protection locked="0"/>
    </xf>
    <xf numFmtId="0" fontId="0" fillId="0" borderId="0" xfId="0" applyAlignment="1">
      <alignment horizontal="center"/>
    </xf>
    <xf numFmtId="0" fontId="3" fillId="0" borderId="0" xfId="0" applyFont="1" applyProtection="1">
      <protection hidden="1"/>
    </xf>
    <xf numFmtId="0" fontId="3" fillId="0" borderId="0" xfId="0" applyFont="1" applyProtection="1">
      <protection locked="0"/>
    </xf>
    <xf numFmtId="0" fontId="3" fillId="0" borderId="0" xfId="0" applyNumberFormat="1" applyFont="1" applyAlignment="1" applyProtection="1">
      <alignment horizontal="center"/>
    </xf>
    <xf numFmtId="0" fontId="2" fillId="0" borderId="0" xfId="0" applyFont="1" applyProtection="1">
      <protection hidden="1"/>
    </xf>
    <xf numFmtId="0" fontId="0" fillId="10" borderId="14" xfId="0" applyFill="1" applyBorder="1" applyAlignment="1" applyProtection="1">
      <alignment horizontal="center"/>
      <protection hidden="1"/>
    </xf>
    <xf numFmtId="43" fontId="23" fillId="10" borderId="16" xfId="1" applyFont="1" applyFill="1" applyBorder="1" applyAlignment="1" applyProtection="1">
      <alignment horizontal="right" vertical="center"/>
      <protection hidden="1"/>
    </xf>
    <xf numFmtId="0" fontId="3" fillId="10" borderId="102" xfId="0" applyFont="1" applyFill="1" applyBorder="1" applyAlignment="1">
      <alignment horizontal="center"/>
    </xf>
    <xf numFmtId="43" fontId="0" fillId="0" borderId="0" xfId="1" applyNumberFormat="1" applyFont="1" applyFill="1"/>
    <xf numFmtId="0" fontId="0" fillId="10" borderId="0" xfId="0" applyFill="1" applyBorder="1" applyAlignment="1" applyProtection="1">
      <alignment horizontal="center"/>
      <protection hidden="1"/>
    </xf>
    <xf numFmtId="43" fontId="23" fillId="10" borderId="96" xfId="1" applyFont="1" applyFill="1" applyBorder="1" applyAlignment="1" applyProtection="1">
      <alignment horizontal="right" vertical="center"/>
      <protection hidden="1"/>
    </xf>
    <xf numFmtId="0" fontId="3" fillId="10" borderId="104" xfId="0" applyFont="1" applyFill="1" applyBorder="1" applyAlignment="1">
      <alignment horizontal="center"/>
    </xf>
    <xf numFmtId="0" fontId="3" fillId="0" borderId="0" xfId="0" quotePrefix="1" applyNumberFormat="1" applyFont="1" applyFill="1" applyAlignment="1" applyProtection="1">
      <alignment horizontal="center"/>
    </xf>
    <xf numFmtId="0" fontId="3" fillId="0" borderId="105" xfId="0" applyFont="1" applyFill="1" applyBorder="1" applyAlignment="1" applyProtection="1">
      <alignment horizontal="left" vertical="top"/>
      <protection hidden="1"/>
    </xf>
    <xf numFmtId="0" fontId="3" fillId="0" borderId="7" xfId="0" applyFont="1" applyFill="1" applyBorder="1" applyAlignment="1" applyProtection="1">
      <alignment horizontal="center"/>
      <protection hidden="1"/>
    </xf>
    <xf numFmtId="0" fontId="3" fillId="0" borderId="7" xfId="0" applyFont="1" applyFill="1" applyBorder="1" applyProtection="1">
      <protection hidden="1"/>
    </xf>
    <xf numFmtId="43" fontId="3" fillId="0" borderId="7" xfId="1" applyFont="1" applyFill="1" applyBorder="1" applyAlignment="1" applyProtection="1">
      <alignment horizontal="right"/>
      <protection hidden="1"/>
    </xf>
    <xf numFmtId="43" fontId="3" fillId="0" borderId="106" xfId="1" applyNumberFormat="1" applyFont="1" applyFill="1" applyBorder="1" applyAlignment="1" applyProtection="1">
      <alignment horizontal="right" vertical="center"/>
      <protection hidden="1"/>
    </xf>
    <xf numFmtId="0" fontId="3" fillId="0" borderId="107" xfId="0" applyFont="1" applyBorder="1"/>
    <xf numFmtId="0" fontId="3" fillId="0" borderId="108" xfId="0" applyFont="1" applyFill="1" applyBorder="1" applyAlignment="1" applyProtection="1">
      <alignment horizontal="left" vertical="top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3" fillId="0" borderId="0" xfId="0" applyFont="1" applyFill="1" applyBorder="1" applyProtection="1">
      <protection hidden="1"/>
    </xf>
    <xf numFmtId="43" fontId="3" fillId="0" borderId="0" xfId="1" applyFont="1" applyFill="1" applyBorder="1" applyAlignment="1" applyProtection="1">
      <alignment horizontal="right"/>
      <protection hidden="1"/>
    </xf>
    <xf numFmtId="43" fontId="3" fillId="0" borderId="96" xfId="1" applyNumberFormat="1" applyFont="1" applyFill="1" applyBorder="1" applyAlignment="1" applyProtection="1">
      <alignment horizontal="right" vertical="center"/>
      <protection hidden="1"/>
    </xf>
    <xf numFmtId="0" fontId="3" fillId="0" borderId="104" xfId="0" applyFont="1" applyBorder="1"/>
    <xf numFmtId="0" fontId="3" fillId="0" borderId="0" xfId="0" quotePrefix="1" applyFont="1" applyFill="1" applyAlignment="1" applyProtection="1">
      <alignment horizontal="center"/>
    </xf>
    <xf numFmtId="0" fontId="23" fillId="0" borderId="108" xfId="0" applyFont="1" applyFill="1" applyBorder="1" applyAlignment="1" applyProtection="1">
      <alignment horizontal="left" vertical="top"/>
      <protection hidden="1"/>
    </xf>
    <xf numFmtId="4" fontId="3" fillId="0" borderId="0" xfId="0" applyNumberFormat="1" applyFont="1" applyFill="1" applyAlignment="1" applyProtection="1">
      <alignment horizontal="center"/>
    </xf>
    <xf numFmtId="43" fontId="23" fillId="0" borderId="109" xfId="1" applyNumberFormat="1" applyFont="1" applyFill="1" applyBorder="1" applyAlignment="1" applyProtection="1">
      <alignment horizontal="right" vertical="center"/>
      <protection hidden="1"/>
    </xf>
    <xf numFmtId="0" fontId="23" fillId="0" borderId="108" xfId="0" applyFont="1" applyFill="1" applyBorder="1" applyAlignment="1" applyProtection="1">
      <alignment horizontal="left"/>
      <protection hidden="1"/>
    </xf>
    <xf numFmtId="43" fontId="3" fillId="0" borderId="0" xfId="1" applyFont="1" applyFill="1" applyBorder="1" applyAlignment="1" applyProtection="1">
      <alignment horizontal="center"/>
      <protection hidden="1"/>
    </xf>
    <xf numFmtId="43" fontId="3" fillId="0" borderId="96" xfId="1" applyNumberFormat="1" applyFont="1" applyFill="1" applyBorder="1" applyAlignment="1" applyProtection="1">
      <alignment horizontal="center"/>
      <protection hidden="1"/>
    </xf>
    <xf numFmtId="4" fontId="3" fillId="0" borderId="7" xfId="0" applyNumberFormat="1" applyFont="1" applyFill="1" applyBorder="1" applyAlignment="1" applyProtection="1">
      <alignment horizontal="right"/>
      <protection hidden="1"/>
    </xf>
    <xf numFmtId="9" fontId="3" fillId="0" borderId="7" xfId="3" applyFont="1" applyFill="1" applyBorder="1" applyAlignment="1" applyProtection="1">
      <alignment horizontal="center"/>
      <protection hidden="1"/>
    </xf>
    <xf numFmtId="4" fontId="3" fillId="0" borderId="7" xfId="0" applyNumberFormat="1" applyFont="1" applyFill="1" applyBorder="1" applyProtection="1">
      <protection hidden="1"/>
    </xf>
    <xf numFmtId="172" fontId="3" fillId="0" borderId="7" xfId="1" applyNumberFormat="1" applyFont="1" applyFill="1" applyBorder="1" applyAlignment="1" applyProtection="1">
      <alignment horizontal="right"/>
      <protection hidden="1"/>
    </xf>
    <xf numFmtId="0" fontId="23" fillId="0" borderId="108" xfId="0" quotePrefix="1" applyFont="1" applyFill="1" applyBorder="1" applyAlignment="1" applyProtection="1">
      <alignment horizontal="left" vertical="top"/>
      <protection hidden="1"/>
    </xf>
    <xf numFmtId="0" fontId="3" fillId="0" borderId="0" xfId="0" applyFont="1" applyFill="1" applyAlignment="1" applyProtection="1">
      <alignment horizontal="center"/>
    </xf>
    <xf numFmtId="167" fontId="2" fillId="0" borderId="0" xfId="1" applyNumberFormat="1" applyFont="1" applyFill="1" applyProtection="1">
      <protection hidden="1"/>
    </xf>
    <xf numFmtId="43" fontId="3" fillId="0" borderId="104" xfId="0" applyNumberFormat="1" applyFont="1" applyBorder="1"/>
    <xf numFmtId="4" fontId="3" fillId="10" borderId="98" xfId="0" applyNumberFormat="1" applyFont="1" applyFill="1" applyBorder="1" applyAlignment="1" applyProtection="1">
      <alignment horizontal="left" vertical="top"/>
      <protection hidden="1"/>
    </xf>
    <xf numFmtId="0" fontId="3" fillId="10" borderId="110" xfId="0" applyFont="1" applyFill="1" applyBorder="1" applyAlignment="1" applyProtection="1">
      <alignment horizontal="center"/>
      <protection hidden="1"/>
    </xf>
    <xf numFmtId="0" fontId="3" fillId="10" borderId="111" xfId="0" applyNumberFormat="1" applyFont="1" applyFill="1" applyBorder="1" applyProtection="1">
      <protection hidden="1"/>
    </xf>
    <xf numFmtId="0" fontId="23" fillId="10" borderId="111" xfId="0" applyFont="1" applyFill="1" applyBorder="1" applyAlignment="1" applyProtection="1">
      <alignment horizontal="right"/>
      <protection hidden="1"/>
    </xf>
    <xf numFmtId="43" fontId="3" fillId="10" borderId="111" xfId="0" applyNumberFormat="1" applyFont="1" applyFill="1" applyBorder="1" applyAlignment="1" applyProtection="1">
      <alignment horizontal="right"/>
      <protection hidden="1"/>
    </xf>
    <xf numFmtId="43" fontId="23" fillId="10" borderId="112" xfId="1" applyFont="1" applyFill="1" applyBorder="1" applyAlignment="1" applyProtection="1">
      <alignment horizontal="right"/>
      <protection hidden="1"/>
    </xf>
    <xf numFmtId="0" fontId="3" fillId="10" borderId="113" xfId="0" applyFont="1" applyFill="1" applyBorder="1"/>
    <xf numFmtId="0" fontId="0" fillId="0" borderId="0" xfId="0" applyAlignment="1" applyProtection="1">
      <alignment horizontal="center"/>
      <protection hidden="1"/>
    </xf>
    <xf numFmtId="0" fontId="3" fillId="0" borderId="7" xfId="0" applyNumberFormat="1" applyFont="1" applyFill="1" applyBorder="1" applyProtection="1">
      <protection hidden="1"/>
    </xf>
    <xf numFmtId="0" fontId="3" fillId="0" borderId="107" xfId="0" applyFont="1" applyFill="1" applyBorder="1"/>
    <xf numFmtId="0" fontId="3" fillId="0" borderId="0" xfId="0" applyNumberFormat="1" applyFont="1" applyFill="1" applyBorder="1" applyProtection="1">
      <protection hidden="1"/>
    </xf>
    <xf numFmtId="0" fontId="3" fillId="0" borderId="104" xfId="0" applyFont="1" applyFill="1" applyBorder="1"/>
    <xf numFmtId="0" fontId="3" fillId="0" borderId="0" xfId="0" applyNumberFormat="1" applyFont="1" applyFill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/>
      <protection hidden="1"/>
    </xf>
    <xf numFmtId="0" fontId="23" fillId="10" borderId="111" xfId="0" applyNumberFormat="1" applyFont="1" applyFill="1" applyBorder="1" applyAlignment="1" applyProtection="1">
      <alignment horizontal="right"/>
      <protection hidden="1"/>
    </xf>
    <xf numFmtId="0" fontId="23" fillId="0" borderId="114" xfId="0" applyFont="1" applyFill="1" applyBorder="1" applyAlignment="1" applyProtection="1">
      <alignment horizontal="left" vertical="top"/>
      <protection hidden="1"/>
    </xf>
    <xf numFmtId="0" fontId="3" fillId="0" borderId="115" xfId="0" applyFont="1" applyFill="1" applyBorder="1" applyAlignment="1" applyProtection="1">
      <alignment horizontal="center"/>
      <protection hidden="1"/>
    </xf>
    <xf numFmtId="0" fontId="3" fillId="0" borderId="115" xfId="0" applyFont="1" applyFill="1" applyBorder="1" applyProtection="1">
      <protection hidden="1"/>
    </xf>
    <xf numFmtId="0" fontId="3" fillId="0" borderId="115" xfId="0" applyNumberFormat="1" applyFont="1" applyFill="1" applyBorder="1" applyProtection="1">
      <protection hidden="1"/>
    </xf>
    <xf numFmtId="43" fontId="3" fillId="0" borderId="115" xfId="1" applyFont="1" applyFill="1" applyBorder="1" applyAlignment="1" applyProtection="1">
      <alignment horizontal="right"/>
      <protection hidden="1"/>
    </xf>
    <xf numFmtId="43" fontId="3" fillId="0" borderId="116" xfId="1" applyNumberFormat="1" applyFont="1" applyFill="1" applyBorder="1" applyAlignment="1" applyProtection="1">
      <alignment horizontal="right" vertical="center"/>
      <protection hidden="1"/>
    </xf>
    <xf numFmtId="0" fontId="3" fillId="0" borderId="117" xfId="0" applyFont="1" applyFill="1" applyBorder="1" applyAlignment="1" applyProtection="1">
      <alignment horizontal="left" vertical="top"/>
      <protection hidden="1"/>
    </xf>
    <xf numFmtId="0" fontId="3" fillId="0" borderId="9" xfId="0" applyFont="1" applyFill="1" applyBorder="1" applyAlignment="1" applyProtection="1">
      <alignment horizontal="center"/>
      <protection hidden="1"/>
    </xf>
    <xf numFmtId="0" fontId="3" fillId="0" borderId="9" xfId="0" applyFont="1" applyFill="1" applyBorder="1" applyProtection="1">
      <protection hidden="1"/>
    </xf>
    <xf numFmtId="170" fontId="3" fillId="0" borderId="7" xfId="3" applyNumberFormat="1" applyFont="1" applyFill="1" applyBorder="1" applyProtection="1">
      <protection hidden="1"/>
    </xf>
    <xf numFmtId="43" fontId="3" fillId="0" borderId="9" xfId="1" applyFont="1" applyFill="1" applyBorder="1" applyAlignment="1" applyProtection="1">
      <alignment horizontal="right"/>
      <protection hidden="1"/>
    </xf>
    <xf numFmtId="43" fontId="3" fillId="0" borderId="118" xfId="1" applyNumberFormat="1" applyFont="1" applyFill="1" applyBorder="1" applyAlignment="1" applyProtection="1">
      <alignment horizontal="right" vertical="center"/>
      <protection hidden="1"/>
    </xf>
    <xf numFmtId="43" fontId="23" fillId="0" borderId="0" xfId="1" applyFont="1" applyFill="1" applyBorder="1" applyAlignment="1" applyProtection="1">
      <alignment horizontal="right"/>
      <protection hidden="1"/>
    </xf>
    <xf numFmtId="43" fontId="23" fillId="0" borderId="96" xfId="1" applyNumberFormat="1" applyFont="1" applyFill="1" applyBorder="1" applyAlignment="1" applyProtection="1">
      <alignment horizontal="right" vertical="center"/>
      <protection hidden="1"/>
    </xf>
    <xf numFmtId="43" fontId="3" fillId="0" borderId="104" xfId="0" applyNumberFormat="1" applyFont="1" applyFill="1" applyBorder="1"/>
    <xf numFmtId="0" fontId="3" fillId="10" borderId="119" xfId="0" applyFont="1" applyFill="1" applyBorder="1" applyAlignment="1" applyProtection="1">
      <alignment horizontal="left" vertical="top"/>
      <protection hidden="1"/>
    </xf>
    <xf numFmtId="0" fontId="3" fillId="10" borderId="111" xfId="0" applyFont="1" applyFill="1" applyBorder="1" applyAlignment="1" applyProtection="1">
      <alignment horizontal="center"/>
      <protection hidden="1"/>
    </xf>
    <xf numFmtId="0" fontId="3" fillId="10" borderId="111" xfId="0" applyFont="1" applyFill="1" applyBorder="1" applyProtection="1">
      <protection hidden="1"/>
    </xf>
    <xf numFmtId="43" fontId="3" fillId="10" borderId="111" xfId="1" applyFont="1" applyFill="1" applyBorder="1" applyAlignment="1" applyProtection="1">
      <alignment horizontal="right"/>
      <protection hidden="1"/>
    </xf>
    <xf numFmtId="0" fontId="3" fillId="0" borderId="105" xfId="0" quotePrefix="1" applyFont="1" applyFill="1" applyBorder="1" applyAlignment="1" applyProtection="1">
      <alignment horizontal="left" vertical="top"/>
      <protection hidden="1"/>
    </xf>
    <xf numFmtId="43" fontId="3" fillId="0" borderId="107" xfId="0" applyNumberFormat="1" applyFont="1" applyFill="1" applyBorder="1"/>
    <xf numFmtId="0" fontId="3" fillId="0" borderId="120" xfId="0" applyFont="1" applyFill="1" applyBorder="1" applyAlignment="1" applyProtection="1">
      <alignment horizontal="left" vertical="top"/>
      <protection hidden="1"/>
    </xf>
    <xf numFmtId="0" fontId="3" fillId="0" borderId="121" xfId="0" applyFont="1" applyFill="1" applyBorder="1" applyAlignment="1" applyProtection="1">
      <alignment horizontal="center"/>
      <protection hidden="1"/>
    </xf>
    <xf numFmtId="0" fontId="3" fillId="0" borderId="121" xfId="0" applyFont="1" applyFill="1" applyBorder="1" applyProtection="1">
      <protection hidden="1"/>
    </xf>
    <xf numFmtId="43" fontId="3" fillId="0" borderId="121" xfId="1" applyFont="1" applyFill="1" applyBorder="1" applyAlignment="1" applyProtection="1">
      <alignment horizontal="right"/>
      <protection hidden="1"/>
    </xf>
    <xf numFmtId="43" fontId="3" fillId="0" borderId="122" xfId="1" applyNumberFormat="1" applyFont="1" applyFill="1" applyBorder="1" applyAlignment="1" applyProtection="1">
      <alignment horizontal="right" vertical="center"/>
      <protection hidden="1"/>
    </xf>
    <xf numFmtId="0" fontId="3" fillId="0" borderId="123" xfId="0" applyFont="1" applyBorder="1"/>
    <xf numFmtId="0" fontId="3" fillId="0" borderId="124" xfId="0" applyFont="1" applyFill="1" applyBorder="1" applyAlignment="1" applyProtection="1">
      <alignment horizontal="left" vertical="top"/>
      <protection hidden="1"/>
    </xf>
    <xf numFmtId="0" fontId="3" fillId="0" borderId="68" xfId="0" applyFont="1" applyFill="1" applyBorder="1" applyAlignment="1" applyProtection="1">
      <alignment horizontal="center"/>
      <protection hidden="1"/>
    </xf>
    <xf numFmtId="0" fontId="3" fillId="0" borderId="68" xfId="0" applyFont="1" applyFill="1" applyBorder="1" applyProtection="1">
      <protection hidden="1"/>
    </xf>
    <xf numFmtId="43" fontId="3" fillId="0" borderId="68" xfId="1" applyFont="1" applyFill="1" applyBorder="1" applyAlignment="1" applyProtection="1">
      <alignment horizontal="right"/>
      <protection hidden="1"/>
    </xf>
    <xf numFmtId="43" fontId="3" fillId="0" borderId="125" xfId="1" applyNumberFormat="1" applyFont="1" applyFill="1" applyBorder="1" applyAlignment="1" applyProtection="1">
      <alignment horizontal="right" vertical="center"/>
      <protection hidden="1"/>
    </xf>
    <xf numFmtId="0" fontId="3" fillId="0" borderId="126" xfId="0" applyFont="1" applyBorder="1"/>
    <xf numFmtId="0" fontId="3" fillId="10" borderId="127" xfId="0" applyFont="1" applyFill="1" applyBorder="1" applyAlignment="1" applyProtection="1">
      <alignment horizontal="center"/>
      <protection hidden="1"/>
    </xf>
    <xf numFmtId="0" fontId="3" fillId="10" borderId="128" xfId="0" applyNumberFormat="1" applyFont="1" applyFill="1" applyBorder="1" applyProtection="1">
      <protection hidden="1"/>
    </xf>
    <xf numFmtId="0" fontId="23" fillId="10" borderId="128" xfId="0" applyFont="1" applyFill="1" applyBorder="1" applyAlignment="1" applyProtection="1">
      <alignment horizontal="right"/>
      <protection hidden="1"/>
    </xf>
    <xf numFmtId="43" fontId="3" fillId="10" borderId="128" xfId="0" applyNumberFormat="1" applyFont="1" applyFill="1" applyBorder="1" applyAlignment="1" applyProtection="1">
      <alignment horizontal="right"/>
      <protection hidden="1"/>
    </xf>
    <xf numFmtId="43" fontId="23" fillId="10" borderId="129" xfId="1" applyFont="1" applyFill="1" applyBorder="1" applyAlignment="1" applyProtection="1">
      <alignment horizontal="right"/>
      <protection hidden="1"/>
    </xf>
    <xf numFmtId="0" fontId="3" fillId="0" borderId="130" xfId="0" applyFont="1" applyFill="1" applyBorder="1" applyAlignment="1" applyProtection="1">
      <alignment horizontal="left" vertical="top"/>
      <protection hidden="1"/>
    </xf>
    <xf numFmtId="0" fontId="3" fillId="0" borderId="131" xfId="0" applyFont="1" applyFill="1" applyBorder="1" applyAlignment="1" applyProtection="1">
      <alignment horizontal="center"/>
      <protection hidden="1"/>
    </xf>
    <xf numFmtId="0" fontId="3" fillId="0" borderId="131" xfId="0" applyFont="1" applyFill="1" applyBorder="1" applyProtection="1">
      <protection hidden="1"/>
    </xf>
    <xf numFmtId="43" fontId="3" fillId="0" borderId="131" xfId="1" applyFont="1" applyFill="1" applyBorder="1" applyAlignment="1" applyProtection="1">
      <alignment horizontal="right"/>
      <protection hidden="1"/>
    </xf>
    <xf numFmtId="43" fontId="3" fillId="0" borderId="132" xfId="1" applyNumberFormat="1" applyFont="1" applyFill="1" applyBorder="1" applyAlignment="1" applyProtection="1">
      <alignment horizontal="right" vertical="center"/>
      <protection hidden="1"/>
    </xf>
    <xf numFmtId="0" fontId="3" fillId="10" borderId="133" xfId="0" applyFont="1" applyFill="1" applyBorder="1" applyAlignment="1" applyProtection="1">
      <alignment horizontal="left" vertical="top"/>
      <protection hidden="1"/>
    </xf>
    <xf numFmtId="0" fontId="3" fillId="10" borderId="128" xfId="0" applyFont="1" applyFill="1" applyBorder="1" applyAlignment="1" applyProtection="1">
      <alignment horizontal="center"/>
      <protection hidden="1"/>
    </xf>
    <xf numFmtId="0" fontId="3" fillId="10" borderId="128" xfId="0" applyFont="1" applyFill="1" applyBorder="1" applyProtection="1">
      <protection hidden="1"/>
    </xf>
    <xf numFmtId="43" fontId="3" fillId="10" borderId="128" xfId="1" applyFont="1" applyFill="1" applyBorder="1" applyAlignment="1" applyProtection="1">
      <alignment horizontal="right"/>
      <protection hidden="1"/>
    </xf>
    <xf numFmtId="0" fontId="3" fillId="0" borderId="134" xfId="0" applyFont="1" applyFill="1" applyBorder="1" applyAlignment="1" applyProtection="1">
      <alignment horizontal="left" vertical="top"/>
      <protection hidden="1"/>
    </xf>
    <xf numFmtId="0" fontId="3" fillId="0" borderId="65" xfId="0" applyFont="1" applyFill="1" applyBorder="1" applyAlignment="1" applyProtection="1">
      <alignment horizontal="center"/>
      <protection hidden="1"/>
    </xf>
    <xf numFmtId="0" fontId="3" fillId="0" borderId="65" xfId="0" applyFont="1" applyFill="1" applyBorder="1" applyProtection="1">
      <protection hidden="1"/>
    </xf>
    <xf numFmtId="43" fontId="3" fillId="0" borderId="65" xfId="1" applyFont="1" applyFill="1" applyBorder="1" applyAlignment="1" applyProtection="1">
      <alignment horizontal="right"/>
      <protection hidden="1"/>
    </xf>
    <xf numFmtId="43" fontId="3" fillId="0" borderId="135" xfId="1" applyNumberFormat="1" applyFont="1" applyFill="1" applyBorder="1" applyAlignment="1" applyProtection="1">
      <alignment horizontal="right" vertical="center"/>
      <protection hidden="1"/>
    </xf>
    <xf numFmtId="43" fontId="3" fillId="0" borderId="109" xfId="1" applyNumberFormat="1" applyFont="1" applyFill="1" applyBorder="1" applyAlignment="1" applyProtection="1">
      <alignment horizontal="right" vertical="center"/>
      <protection hidden="1"/>
    </xf>
    <xf numFmtId="4" fontId="3" fillId="0" borderId="136" xfId="0" applyNumberFormat="1" applyFont="1" applyFill="1" applyBorder="1" applyAlignment="1" applyProtection="1">
      <alignment horizontal="right"/>
      <protection hidden="1"/>
    </xf>
    <xf numFmtId="9" fontId="3" fillId="0" borderId="136" xfId="3" applyFont="1" applyFill="1" applyBorder="1" applyAlignment="1" applyProtection="1">
      <alignment horizontal="center"/>
      <protection hidden="1"/>
    </xf>
    <xf numFmtId="4" fontId="3" fillId="0" borderId="136" xfId="0" applyNumberFormat="1" applyFont="1" applyFill="1" applyBorder="1" applyProtection="1">
      <protection hidden="1"/>
    </xf>
    <xf numFmtId="172" fontId="3" fillId="0" borderId="136" xfId="1" applyNumberFormat="1" applyFont="1" applyFill="1" applyBorder="1" applyAlignment="1" applyProtection="1">
      <alignment horizontal="right"/>
      <protection hidden="1"/>
    </xf>
    <xf numFmtId="9" fontId="3" fillId="0" borderId="65" xfId="3" applyFont="1" applyFill="1" applyBorder="1" applyAlignment="1" applyProtection="1">
      <alignment horizontal="center"/>
      <protection hidden="1"/>
    </xf>
    <xf numFmtId="170" fontId="3" fillId="0" borderId="136" xfId="3" applyNumberFormat="1" applyFont="1" applyFill="1" applyBorder="1" applyProtection="1">
      <protection hidden="1"/>
    </xf>
    <xf numFmtId="0" fontId="3" fillId="0" borderId="137" xfId="0" applyFont="1" applyFill="1" applyBorder="1" applyAlignment="1" applyProtection="1">
      <alignment horizontal="left" vertical="top"/>
      <protection hidden="1"/>
    </xf>
    <xf numFmtId="0" fontId="3" fillId="0" borderId="136" xfId="0" applyFont="1" applyFill="1" applyBorder="1" applyAlignment="1" applyProtection="1">
      <alignment horizontal="center"/>
      <protection hidden="1"/>
    </xf>
    <xf numFmtId="0" fontId="3" fillId="0" borderId="136" xfId="0" applyFont="1" applyFill="1" applyBorder="1" applyProtection="1">
      <protection hidden="1"/>
    </xf>
    <xf numFmtId="43" fontId="3" fillId="0" borderId="136" xfId="1" applyFont="1" applyFill="1" applyBorder="1" applyAlignment="1" applyProtection="1">
      <alignment horizontal="right"/>
      <protection hidden="1"/>
    </xf>
    <xf numFmtId="43" fontId="3" fillId="0" borderId="138" xfId="1" applyNumberFormat="1" applyFont="1" applyFill="1" applyBorder="1" applyAlignment="1" applyProtection="1">
      <alignment horizontal="right" vertical="center"/>
      <protection hidden="1"/>
    </xf>
    <xf numFmtId="0" fontId="3" fillId="0" borderId="139" xfId="0" applyFont="1" applyFill="1" applyBorder="1" applyAlignment="1" applyProtection="1">
      <alignment horizontal="left" vertical="top"/>
      <protection hidden="1"/>
    </xf>
    <xf numFmtId="0" fontId="3" fillId="0" borderId="140" xfId="0" applyFont="1" applyFill="1" applyBorder="1" applyAlignment="1" applyProtection="1">
      <alignment horizontal="center"/>
      <protection hidden="1"/>
    </xf>
    <xf numFmtId="0" fontId="3" fillId="0" borderId="140" xfId="0" applyFont="1" applyFill="1" applyBorder="1" applyProtection="1">
      <protection hidden="1"/>
    </xf>
    <xf numFmtId="43" fontId="3" fillId="0" borderId="140" xfId="1" applyFont="1" applyFill="1" applyBorder="1" applyAlignment="1" applyProtection="1">
      <alignment horizontal="right"/>
      <protection hidden="1"/>
    </xf>
    <xf numFmtId="43" fontId="3" fillId="0" borderId="141" xfId="1" applyNumberFormat="1" applyFont="1" applyFill="1" applyBorder="1" applyAlignment="1" applyProtection="1">
      <alignment horizontal="right" vertical="center"/>
      <protection hidden="1"/>
    </xf>
    <xf numFmtId="43" fontId="0" fillId="0" borderId="0" xfId="0" applyNumberFormat="1" applyFill="1"/>
    <xf numFmtId="0" fontId="3" fillId="0" borderId="136" xfId="0" applyNumberFormat="1" applyFont="1" applyFill="1" applyBorder="1" applyProtection="1">
      <protection hidden="1"/>
    </xf>
    <xf numFmtId="0" fontId="3" fillId="0" borderId="123" xfId="0" applyFont="1" applyFill="1" applyBorder="1"/>
    <xf numFmtId="0" fontId="23" fillId="10" borderId="128" xfId="0" applyNumberFormat="1" applyFont="1" applyFill="1" applyBorder="1" applyAlignment="1" applyProtection="1">
      <alignment horizontal="right"/>
      <protection hidden="1"/>
    </xf>
    <xf numFmtId="0" fontId="39" fillId="0" borderId="15" xfId="0" applyFont="1" applyBorder="1" applyAlignment="1">
      <alignment vertical="center" wrapText="1"/>
    </xf>
    <xf numFmtId="0" fontId="39" fillId="0" borderId="14" xfId="0" applyFont="1" applyBorder="1" applyAlignment="1">
      <alignment vertical="center" wrapText="1"/>
    </xf>
    <xf numFmtId="0" fontId="39" fillId="0" borderId="19" xfId="0" applyFont="1" applyBorder="1" applyAlignment="1">
      <alignment vertical="center" wrapText="1"/>
    </xf>
    <xf numFmtId="0" fontId="39" fillId="0" borderId="18" xfId="0" applyFont="1" applyBorder="1" applyAlignment="1">
      <alignment vertical="center" wrapText="1"/>
    </xf>
    <xf numFmtId="43" fontId="7" fillId="0" borderId="5" xfId="1" applyFont="1" applyBorder="1" applyAlignment="1">
      <alignment horizontal="right" vertical="top"/>
    </xf>
    <xf numFmtId="15" fontId="14" fillId="0" borderId="25" xfId="1" applyNumberFormat="1" applyFont="1" applyBorder="1" applyAlignment="1">
      <alignment horizontal="center" vertical="top"/>
    </xf>
    <xf numFmtId="167" fontId="1" fillId="0" borderId="0" xfId="1" applyNumberFormat="1"/>
    <xf numFmtId="43" fontId="1" fillId="0" borderId="0" xfId="1"/>
    <xf numFmtId="43" fontId="1" fillId="0" borderId="0" xfId="1" applyAlignment="1">
      <alignment horizontal="right"/>
    </xf>
    <xf numFmtId="43" fontId="3" fillId="0" borderId="0" xfId="1" applyFont="1"/>
    <xf numFmtId="0" fontId="41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167" fontId="1" fillId="0" borderId="0" xfId="1" applyNumberFormat="1" applyAlignment="1">
      <alignment horizontal="centerContinuous"/>
    </xf>
    <xf numFmtId="43" fontId="1" fillId="0" borderId="0" xfId="1" applyAlignment="1">
      <alignment horizontal="centerContinuous"/>
    </xf>
    <xf numFmtId="167" fontId="36" fillId="0" borderId="136" xfId="1" applyNumberFormat="1" applyFont="1" applyFill="1" applyBorder="1" applyAlignment="1">
      <alignment horizontal="center" vertical="center" wrapText="1"/>
    </xf>
    <xf numFmtId="167" fontId="42" fillId="0" borderId="136" xfId="1" applyNumberFormat="1" applyFont="1" applyFill="1" applyBorder="1" applyAlignment="1">
      <alignment horizontal="center" vertical="center" wrapText="1"/>
    </xf>
    <xf numFmtId="0" fontId="41" fillId="0" borderId="0" xfId="0" applyFont="1"/>
    <xf numFmtId="166" fontId="24" fillId="0" borderId="0" xfId="0" applyNumberFormat="1" applyFont="1"/>
    <xf numFmtId="167" fontId="17" fillId="0" borderId="136" xfId="1" applyNumberFormat="1" applyFont="1" applyFill="1" applyBorder="1" applyAlignment="1">
      <alignment horizontal="center" vertical="center" wrapText="1"/>
    </xf>
    <xf numFmtId="167" fontId="43" fillId="0" borderId="136" xfId="1" applyNumberFormat="1" applyFont="1" applyFill="1" applyBorder="1" applyAlignment="1">
      <alignment horizontal="center" vertical="center" wrapText="1"/>
    </xf>
    <xf numFmtId="0" fontId="0" fillId="0" borderId="136" xfId="0" applyBorder="1"/>
    <xf numFmtId="0" fontId="0" fillId="0" borderId="136" xfId="0" applyBorder="1" applyAlignment="1">
      <alignment horizontal="center"/>
    </xf>
    <xf numFmtId="167" fontId="1" fillId="0" borderId="136" xfId="1" applyNumberFormat="1" applyBorder="1"/>
    <xf numFmtId="43" fontId="1" fillId="0" borderId="136" xfId="1" applyBorder="1"/>
    <xf numFmtId="4" fontId="1" fillId="0" borderId="136" xfId="1" applyNumberFormat="1" applyBorder="1" applyAlignment="1">
      <alignment horizontal="right"/>
    </xf>
    <xf numFmtId="43" fontId="0" fillId="0" borderId="136" xfId="1" applyFont="1" applyBorder="1"/>
    <xf numFmtId="0" fontId="0" fillId="0" borderId="143" xfId="0" applyBorder="1"/>
    <xf numFmtId="0" fontId="0" fillId="0" borderId="143" xfId="0" applyBorder="1" applyAlignment="1">
      <alignment horizontal="center"/>
    </xf>
    <xf numFmtId="167" fontId="1" fillId="0" borderId="143" xfId="1" applyNumberFormat="1" applyBorder="1"/>
    <xf numFmtId="43" fontId="1" fillId="0" borderId="143" xfId="1" applyBorder="1"/>
    <xf numFmtId="4" fontId="1" fillId="0" borderId="143" xfId="1" applyNumberFormat="1" applyBorder="1" applyAlignment="1">
      <alignment horizontal="right"/>
    </xf>
    <xf numFmtId="43" fontId="0" fillId="0" borderId="143" xfId="1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167" fontId="1" fillId="0" borderId="0" xfId="1" applyNumberFormat="1" applyBorder="1"/>
    <xf numFmtId="43" fontId="1" fillId="0" borderId="0" xfId="1" applyBorder="1"/>
    <xf numFmtId="4" fontId="1" fillId="0" borderId="0" xfId="1" applyNumberFormat="1" applyBorder="1" applyAlignment="1">
      <alignment horizontal="right"/>
    </xf>
    <xf numFmtId="43" fontId="0" fillId="0" borderId="0" xfId="1" applyFont="1" applyBorder="1"/>
    <xf numFmtId="0" fontId="24" fillId="0" borderId="144" xfId="0" applyFont="1" applyBorder="1" applyAlignment="1">
      <alignment horizontal="center"/>
    </xf>
    <xf numFmtId="0" fontId="24" fillId="0" borderId="131" xfId="0" applyFont="1" applyBorder="1" applyAlignment="1">
      <alignment horizontal="center"/>
    </xf>
    <xf numFmtId="167" fontId="24" fillId="0" borderId="131" xfId="1" applyNumberFormat="1" applyFont="1" applyBorder="1"/>
    <xf numFmtId="43" fontId="24" fillId="0" borderId="131" xfId="1" applyFont="1" applyBorder="1"/>
    <xf numFmtId="4" fontId="24" fillId="0" borderId="131" xfId="1" applyNumberFormat="1" applyFont="1" applyBorder="1" applyAlignment="1">
      <alignment horizontal="right"/>
    </xf>
    <xf numFmtId="43" fontId="24" fillId="0" borderId="144" xfId="1" applyFont="1" applyBorder="1"/>
    <xf numFmtId="0" fontId="0" fillId="2" borderId="0" xfId="0" applyFill="1" applyProtection="1">
      <protection hidden="1"/>
    </xf>
    <xf numFmtId="167" fontId="1" fillId="2" borderId="0" xfId="1" applyNumberFormat="1" applyFill="1" applyAlignment="1" applyProtection="1">
      <alignment vertical="top"/>
      <protection hidden="1"/>
    </xf>
    <xf numFmtId="0" fontId="0" fillId="2" borderId="0" xfId="0" applyFill="1" applyAlignment="1" applyProtection="1">
      <alignment horizontal="right" vertical="center"/>
      <protection hidden="1"/>
    </xf>
    <xf numFmtId="167" fontId="14" fillId="2" borderId="0" xfId="1" applyNumberFormat="1" applyFont="1" applyFill="1" applyAlignment="1" applyProtection="1">
      <alignment horizontal="right" vertical="center"/>
      <protection hidden="1"/>
    </xf>
    <xf numFmtId="167" fontId="14" fillId="2" borderId="0" xfId="1" applyNumberFormat="1" applyFont="1" applyFill="1" applyAlignment="1" applyProtection="1">
      <alignment vertical="center"/>
      <protection hidden="1"/>
    </xf>
    <xf numFmtId="167" fontId="14" fillId="2" borderId="0" xfId="1" applyNumberFormat="1" applyFont="1" applyFill="1" applyAlignment="1" applyProtection="1">
      <alignment horizontal="right" vertical="center" wrapText="1"/>
      <protection hidden="1"/>
    </xf>
    <xf numFmtId="167" fontId="14" fillId="2" borderId="0" xfId="1" applyNumberFormat="1" applyFont="1" applyFill="1" applyBorder="1" applyAlignment="1" applyProtection="1">
      <alignment horizontal="right" vertical="center" wrapText="1"/>
      <protection hidden="1"/>
    </xf>
    <xf numFmtId="167" fontId="44" fillId="2" borderId="0" xfId="1" applyNumberFormat="1" applyFont="1" applyFill="1" applyBorder="1" applyAlignment="1" applyProtection="1">
      <alignment horizontal="center" vertical="center" wrapText="1"/>
      <protection hidden="1"/>
    </xf>
    <xf numFmtId="167" fontId="44" fillId="0" borderId="0" xfId="1" applyNumberFormat="1" applyFont="1" applyFill="1" applyBorder="1" applyAlignment="1" applyProtection="1">
      <alignment horizontal="center" vertical="center" wrapText="1"/>
      <protection hidden="1"/>
    </xf>
    <xf numFmtId="167" fontId="1" fillId="2" borderId="0" xfId="1" applyNumberFormat="1" applyFill="1" applyProtection="1">
      <protection hidden="1"/>
    </xf>
    <xf numFmtId="167" fontId="22" fillId="2" borderId="0" xfId="1" applyNumberFormat="1" applyFont="1" applyFill="1" applyBorder="1" applyAlignment="1" applyProtection="1">
      <alignment horizontal="center" vertical="center" wrapText="1"/>
      <protection hidden="1"/>
    </xf>
    <xf numFmtId="0" fontId="0" fillId="12" borderId="0" xfId="0" applyFill="1" applyProtection="1">
      <protection hidden="1"/>
    </xf>
    <xf numFmtId="0" fontId="8" fillId="2" borderId="91" xfId="0" applyFont="1" applyFill="1" applyBorder="1" applyAlignment="1" applyProtection="1">
      <alignment vertical="center"/>
      <protection hidden="1"/>
    </xf>
    <xf numFmtId="0" fontId="22" fillId="2" borderId="91" xfId="0" applyFont="1" applyFill="1" applyBorder="1" applyAlignment="1" applyProtection="1">
      <alignment horizontal="center" vertical="center"/>
      <protection hidden="1"/>
    </xf>
    <xf numFmtId="167" fontId="45" fillId="2" borderId="91" xfId="1" applyNumberFormat="1" applyFont="1" applyFill="1" applyBorder="1" applyAlignment="1" applyProtection="1">
      <alignment horizontal="center" vertical="center"/>
      <protection hidden="1"/>
    </xf>
    <xf numFmtId="167" fontId="45" fillId="2" borderId="35" xfId="1" applyNumberFormat="1" applyFont="1" applyFill="1" applyBorder="1" applyAlignment="1" applyProtection="1">
      <alignment horizontal="center" vertical="center"/>
      <protection hidden="1"/>
    </xf>
    <xf numFmtId="167" fontId="22" fillId="2" borderId="91" xfId="1" applyNumberFormat="1" applyFont="1" applyFill="1" applyBorder="1" applyAlignment="1" applyProtection="1">
      <alignment horizontal="center" vertical="center" wrapText="1"/>
      <protection hidden="1"/>
    </xf>
    <xf numFmtId="167" fontId="22" fillId="2" borderId="78" xfId="1" applyNumberFormat="1" applyFont="1" applyFill="1" applyBorder="1" applyAlignment="1" applyProtection="1">
      <alignment horizontal="center" vertical="center" wrapText="1"/>
      <protection hidden="1"/>
    </xf>
    <xf numFmtId="167" fontId="46" fillId="2" borderId="5" xfId="1" applyNumberFormat="1" applyFont="1" applyFill="1" applyBorder="1" applyAlignment="1" applyProtection="1">
      <alignment horizontal="center" vertical="center" wrapText="1"/>
      <protection hidden="1"/>
    </xf>
    <xf numFmtId="167" fontId="46" fillId="0" borderId="0" xfId="1" applyNumberFormat="1" applyFont="1" applyFill="1" applyBorder="1" applyAlignment="1" applyProtection="1">
      <alignment horizontal="center" vertical="center" wrapText="1"/>
      <protection hidden="1"/>
    </xf>
    <xf numFmtId="167" fontId="22" fillId="0" borderId="147" xfId="1" applyNumberFormat="1" applyFont="1" applyBorder="1" applyAlignment="1" applyProtection="1">
      <alignment horizontal="center" vertical="center" wrapText="1"/>
      <protection hidden="1"/>
    </xf>
    <xf numFmtId="167" fontId="47" fillId="0" borderId="148" xfId="1" applyNumberFormat="1" applyFont="1" applyBorder="1" applyAlignment="1" applyProtection="1">
      <alignment vertical="center" wrapText="1"/>
      <protection hidden="1"/>
    </xf>
    <xf numFmtId="167" fontId="48" fillId="2" borderId="0" xfId="1" applyNumberFormat="1" applyFont="1" applyFill="1" applyProtection="1">
      <protection hidden="1"/>
    </xf>
    <xf numFmtId="0" fontId="8" fillId="0" borderId="0" xfId="0" applyFont="1" applyFill="1" applyBorder="1" applyAlignment="1" applyProtection="1">
      <alignment vertical="center"/>
      <protection hidden="1"/>
    </xf>
    <xf numFmtId="0" fontId="22" fillId="0" borderId="0" xfId="0" applyFont="1" applyFill="1" applyBorder="1" applyAlignment="1" applyProtection="1">
      <alignment vertical="center"/>
      <protection hidden="1"/>
    </xf>
    <xf numFmtId="167" fontId="45" fillId="0" borderId="0" xfId="1" applyNumberFormat="1" applyFont="1" applyFill="1" applyBorder="1" applyAlignment="1" applyProtection="1">
      <alignment horizontal="center" vertical="center"/>
      <protection hidden="1"/>
    </xf>
    <xf numFmtId="167" fontId="22" fillId="0" borderId="0" xfId="1" applyNumberFormat="1" applyFont="1" applyFill="1" applyBorder="1" applyAlignment="1" applyProtection="1">
      <alignment vertical="center" wrapText="1"/>
      <protection hidden="1"/>
    </xf>
    <xf numFmtId="0" fontId="50" fillId="0" borderId="0" xfId="0" applyFont="1" applyFill="1" applyBorder="1" applyAlignment="1" applyProtection="1">
      <alignment horizontal="center"/>
      <protection hidden="1"/>
    </xf>
    <xf numFmtId="0" fontId="0" fillId="0" borderId="0" xfId="0" applyFill="1" applyBorder="1" applyAlignment="1" applyProtection="1">
      <alignment horizontal="center" vertical="top" wrapText="1"/>
      <protection hidden="1"/>
    </xf>
    <xf numFmtId="167" fontId="1" fillId="0" borderId="0" xfId="1" applyNumberFormat="1" applyFill="1" applyProtection="1">
      <protection hidden="1"/>
    </xf>
    <xf numFmtId="0" fontId="0" fillId="0" borderId="0" xfId="0" applyFill="1" applyAlignment="1" applyProtection="1">
      <alignment horizontal="left"/>
      <protection hidden="1"/>
    </xf>
    <xf numFmtId="167" fontId="1" fillId="0" borderId="0" xfId="1" applyNumberFormat="1" applyFill="1" applyBorder="1" applyProtection="1">
      <protection hidden="1"/>
    </xf>
    <xf numFmtId="167" fontId="26" fillId="0" borderId="0" xfId="1" applyNumberFormat="1" applyFont="1" applyFill="1" applyBorder="1" applyAlignment="1" applyProtection="1">
      <alignment horizontal="center"/>
      <protection hidden="1"/>
    </xf>
    <xf numFmtId="0" fontId="17" fillId="12" borderId="0" xfId="0" applyFont="1" applyFill="1" applyProtection="1">
      <protection hidden="1"/>
    </xf>
    <xf numFmtId="167" fontId="45" fillId="0" borderId="4" xfId="1" applyNumberFormat="1" applyFont="1" applyBorder="1" applyAlignment="1" applyProtection="1">
      <alignment horizontal="center" vertical="center" wrapText="1"/>
      <protection hidden="1"/>
    </xf>
    <xf numFmtId="167" fontId="52" fillId="0" borderId="159" xfId="1" applyNumberFormat="1" applyFont="1" applyBorder="1" applyAlignment="1" applyProtection="1">
      <alignment horizontal="center" vertical="center" wrapText="1"/>
      <protection hidden="1"/>
    </xf>
    <xf numFmtId="167" fontId="52" fillId="0" borderId="0" xfId="1" applyNumberFormat="1" applyFont="1" applyFill="1" applyBorder="1" applyAlignment="1" applyProtection="1">
      <alignment horizontal="center" vertical="center" wrapText="1"/>
      <protection hidden="1"/>
    </xf>
    <xf numFmtId="0" fontId="17" fillId="0" borderId="0" xfId="0" applyFont="1" applyFill="1" applyProtection="1">
      <protection hidden="1"/>
    </xf>
    <xf numFmtId="167" fontId="1" fillId="0" borderId="151" xfId="1" applyNumberFormat="1" applyFill="1" applyBorder="1" applyProtection="1">
      <protection hidden="1"/>
    </xf>
    <xf numFmtId="167" fontId="26" fillId="0" borderId="164" xfId="1" applyNumberFormat="1" applyFont="1" applyFill="1" applyBorder="1" applyAlignment="1" applyProtection="1">
      <alignment horizontal="center"/>
      <protection hidden="1"/>
    </xf>
    <xf numFmtId="0" fontId="47" fillId="2" borderId="0" xfId="0" applyFont="1" applyFill="1" applyProtection="1">
      <protection hidden="1"/>
    </xf>
    <xf numFmtId="0" fontId="36" fillId="0" borderId="160" xfId="0" applyFont="1" applyBorder="1" applyAlignment="1" applyProtection="1">
      <alignment vertical="center"/>
      <protection hidden="1"/>
    </xf>
    <xf numFmtId="0" fontId="45" fillId="0" borderId="161" xfId="0" applyFont="1" applyBorder="1" applyAlignment="1" applyProtection="1">
      <alignment vertical="center"/>
      <protection hidden="1"/>
    </xf>
    <xf numFmtId="167" fontId="47" fillId="0" borderId="161" xfId="1" applyNumberFormat="1" applyFont="1" applyBorder="1" applyAlignment="1" applyProtection="1">
      <alignment vertical="center" wrapText="1"/>
      <protection hidden="1"/>
    </xf>
    <xf numFmtId="167" fontId="45" fillId="0" borderId="161" xfId="1" applyNumberFormat="1" applyFont="1" applyBorder="1" applyAlignment="1" applyProtection="1">
      <alignment vertical="center" wrapText="1"/>
      <protection hidden="1"/>
    </xf>
    <xf numFmtId="167" fontId="45" fillId="0" borderId="162" xfId="1" applyNumberFormat="1" applyFont="1" applyBorder="1" applyAlignment="1" applyProtection="1">
      <alignment vertical="center" wrapText="1"/>
      <protection hidden="1"/>
    </xf>
    <xf numFmtId="167" fontId="45" fillId="0" borderId="163" xfId="1" applyNumberFormat="1" applyFont="1" applyBorder="1" applyAlignment="1" applyProtection="1">
      <alignment vertical="center" wrapText="1"/>
      <protection hidden="1"/>
    </xf>
    <xf numFmtId="167" fontId="45" fillId="0" borderId="164" xfId="1" applyNumberFormat="1" applyFont="1" applyBorder="1" applyAlignment="1" applyProtection="1">
      <alignment vertical="center" wrapText="1"/>
      <protection hidden="1"/>
    </xf>
    <xf numFmtId="167" fontId="45" fillId="0" borderId="153" xfId="1" applyNumberFormat="1" applyFont="1" applyBorder="1" applyAlignment="1" applyProtection="1">
      <alignment horizontal="center" vertical="center" wrapText="1"/>
      <protection hidden="1"/>
    </xf>
    <xf numFmtId="167" fontId="52" fillId="0" borderId="160" xfId="1" applyNumberFormat="1" applyFont="1" applyBorder="1" applyAlignment="1" applyProtection="1">
      <alignment horizontal="center" vertical="center" wrapText="1"/>
      <protection hidden="1"/>
    </xf>
    <xf numFmtId="167" fontId="45" fillId="0" borderId="147" xfId="1" applyNumberFormat="1" applyFont="1" applyBorder="1" applyAlignment="1" applyProtection="1">
      <alignment horizontal="center" vertical="center" wrapText="1"/>
      <protection hidden="1"/>
    </xf>
    <xf numFmtId="0" fontId="47" fillId="0" borderId="57" xfId="1" applyNumberFormat="1" applyFont="1" applyBorder="1" applyAlignment="1" applyProtection="1">
      <alignment horizontal="left" vertical="center" wrapText="1"/>
      <protection hidden="1"/>
    </xf>
    <xf numFmtId="0" fontId="47" fillId="0" borderId="0" xfId="0" applyFont="1" applyFill="1" applyProtection="1">
      <protection hidden="1"/>
    </xf>
    <xf numFmtId="0" fontId="3" fillId="12" borderId="0" xfId="0" applyFont="1" applyFill="1" applyProtection="1">
      <protection hidden="1"/>
    </xf>
    <xf numFmtId="0" fontId="7" fillId="0" borderId="32" xfId="0" applyFont="1" applyBorder="1" applyAlignment="1" applyProtection="1">
      <alignment horizontal="center" vertical="top"/>
      <protection hidden="1"/>
    </xf>
    <xf numFmtId="0" fontId="14" fillId="0" borderId="33" xfId="0" applyFont="1" applyBorder="1" applyAlignment="1" applyProtection="1">
      <alignment horizontal="left" vertical="top"/>
      <protection hidden="1"/>
    </xf>
    <xf numFmtId="167" fontId="14" fillId="0" borderId="33" xfId="1" applyNumberFormat="1" applyFont="1" applyBorder="1" applyAlignment="1" applyProtection="1">
      <alignment vertical="top" wrapText="1"/>
      <protection hidden="1"/>
    </xf>
    <xf numFmtId="167" fontId="14" fillId="0" borderId="0" xfId="1" applyNumberFormat="1" applyFont="1" applyBorder="1" applyAlignment="1" applyProtection="1">
      <alignment vertical="top" wrapText="1"/>
      <protection hidden="1"/>
    </xf>
    <xf numFmtId="167" fontId="44" fillId="0" borderId="155" xfId="1" applyNumberFormat="1" applyFont="1" applyBorder="1" applyAlignment="1" applyProtection="1">
      <alignment horizontal="center" vertical="top" wrapText="1"/>
      <protection hidden="1"/>
    </xf>
    <xf numFmtId="167" fontId="44" fillId="0" borderId="0" xfId="1" applyNumberFormat="1" applyFont="1" applyFill="1" applyBorder="1" applyAlignment="1" applyProtection="1">
      <alignment horizontal="center" vertical="top" wrapText="1"/>
      <protection hidden="1"/>
    </xf>
    <xf numFmtId="0" fontId="47" fillId="0" borderId="32" xfId="1" applyNumberFormat="1" applyFont="1" applyBorder="1" applyAlignment="1" applyProtection="1">
      <alignment vertical="center" wrapText="1"/>
      <protection hidden="1"/>
    </xf>
    <xf numFmtId="0" fontId="47" fillId="0" borderId="33" xfId="1" applyNumberFormat="1" applyFont="1" applyBorder="1" applyAlignment="1" applyProtection="1">
      <alignment vertical="center" wrapText="1"/>
      <protection hidden="1"/>
    </xf>
    <xf numFmtId="0" fontId="7" fillId="0" borderId="165" xfId="0" applyFont="1" applyBorder="1" applyAlignment="1" applyProtection="1">
      <alignment horizontal="center" vertical="top"/>
      <protection hidden="1"/>
    </xf>
    <xf numFmtId="167" fontId="53" fillId="0" borderId="166" xfId="0" applyNumberFormat="1" applyFont="1" applyBorder="1" applyAlignment="1" applyProtection="1">
      <alignment horizontal="right" vertical="top"/>
      <protection hidden="1"/>
    </xf>
    <xf numFmtId="167" fontId="54" fillId="0" borderId="167" xfId="1" applyNumberFormat="1" applyFont="1" applyBorder="1" applyAlignment="1" applyProtection="1">
      <alignment horizontal="left" vertical="top"/>
      <protection hidden="1"/>
    </xf>
    <xf numFmtId="167" fontId="44" fillId="0" borderId="167" xfId="1" applyNumberFormat="1" applyFont="1" applyBorder="1" applyAlignment="1" applyProtection="1">
      <alignment horizontal="right" vertical="top"/>
      <protection hidden="1"/>
    </xf>
    <xf numFmtId="167" fontId="53" fillId="0" borderId="167" xfId="1" applyNumberFormat="1" applyFont="1" applyBorder="1" applyAlignment="1" applyProtection="1">
      <alignment vertical="top" wrapText="1"/>
      <protection hidden="1"/>
    </xf>
    <xf numFmtId="167" fontId="53" fillId="0" borderId="166" xfId="1" applyNumberFormat="1" applyFont="1" applyBorder="1" applyAlignment="1" applyProtection="1">
      <alignment vertical="top"/>
      <protection hidden="1"/>
    </xf>
    <xf numFmtId="167" fontId="53" fillId="0" borderId="168" xfId="1" applyNumberFormat="1" applyFont="1" applyBorder="1" applyAlignment="1" applyProtection="1">
      <alignment vertical="top" wrapText="1"/>
      <protection hidden="1"/>
    </xf>
    <xf numFmtId="167" fontId="53" fillId="0" borderId="153" xfId="1" applyNumberFormat="1" applyFont="1" applyBorder="1" applyAlignment="1" applyProtection="1">
      <alignment vertical="top" wrapText="1"/>
      <protection hidden="1"/>
    </xf>
    <xf numFmtId="167" fontId="46" fillId="0" borderId="169" xfId="1" applyNumberFormat="1" applyFont="1" applyBorder="1" applyAlignment="1" applyProtection="1">
      <alignment horizontal="center" vertical="top" wrapText="1"/>
      <protection hidden="1"/>
    </xf>
    <xf numFmtId="167" fontId="46" fillId="0" borderId="0" xfId="1" applyNumberFormat="1" applyFont="1" applyFill="1" applyBorder="1" applyAlignment="1" applyProtection="1">
      <alignment horizontal="center" vertical="top" wrapText="1"/>
      <protection hidden="1"/>
    </xf>
    <xf numFmtId="167" fontId="44" fillId="0" borderId="153" xfId="1" applyNumberFormat="1" applyFont="1" applyFill="1" applyBorder="1" applyAlignment="1" applyProtection="1">
      <alignment horizontal="center" vertical="top" wrapText="1"/>
      <protection hidden="1"/>
    </xf>
    <xf numFmtId="167" fontId="44" fillId="0" borderId="154" xfId="1" applyNumberFormat="1" applyFont="1" applyFill="1" applyBorder="1" applyAlignment="1" applyProtection="1">
      <alignment horizontal="center" vertical="top" wrapText="1"/>
      <protection hidden="1"/>
    </xf>
    <xf numFmtId="167" fontId="14" fillId="0" borderId="153" xfId="1" applyNumberFormat="1" applyFont="1" applyFill="1" applyBorder="1" applyAlignment="1" applyProtection="1">
      <alignment vertical="top" wrapText="1"/>
      <protection hidden="1"/>
    </xf>
    <xf numFmtId="167" fontId="44" fillId="0" borderId="170" xfId="1" applyNumberFormat="1" applyFont="1" applyFill="1" applyBorder="1" applyAlignment="1" applyProtection="1">
      <alignment horizontal="center" vertical="top" wrapText="1"/>
      <protection hidden="1"/>
    </xf>
    <xf numFmtId="167" fontId="14" fillId="0" borderId="171" xfId="1" applyNumberFormat="1" applyFont="1" applyFill="1" applyBorder="1" applyAlignment="1" applyProtection="1">
      <alignment vertical="top" wrapText="1"/>
      <protection hidden="1"/>
    </xf>
    <xf numFmtId="167" fontId="14" fillId="0" borderId="172" xfId="1" applyNumberFormat="1" applyFont="1" applyFill="1" applyBorder="1" applyAlignment="1" applyProtection="1">
      <alignment vertical="top" wrapText="1"/>
      <protection hidden="1"/>
    </xf>
    <xf numFmtId="167" fontId="14" fillId="0" borderId="173" xfId="1" applyNumberFormat="1" applyFont="1" applyFill="1" applyBorder="1" applyAlignment="1" applyProtection="1">
      <alignment vertical="top" wrapText="1"/>
      <protection hidden="1"/>
    </xf>
    <xf numFmtId="167" fontId="55" fillId="0" borderId="175" xfId="1" applyNumberFormat="1" applyFont="1" applyBorder="1" applyAlignment="1" applyProtection="1">
      <alignment horizontal="center" vertical="top" wrapText="1"/>
      <protection hidden="1"/>
    </xf>
    <xf numFmtId="9" fontId="55" fillId="2" borderId="50" xfId="3" applyFont="1" applyFill="1" applyBorder="1" applyAlignment="1" applyProtection="1">
      <alignment vertical="top" wrapText="1"/>
      <protection hidden="1"/>
    </xf>
    <xf numFmtId="167" fontId="52" fillId="0" borderId="175" xfId="1" applyNumberFormat="1" applyFont="1" applyBorder="1" applyAlignment="1" applyProtection="1">
      <alignment horizontal="center" vertical="top" wrapText="1"/>
      <protection hidden="1"/>
    </xf>
    <xf numFmtId="9" fontId="44" fillId="0" borderId="0" xfId="3" applyFont="1" applyFill="1" applyBorder="1" applyAlignment="1" applyProtection="1">
      <alignment horizontal="right" vertical="top" wrapText="1"/>
      <protection hidden="1"/>
    </xf>
    <xf numFmtId="9" fontId="55" fillId="2" borderId="44" xfId="3" applyFont="1" applyFill="1" applyBorder="1" applyAlignment="1" applyProtection="1">
      <alignment vertical="top" wrapText="1"/>
      <protection hidden="1"/>
    </xf>
    <xf numFmtId="167" fontId="46" fillId="0" borderId="175" xfId="1" applyNumberFormat="1" applyFont="1" applyBorder="1" applyAlignment="1" applyProtection="1">
      <alignment horizontal="center" vertical="top" wrapText="1"/>
      <protection hidden="1"/>
    </xf>
    <xf numFmtId="9" fontId="44" fillId="2" borderId="178" xfId="3" applyFont="1" applyFill="1" applyBorder="1" applyAlignment="1" applyProtection="1">
      <alignment vertical="top" wrapText="1"/>
      <protection hidden="1"/>
    </xf>
    <xf numFmtId="0" fontId="7" fillId="0" borderId="150" xfId="0" applyFont="1" applyBorder="1" applyAlignment="1" applyProtection="1">
      <alignment horizontal="center" vertical="top"/>
      <protection hidden="1"/>
    </xf>
    <xf numFmtId="167" fontId="53" fillId="0" borderId="161" xfId="0" applyNumberFormat="1" applyFont="1" applyBorder="1" applyAlignment="1" applyProtection="1">
      <alignment horizontal="right" vertical="top"/>
      <protection hidden="1"/>
    </xf>
    <xf numFmtId="167" fontId="56" fillId="0" borderId="162" xfId="1" applyNumberFormat="1" applyFont="1" applyBorder="1" applyAlignment="1" applyProtection="1">
      <alignment horizontal="right" vertical="top"/>
      <protection hidden="1"/>
    </xf>
    <xf numFmtId="167" fontId="57" fillId="0" borderId="162" xfId="1" applyNumberFormat="1" applyFont="1" applyBorder="1" applyAlignment="1" applyProtection="1">
      <alignment horizontal="center" vertical="top"/>
      <protection hidden="1"/>
    </xf>
    <xf numFmtId="167" fontId="44" fillId="0" borderId="162" xfId="1" applyNumberFormat="1" applyFont="1" applyBorder="1" applyAlignment="1" applyProtection="1">
      <alignment horizontal="right" vertical="top"/>
      <protection hidden="1"/>
    </xf>
    <xf numFmtId="167" fontId="53" fillId="0" borderId="162" xfId="1" applyNumberFormat="1" applyFont="1" applyBorder="1" applyAlignment="1" applyProtection="1">
      <alignment vertical="top" wrapText="1"/>
      <protection hidden="1"/>
    </xf>
    <xf numFmtId="167" fontId="53" fillId="0" borderId="163" xfId="1" applyNumberFormat="1" applyFont="1" applyBorder="1" applyAlignment="1" applyProtection="1">
      <alignment vertical="top"/>
      <protection hidden="1"/>
    </xf>
    <xf numFmtId="167" fontId="53" fillId="0" borderId="164" xfId="1" applyNumberFormat="1" applyFont="1" applyBorder="1" applyAlignment="1" applyProtection="1">
      <alignment vertical="top" wrapText="1"/>
      <protection hidden="1"/>
    </xf>
    <xf numFmtId="167" fontId="46" fillId="0" borderId="74" xfId="1" applyNumberFormat="1" applyFont="1" applyBorder="1" applyAlignment="1" applyProtection="1">
      <alignment horizontal="center" vertical="top" wrapText="1"/>
      <protection hidden="1"/>
    </xf>
    <xf numFmtId="0" fontId="7" fillId="0" borderId="155" xfId="0" applyFont="1" applyBorder="1" applyAlignment="1" applyProtection="1">
      <alignment vertical="top"/>
      <protection hidden="1"/>
    </xf>
    <xf numFmtId="0" fontId="8" fillId="0" borderId="183" xfId="0" applyFont="1" applyFill="1" applyBorder="1" applyAlignment="1" applyProtection="1">
      <alignment horizontal="right"/>
      <protection hidden="1"/>
    </xf>
    <xf numFmtId="167" fontId="44" fillId="0" borderId="184" xfId="1" applyNumberFormat="1" applyFont="1" applyBorder="1" applyAlignment="1" applyProtection="1">
      <alignment vertical="top" wrapText="1"/>
      <protection hidden="1"/>
    </xf>
    <xf numFmtId="10" fontId="44" fillId="0" borderId="186" xfId="3" applyNumberFormat="1" applyFont="1" applyBorder="1" applyAlignment="1" applyProtection="1">
      <alignment horizontal="center" vertical="top" wrapText="1"/>
      <protection hidden="1"/>
    </xf>
    <xf numFmtId="9" fontId="44" fillId="0" borderId="38" xfId="3" applyFont="1" applyBorder="1" applyAlignment="1" applyProtection="1">
      <alignment vertical="top" wrapText="1"/>
      <protection hidden="1"/>
    </xf>
    <xf numFmtId="167" fontId="52" fillId="0" borderId="187" xfId="1" applyNumberFormat="1" applyFont="1" applyBorder="1" applyAlignment="1" applyProtection="1">
      <alignment horizontal="center" vertical="top" wrapText="1"/>
      <protection hidden="1"/>
    </xf>
    <xf numFmtId="167" fontId="44" fillId="0" borderId="18" xfId="1" applyNumberFormat="1" applyFont="1" applyFill="1" applyBorder="1" applyAlignment="1" applyProtection="1">
      <alignment horizontal="center" vertical="top" wrapText="1"/>
      <protection hidden="1"/>
    </xf>
    <xf numFmtId="0" fontId="7" fillId="0" borderId="170" xfId="0" applyFont="1" applyBorder="1" applyAlignment="1" applyProtection="1">
      <alignment vertical="top"/>
      <protection hidden="1"/>
    </xf>
    <xf numFmtId="0" fontId="8" fillId="0" borderId="35" xfId="0" applyFont="1" applyFill="1" applyBorder="1" applyAlignment="1" applyProtection="1">
      <alignment horizontal="right"/>
      <protection hidden="1"/>
    </xf>
    <xf numFmtId="167" fontId="44" fillId="0" borderId="5" xfId="1" applyNumberFormat="1" applyFont="1" applyBorder="1" applyAlignment="1" applyProtection="1">
      <alignment vertical="top" wrapText="1"/>
      <protection hidden="1"/>
    </xf>
    <xf numFmtId="9" fontId="44" fillId="0" borderId="188" xfId="3" applyFont="1" applyBorder="1" applyAlignment="1" applyProtection="1">
      <alignment horizontal="center" vertical="top" wrapText="1"/>
      <protection hidden="1"/>
    </xf>
    <xf numFmtId="9" fontId="44" fillId="0" borderId="72" xfId="3" applyFont="1" applyBorder="1" applyAlignment="1" applyProtection="1">
      <alignment vertical="top" wrapText="1"/>
      <protection hidden="1"/>
    </xf>
    <xf numFmtId="167" fontId="44" fillId="0" borderId="72" xfId="1" applyNumberFormat="1" applyFont="1" applyFill="1" applyBorder="1" applyAlignment="1" applyProtection="1">
      <alignment horizontal="center" vertical="top" wrapText="1"/>
      <protection hidden="1"/>
    </xf>
    <xf numFmtId="167" fontId="44" fillId="0" borderId="23" xfId="1" applyNumberFormat="1" applyFont="1" applyFill="1" applyBorder="1" applyAlignment="1" applyProtection="1">
      <alignment horizontal="center" vertical="top" wrapText="1"/>
      <protection hidden="1"/>
    </xf>
    <xf numFmtId="9" fontId="44" fillId="0" borderId="0" xfId="3" applyFont="1" applyBorder="1" applyAlignment="1" applyProtection="1">
      <alignment vertical="top" wrapText="1"/>
      <protection hidden="1"/>
    </xf>
    <xf numFmtId="167" fontId="52" fillId="0" borderId="74" xfId="1" applyNumberFormat="1" applyFont="1" applyBorder="1" applyAlignment="1" applyProtection="1">
      <alignment horizontal="center" vertical="top" wrapText="1"/>
      <protection hidden="1"/>
    </xf>
    <xf numFmtId="0" fontId="7" fillId="0" borderId="153" xfId="0" applyFont="1" applyBorder="1" applyAlignment="1" applyProtection="1">
      <alignment horizontal="center" vertical="top"/>
      <protection hidden="1"/>
    </xf>
    <xf numFmtId="167" fontId="53" fillId="0" borderId="0" xfId="1" applyNumberFormat="1" applyFont="1" applyBorder="1" applyAlignment="1" applyProtection="1">
      <alignment vertical="top" wrapText="1"/>
      <protection hidden="1"/>
    </xf>
    <xf numFmtId="167" fontId="55" fillId="0" borderId="0" xfId="1" applyNumberFormat="1" applyFont="1" applyFill="1" applyBorder="1" applyAlignment="1" applyProtection="1">
      <alignment horizontal="center" vertical="top" wrapText="1"/>
      <protection hidden="1"/>
    </xf>
    <xf numFmtId="0" fontId="14" fillId="0" borderId="5" xfId="0" applyFont="1" applyFill="1" applyBorder="1" applyAlignment="1" applyProtection="1">
      <alignment horizontal="right" vertical="center"/>
      <protection hidden="1"/>
    </xf>
    <xf numFmtId="167" fontId="44" fillId="0" borderId="72" xfId="1" applyNumberFormat="1" applyFont="1" applyBorder="1" applyAlignment="1" applyProtection="1">
      <alignment vertical="top" wrapText="1"/>
      <protection hidden="1"/>
    </xf>
    <xf numFmtId="167" fontId="44" fillId="0" borderId="73" xfId="1" applyNumberFormat="1" applyFont="1" applyBorder="1" applyAlignment="1" applyProtection="1">
      <alignment vertical="top" wrapText="1"/>
      <protection hidden="1"/>
    </xf>
    <xf numFmtId="167" fontId="53" fillId="0" borderId="5" xfId="1" applyNumberFormat="1" applyFont="1" applyBorder="1" applyAlignment="1" applyProtection="1">
      <alignment vertical="top" wrapText="1"/>
      <protection hidden="1"/>
    </xf>
    <xf numFmtId="167" fontId="44" fillId="0" borderId="0" xfId="1" applyNumberFormat="1" applyFont="1" applyBorder="1" applyAlignment="1" applyProtection="1">
      <alignment vertical="top" wrapText="1"/>
      <protection hidden="1"/>
    </xf>
    <xf numFmtId="0" fontId="7" fillId="0" borderId="160" xfId="0" applyFont="1" applyFill="1" applyBorder="1" applyAlignment="1" applyProtection="1">
      <alignment vertical="top"/>
      <protection hidden="1"/>
    </xf>
    <xf numFmtId="0" fontId="14" fillId="0" borderId="162" xfId="0" applyFont="1" applyFill="1" applyBorder="1" applyAlignment="1" applyProtection="1">
      <alignment horizontal="right" vertical="center"/>
      <protection hidden="1"/>
    </xf>
    <xf numFmtId="167" fontId="53" fillId="0" borderId="151" xfId="1" applyNumberFormat="1" applyFont="1" applyFill="1" applyBorder="1" applyAlignment="1" applyProtection="1">
      <alignment vertical="top" wrapText="1"/>
      <protection hidden="1"/>
    </xf>
    <xf numFmtId="167" fontId="53" fillId="0" borderId="163" xfId="1" applyNumberFormat="1" applyFont="1" applyFill="1" applyBorder="1" applyAlignment="1" applyProtection="1">
      <alignment vertical="top" wrapText="1"/>
      <protection hidden="1"/>
    </xf>
    <xf numFmtId="167" fontId="53" fillId="0" borderId="162" xfId="1" applyNumberFormat="1" applyFont="1" applyFill="1" applyBorder="1" applyAlignment="1" applyProtection="1">
      <alignment vertical="top" wrapText="1"/>
      <protection hidden="1"/>
    </xf>
    <xf numFmtId="167" fontId="1" fillId="0" borderId="4" xfId="1" applyNumberFormat="1" applyFill="1" applyBorder="1" applyProtection="1">
      <protection hidden="1"/>
    </xf>
    <xf numFmtId="0" fontId="0" fillId="0" borderId="4" xfId="0" applyFill="1" applyBorder="1" applyAlignment="1" applyProtection="1">
      <alignment horizontal="left"/>
      <protection hidden="1"/>
    </xf>
    <xf numFmtId="167" fontId="1" fillId="0" borderId="0" xfId="1" applyNumberFormat="1" applyFill="1" applyBorder="1" applyAlignment="1" applyProtection="1">
      <alignment horizontal="center"/>
      <protection hidden="1"/>
    </xf>
    <xf numFmtId="167" fontId="7" fillId="0" borderId="22" xfId="1" applyNumberFormat="1" applyFont="1" applyFill="1" applyBorder="1" applyAlignment="1" applyProtection="1">
      <protection hidden="1"/>
    </xf>
    <xf numFmtId="167" fontId="7" fillId="0" borderId="23" xfId="1" applyNumberFormat="1" applyFont="1" applyFill="1" applyBorder="1" applyAlignment="1" applyProtection="1">
      <protection hidden="1"/>
    </xf>
    <xf numFmtId="167" fontId="7" fillId="0" borderId="24" xfId="1" applyNumberFormat="1" applyFont="1" applyFill="1" applyBorder="1" applyAlignment="1" applyProtection="1">
      <protection hidden="1"/>
    </xf>
    <xf numFmtId="0" fontId="7" fillId="2" borderId="0" xfId="0" applyFont="1" applyFill="1" applyProtection="1">
      <protection hidden="1"/>
    </xf>
    <xf numFmtId="167" fontId="7" fillId="0" borderId="78" xfId="1" applyNumberFormat="1" applyFont="1" applyFill="1" applyBorder="1" applyAlignment="1" applyProtection="1">
      <protection hidden="1"/>
    </xf>
    <xf numFmtId="167" fontId="7" fillId="0" borderId="0" xfId="1" applyNumberFormat="1" applyFont="1" applyFill="1" applyBorder="1" applyAlignment="1" applyProtection="1">
      <protection hidden="1"/>
    </xf>
    <xf numFmtId="167" fontId="7" fillId="0" borderId="79" xfId="1" applyNumberFormat="1" applyFont="1" applyFill="1" applyBorder="1" applyAlignment="1" applyProtection="1">
      <protection hidden="1"/>
    </xf>
    <xf numFmtId="167" fontId="58" fillId="0" borderId="0" xfId="1" applyNumberFormat="1" applyFont="1" applyFill="1" applyBorder="1" applyAlignment="1" applyProtection="1">
      <alignment horizontal="center"/>
      <protection hidden="1"/>
    </xf>
    <xf numFmtId="167" fontId="7" fillId="0" borderId="19" xfId="1" applyNumberFormat="1" applyFont="1" applyFill="1" applyBorder="1" applyAlignment="1" applyProtection="1">
      <protection hidden="1"/>
    </xf>
    <xf numFmtId="167" fontId="7" fillId="0" borderId="18" xfId="1" applyNumberFormat="1" applyFont="1" applyFill="1" applyBorder="1" applyAlignment="1" applyProtection="1">
      <protection hidden="1"/>
    </xf>
    <xf numFmtId="167" fontId="7" fillId="0" borderId="90" xfId="1" applyNumberFormat="1" applyFont="1" applyFill="1" applyBorder="1" applyAlignment="1" applyProtection="1">
      <protection hidden="1"/>
    </xf>
    <xf numFmtId="167" fontId="5" fillId="2" borderId="0" xfId="1" applyNumberFormat="1" applyFont="1" applyFill="1" applyProtection="1">
      <protection hidden="1"/>
    </xf>
    <xf numFmtId="0" fontId="58" fillId="0" borderId="0" xfId="0" applyFont="1" applyFill="1" applyAlignment="1" applyProtection="1">
      <alignment horizontal="left"/>
      <protection hidden="1"/>
    </xf>
    <xf numFmtId="167" fontId="58" fillId="0" borderId="0" xfId="1" applyNumberFormat="1" applyFont="1" applyFill="1" applyProtection="1">
      <protection hidden="1"/>
    </xf>
    <xf numFmtId="167" fontId="58" fillId="0" borderId="0" xfId="1" applyNumberFormat="1" applyFont="1" applyFill="1" applyBorder="1" applyProtection="1">
      <protection hidden="1"/>
    </xf>
    <xf numFmtId="167" fontId="59" fillId="0" borderId="0" xfId="1" applyNumberFormat="1" applyFont="1" applyFill="1" applyBorder="1" applyAlignment="1" applyProtection="1">
      <alignment horizontal="center"/>
      <protection hidden="1"/>
    </xf>
    <xf numFmtId="0" fontId="0" fillId="0" borderId="52" xfId="0" applyFill="1" applyBorder="1" applyAlignment="1" applyProtection="1">
      <alignment horizontal="center" vertical="top" wrapText="1"/>
      <protection hidden="1"/>
    </xf>
    <xf numFmtId="167" fontId="0" fillId="0" borderId="136" xfId="1" applyNumberFormat="1" applyFont="1" applyBorder="1" applyAlignment="1" applyProtection="1">
      <alignment horizontal="right" vertical="top"/>
      <protection hidden="1"/>
    </xf>
    <xf numFmtId="167" fontId="0" fillId="0" borderId="190" xfId="1" applyNumberFormat="1" applyFont="1" applyBorder="1" applyAlignment="1" applyProtection="1">
      <alignment horizontal="right" vertical="top"/>
      <protection hidden="1"/>
    </xf>
    <xf numFmtId="166" fontId="0" fillId="0" borderId="144" xfId="1" applyNumberFormat="1" applyFont="1" applyBorder="1" applyAlignment="1" applyProtection="1">
      <alignment horizontal="right" vertical="top"/>
      <protection hidden="1"/>
    </xf>
    <xf numFmtId="166" fontId="0" fillId="0" borderId="191" xfId="1" applyNumberFormat="1" applyFont="1" applyBorder="1" applyAlignment="1" applyProtection="1">
      <alignment horizontal="right" vertical="top"/>
      <protection hidden="1"/>
    </xf>
    <xf numFmtId="3" fontId="0" fillId="0" borderId="192" xfId="1" applyNumberFormat="1" applyFont="1" applyBorder="1" applyAlignment="1" applyProtection="1">
      <alignment horizontal="right" vertical="top"/>
      <protection hidden="1"/>
    </xf>
    <xf numFmtId="3" fontId="0" fillId="0" borderId="136" xfId="1" applyNumberFormat="1" applyFont="1" applyBorder="1" applyAlignment="1" applyProtection="1">
      <alignment horizontal="right" vertical="top"/>
      <protection hidden="1"/>
    </xf>
    <xf numFmtId="3" fontId="0" fillId="0" borderId="144" xfId="1" applyNumberFormat="1" applyFont="1" applyBorder="1" applyAlignment="1" applyProtection="1">
      <alignment horizontal="right" vertical="top"/>
      <protection hidden="1"/>
    </xf>
    <xf numFmtId="3" fontId="8" fillId="0" borderId="191" xfId="1" applyNumberFormat="1" applyFont="1" applyBorder="1" applyAlignment="1" applyProtection="1">
      <alignment horizontal="right" vertical="top"/>
      <protection hidden="1"/>
    </xf>
    <xf numFmtId="173" fontId="23" fillId="10" borderId="112" xfId="1" applyNumberFormat="1" applyFont="1" applyFill="1" applyBorder="1" applyAlignment="1" applyProtection="1">
      <alignment horizontal="right"/>
      <protection hidden="1"/>
    </xf>
    <xf numFmtId="0" fontId="0" fillId="2" borderId="178" xfId="0" applyFill="1" applyBorder="1" applyAlignment="1" applyProtection="1">
      <alignment horizontal="center" vertical="top" wrapText="1"/>
      <protection locked="0"/>
    </xf>
    <xf numFmtId="166" fontId="0" fillId="0" borderId="193" xfId="1" applyNumberFormat="1" applyFont="1" applyBorder="1" applyAlignment="1" applyProtection="1">
      <alignment horizontal="right" vertical="top"/>
      <protection hidden="1"/>
    </xf>
    <xf numFmtId="0" fontId="0" fillId="2" borderId="50" xfId="0" applyFill="1" applyBorder="1" applyAlignment="1" applyProtection="1">
      <alignment horizontal="center" vertical="top"/>
      <protection locked="0"/>
    </xf>
    <xf numFmtId="167" fontId="0" fillId="0" borderId="52" xfId="1" applyNumberFormat="1" applyFont="1" applyBorder="1" applyAlignment="1" applyProtection="1">
      <alignment horizontal="right" vertical="top"/>
      <protection hidden="1"/>
    </xf>
    <xf numFmtId="167" fontId="0" fillId="0" borderId="81" xfId="1" applyNumberFormat="1" applyFont="1" applyBorder="1" applyAlignment="1" applyProtection="1">
      <alignment horizontal="right" vertical="top"/>
      <protection hidden="1"/>
    </xf>
    <xf numFmtId="167" fontId="0" fillId="0" borderId="194" xfId="1" applyNumberFormat="1" applyFont="1" applyBorder="1" applyAlignment="1" applyProtection="1">
      <alignment horizontal="right" vertical="top"/>
      <protection hidden="1"/>
    </xf>
    <xf numFmtId="167" fontId="0" fillId="0" borderId="83" xfId="1" applyNumberFormat="1" applyFont="1" applyBorder="1" applyAlignment="1" applyProtection="1">
      <alignment horizontal="right" vertical="top"/>
      <protection hidden="1"/>
    </xf>
    <xf numFmtId="167" fontId="0" fillId="0" borderId="195" xfId="1" applyNumberFormat="1" applyFont="1" applyBorder="1" applyAlignment="1" applyProtection="1">
      <alignment horizontal="right" vertical="top"/>
      <protection hidden="1"/>
    </xf>
    <xf numFmtId="0" fontId="7" fillId="0" borderId="196" xfId="0" applyFont="1" applyBorder="1" applyAlignment="1" applyProtection="1">
      <alignment horizontal="center" vertical="top" wrapText="1"/>
      <protection locked="0" hidden="1"/>
    </xf>
    <xf numFmtId="0" fontId="14" fillId="0" borderId="136" xfId="0" applyFont="1" applyBorder="1" applyAlignment="1" applyProtection="1">
      <alignment vertical="top" wrapText="1"/>
      <protection hidden="1"/>
    </xf>
    <xf numFmtId="0" fontId="0" fillId="0" borderId="136" xfId="0" applyBorder="1" applyAlignment="1" applyProtection="1">
      <alignment horizontal="right" vertical="top" wrapText="1"/>
      <protection locked="0" hidden="1"/>
    </xf>
    <xf numFmtId="0" fontId="0" fillId="0" borderId="35" xfId="0" applyBorder="1"/>
    <xf numFmtId="0" fontId="0" fillId="0" borderId="35" xfId="0" applyBorder="1" applyAlignment="1">
      <alignment horizontal="center"/>
    </xf>
    <xf numFmtId="0" fontId="60" fillId="0" borderId="0" xfId="0" applyFont="1"/>
    <xf numFmtId="0" fontId="60" fillId="0" borderId="197" xfId="0" applyFont="1" applyBorder="1" applyAlignment="1">
      <alignment horizontal="center"/>
    </xf>
    <xf numFmtId="0" fontId="60" fillId="0" borderId="198" xfId="0" applyFont="1" applyBorder="1" applyAlignment="1">
      <alignment horizontal="center"/>
    </xf>
    <xf numFmtId="0" fontId="60" fillId="0" borderId="199" xfId="0" applyFont="1" applyBorder="1" applyAlignment="1">
      <alignment horizontal="center"/>
    </xf>
    <xf numFmtId="0" fontId="0" fillId="0" borderId="200" xfId="0" applyFont="1" applyBorder="1" applyAlignment="1">
      <alignment horizontal="right"/>
    </xf>
    <xf numFmtId="0" fontId="62" fillId="17" borderId="35" xfId="0" applyFont="1" applyFill="1" applyBorder="1"/>
    <xf numFmtId="0" fontId="62" fillId="0" borderId="35" xfId="0" applyFont="1" applyBorder="1" applyAlignment="1">
      <alignment horizontal="center" vertical="top" wrapText="1"/>
    </xf>
    <xf numFmtId="173" fontId="62" fillId="0" borderId="35" xfId="1" applyNumberFormat="1" applyFont="1" applyBorder="1" applyAlignment="1">
      <alignment horizontal="right" vertical="top" wrapText="1"/>
    </xf>
    <xf numFmtId="173" fontId="62" fillId="0" borderId="201" xfId="1" applyNumberFormat="1" applyFont="1" applyBorder="1" applyAlignment="1">
      <alignment horizontal="right" vertical="top" wrapText="1"/>
    </xf>
    <xf numFmtId="173" fontId="0" fillId="0" borderId="35" xfId="1" applyNumberFormat="1" applyFont="1" applyBorder="1"/>
    <xf numFmtId="173" fontId="0" fillId="0" borderId="201" xfId="1" applyNumberFormat="1" applyFont="1" applyBorder="1"/>
    <xf numFmtId="0" fontId="0" fillId="0" borderId="35" xfId="0" applyFont="1" applyBorder="1"/>
    <xf numFmtId="0" fontId="0" fillId="0" borderId="202" xfId="0" applyBorder="1"/>
    <xf numFmtId="173" fontId="0" fillId="0" borderId="204" xfId="0" applyNumberFormat="1" applyBorder="1"/>
    <xf numFmtId="0" fontId="0" fillId="0" borderId="197" xfId="0" applyBorder="1"/>
    <xf numFmtId="0" fontId="0" fillId="0" borderId="198" xfId="0" applyBorder="1"/>
    <xf numFmtId="0" fontId="0" fillId="0" borderId="199" xfId="0" applyBorder="1"/>
    <xf numFmtId="0" fontId="0" fillId="0" borderId="200" xfId="0" applyBorder="1"/>
    <xf numFmtId="173" fontId="0" fillId="0" borderId="204" xfId="1" applyNumberFormat="1" applyFont="1" applyBorder="1"/>
    <xf numFmtId="173" fontId="60" fillId="0" borderId="204" xfId="1" applyNumberFormat="1" applyFont="1" applyBorder="1"/>
    <xf numFmtId="0" fontId="60" fillId="0" borderId="205" xfId="0" applyFont="1" applyBorder="1" applyAlignment="1">
      <alignment horizontal="center"/>
    </xf>
    <xf numFmtId="0" fontId="60" fillId="0" borderId="92" xfId="0" applyFont="1" applyBorder="1" applyAlignment="1">
      <alignment horizontal="center"/>
    </xf>
    <xf numFmtId="0" fontId="60" fillId="0" borderId="206" xfId="0" applyFont="1" applyBorder="1" applyAlignment="1">
      <alignment horizontal="center"/>
    </xf>
    <xf numFmtId="0" fontId="60" fillId="0" borderId="92" xfId="0" applyFont="1" applyBorder="1" applyAlignment="1">
      <alignment horizontal="left"/>
    </xf>
    <xf numFmtId="0" fontId="0" fillId="2" borderId="207" xfId="0" applyFill="1" applyBorder="1" applyProtection="1">
      <protection hidden="1"/>
    </xf>
    <xf numFmtId="0" fontId="0" fillId="0" borderId="200" xfId="0" applyFont="1" applyBorder="1" applyAlignment="1">
      <alignment horizontal="center"/>
    </xf>
    <xf numFmtId="0" fontId="0" fillId="0" borderId="205" xfId="0" applyBorder="1"/>
    <xf numFmtId="0" fontId="0" fillId="0" borderId="198" xfId="0" applyBorder="1" applyAlignment="1">
      <alignment horizontal="center"/>
    </xf>
    <xf numFmtId="3" fontId="0" fillId="0" borderId="0" xfId="0" applyNumberFormat="1"/>
    <xf numFmtId="0" fontId="0" fillId="0" borderId="35" xfId="0" applyBorder="1" applyAlignment="1">
      <alignment vertical="top" wrapText="1"/>
    </xf>
    <xf numFmtId="0" fontId="0" fillId="0" borderId="35" xfId="0" applyFont="1" applyBorder="1" applyAlignment="1">
      <alignment horizontal="center"/>
    </xf>
    <xf numFmtId="0" fontId="60" fillId="0" borderId="35" xfId="0" applyFont="1" applyBorder="1" applyAlignment="1">
      <alignment horizontal="left"/>
    </xf>
    <xf numFmtId="0" fontId="60" fillId="0" borderId="35" xfId="0" applyFont="1" applyBorder="1" applyAlignment="1">
      <alignment horizontal="center"/>
    </xf>
    <xf numFmtId="0" fontId="62" fillId="0" borderId="35" xfId="0" applyFont="1" applyFill="1" applyBorder="1" applyAlignment="1">
      <alignment horizontal="center" vertical="top" wrapText="1"/>
    </xf>
    <xf numFmtId="0" fontId="0" fillId="17" borderId="35" xfId="0" applyFill="1" applyBorder="1" applyAlignment="1">
      <alignment horizontal="center"/>
    </xf>
    <xf numFmtId="0" fontId="0" fillId="17" borderId="35" xfId="0" applyFill="1" applyBorder="1"/>
    <xf numFmtId="173" fontId="0" fillId="17" borderId="35" xfId="1" applyNumberFormat="1" applyFont="1" applyFill="1" applyBorder="1"/>
    <xf numFmtId="0" fontId="0" fillId="18" borderId="35" xfId="0" applyFill="1" applyBorder="1"/>
    <xf numFmtId="0" fontId="0" fillId="18" borderId="35" xfId="0" applyFill="1" applyBorder="1" applyAlignment="1">
      <alignment vertical="top" wrapText="1"/>
    </xf>
    <xf numFmtId="0" fontId="0" fillId="0" borderId="96" xfId="0" applyBorder="1"/>
    <xf numFmtId="0" fontId="60" fillId="0" borderId="20" xfId="0" applyFont="1" applyBorder="1" applyAlignment="1">
      <alignment horizontal="center"/>
    </xf>
    <xf numFmtId="173" fontId="0" fillId="0" borderId="25" xfId="1" applyNumberFormat="1" applyFont="1" applyBorder="1"/>
    <xf numFmtId="173" fontId="0" fillId="0" borderId="20" xfId="1" applyNumberFormat="1" applyFont="1" applyBorder="1"/>
    <xf numFmtId="0" fontId="0" fillId="0" borderId="25" xfId="0" applyBorder="1"/>
    <xf numFmtId="0" fontId="0" fillId="0" borderId="35" xfId="0" applyFill="1" applyBorder="1" applyAlignment="1">
      <alignment horizontal="center"/>
    </xf>
    <xf numFmtId="0" fontId="0" fillId="0" borderId="20" xfId="0" applyBorder="1"/>
    <xf numFmtId="173" fontId="0" fillId="17" borderId="25" xfId="1" applyNumberFormat="1" applyFont="1" applyFill="1" applyBorder="1"/>
    <xf numFmtId="0" fontId="0" fillId="19" borderId="35" xfId="0" applyFill="1" applyBorder="1"/>
    <xf numFmtId="0" fontId="62" fillId="19" borderId="35" xfId="0" applyFont="1" applyFill="1" applyBorder="1"/>
    <xf numFmtId="0" fontId="0" fillId="19" borderId="35" xfId="0" applyFill="1" applyBorder="1" applyAlignment="1">
      <alignment vertical="top" wrapText="1"/>
    </xf>
    <xf numFmtId="173" fontId="0" fillId="0" borderId="96" xfId="1" applyNumberFormat="1" applyFont="1" applyBorder="1"/>
    <xf numFmtId="0" fontId="0" fillId="0" borderId="92" xfId="0" applyBorder="1"/>
    <xf numFmtId="0" fontId="7" fillId="0" borderId="0" xfId="0" applyFont="1" applyBorder="1"/>
    <xf numFmtId="0" fontId="8" fillId="2" borderId="208" xfId="0" applyFont="1" applyFill="1" applyBorder="1" applyAlignment="1">
      <alignment horizontal="center" vertical="center"/>
    </xf>
    <xf numFmtId="0" fontId="8" fillId="2" borderId="209" xfId="0" applyFont="1" applyFill="1" applyBorder="1" applyAlignment="1">
      <alignment horizontal="center" vertical="center"/>
    </xf>
    <xf numFmtId="174" fontId="8" fillId="2" borderId="209" xfId="0" applyNumberFormat="1" applyFont="1" applyFill="1" applyBorder="1" applyAlignment="1">
      <alignment horizontal="center" vertical="center"/>
    </xf>
    <xf numFmtId="4" fontId="8" fillId="2" borderId="209" xfId="0" applyNumberFormat="1" applyFont="1" applyFill="1" applyBorder="1" applyAlignment="1">
      <alignment horizontal="center" vertical="center"/>
    </xf>
    <xf numFmtId="4" fontId="8" fillId="2" borderId="210" xfId="0" applyNumberFormat="1" applyFont="1" applyFill="1" applyBorder="1" applyAlignment="1">
      <alignment horizontal="center" vertical="center"/>
    </xf>
    <xf numFmtId="0" fontId="8" fillId="0" borderId="211" xfId="0" applyFont="1" applyBorder="1" applyAlignment="1">
      <alignment horizontal="center" vertical="center"/>
    </xf>
    <xf numFmtId="0" fontId="8" fillId="0" borderId="212" xfId="0" applyFont="1" applyBorder="1" applyAlignment="1">
      <alignment vertical="center"/>
    </xf>
    <xf numFmtId="0" fontId="7" fillId="0" borderId="212" xfId="0" applyFont="1" applyBorder="1" applyAlignment="1">
      <alignment horizontal="center" vertical="center"/>
    </xf>
    <xf numFmtId="174" fontId="7" fillId="0" borderId="212" xfId="0" applyNumberFormat="1" applyFont="1" applyBorder="1" applyAlignment="1">
      <alignment horizontal="center" vertical="center"/>
    </xf>
    <xf numFmtId="3" fontId="7" fillId="0" borderId="212" xfId="0" applyNumberFormat="1" applyFont="1" applyBorder="1" applyAlignment="1">
      <alignment vertical="center"/>
    </xf>
    <xf numFmtId="4" fontId="7" fillId="0" borderId="213" xfId="0" applyNumberFormat="1" applyFont="1" applyBorder="1" applyAlignment="1">
      <alignment vertical="center"/>
    </xf>
    <xf numFmtId="0" fontId="7" fillId="0" borderId="214" xfId="0" applyFont="1" applyBorder="1" applyAlignment="1">
      <alignment horizontal="center" vertical="center"/>
    </xf>
    <xf numFmtId="175" fontId="7" fillId="0" borderId="35" xfId="0" applyNumberFormat="1" applyFont="1" applyBorder="1"/>
    <xf numFmtId="0" fontId="7" fillId="0" borderId="215" xfId="0" applyFont="1" applyBorder="1" applyAlignment="1">
      <alignment horizontal="center" vertical="center"/>
    </xf>
    <xf numFmtId="174" fontId="7" fillId="0" borderId="215" xfId="0" applyNumberFormat="1" applyFont="1" applyBorder="1" applyAlignment="1">
      <alignment horizontal="center" vertical="center"/>
    </xf>
    <xf numFmtId="3" fontId="7" fillId="0" borderId="215" xfId="0" applyNumberFormat="1" applyFont="1" applyBorder="1" applyAlignment="1">
      <alignment horizontal="right" vertical="center"/>
    </xf>
    <xf numFmtId="3" fontId="7" fillId="0" borderId="216" xfId="0" applyNumberFormat="1" applyFont="1" applyBorder="1" applyAlignment="1">
      <alignment horizontal="right" vertical="center"/>
    </xf>
    <xf numFmtId="3" fontId="7" fillId="0" borderId="215" xfId="0" applyNumberFormat="1" applyFont="1" applyBorder="1" applyAlignment="1">
      <alignment vertical="center"/>
    </xf>
    <xf numFmtId="0" fontId="7" fillId="0" borderId="0" xfId="0" applyFont="1" applyFill="1" applyBorder="1" applyAlignment="1">
      <alignment horizontal="center"/>
    </xf>
    <xf numFmtId="0" fontId="8" fillId="0" borderId="215" xfId="0" applyFont="1" applyBorder="1" applyAlignment="1">
      <alignment vertical="center"/>
    </xf>
    <xf numFmtId="3" fontId="8" fillId="0" borderId="216" xfId="0" applyNumberFormat="1" applyFont="1" applyBorder="1" applyAlignment="1">
      <alignment horizontal="right" vertical="center"/>
    </xf>
    <xf numFmtId="0" fontId="8" fillId="0" borderId="214" xfId="0" applyFont="1" applyBorder="1" applyAlignment="1">
      <alignment horizontal="center" vertical="center"/>
    </xf>
    <xf numFmtId="0" fontId="7" fillId="0" borderId="215" xfId="0" applyFont="1" applyBorder="1" applyAlignment="1">
      <alignment vertical="center"/>
    </xf>
    <xf numFmtId="0" fontId="7" fillId="0" borderId="215" xfId="0" applyFont="1" applyFill="1" applyBorder="1" applyAlignment="1">
      <alignment horizontal="center" vertical="center"/>
    </xf>
    <xf numFmtId="0" fontId="7" fillId="0" borderId="215" xfId="0" applyFont="1" applyBorder="1" applyAlignment="1">
      <alignment horizontal="justify" vertical="center" wrapText="1"/>
    </xf>
    <xf numFmtId="2" fontId="7" fillId="0" borderId="214" xfId="0" applyNumberFormat="1" applyFont="1" applyBorder="1" applyAlignment="1">
      <alignment horizontal="center" vertical="center"/>
    </xf>
    <xf numFmtId="0" fontId="8" fillId="0" borderId="215" xfId="0" applyFont="1" applyBorder="1" applyAlignment="1">
      <alignment horizontal="justify" vertical="center" wrapText="1"/>
    </xf>
    <xf numFmtId="0" fontId="8" fillId="0" borderId="215" xfId="0" applyFont="1" applyFill="1" applyBorder="1" applyAlignment="1">
      <alignment horizontal="center" vertical="center"/>
    </xf>
    <xf numFmtId="174" fontId="8" fillId="0" borderId="215" xfId="0" applyNumberFormat="1" applyFont="1" applyBorder="1" applyAlignment="1">
      <alignment horizontal="center" vertical="center"/>
    </xf>
    <xf numFmtId="3" fontId="8" fillId="0" borderId="215" xfId="0" applyNumberFormat="1" applyFont="1" applyBorder="1" applyAlignment="1">
      <alignment vertical="center"/>
    </xf>
    <xf numFmtId="0" fontId="8" fillId="0" borderId="214" xfId="0" applyFont="1" applyBorder="1" applyAlignment="1">
      <alignment horizontal="center"/>
    </xf>
    <xf numFmtId="0" fontId="8" fillId="0" borderId="215" xfId="0" applyFont="1" applyBorder="1"/>
    <xf numFmtId="0" fontId="7" fillId="0" borderId="215" xfId="0" applyFont="1" applyBorder="1"/>
    <xf numFmtId="4" fontId="7" fillId="0" borderId="215" xfId="0" applyNumberFormat="1" applyFont="1" applyBorder="1" applyAlignment="1">
      <alignment vertical="center"/>
    </xf>
    <xf numFmtId="4" fontId="7" fillId="0" borderId="216" xfId="0" applyNumberFormat="1" applyFont="1" applyBorder="1" applyAlignment="1">
      <alignment vertical="center"/>
    </xf>
    <xf numFmtId="0" fontId="7" fillId="0" borderId="214" xfId="0" applyFont="1" applyBorder="1" applyAlignment="1">
      <alignment horizontal="center"/>
    </xf>
    <xf numFmtId="0" fontId="7" fillId="0" borderId="215" xfId="0" applyFont="1" applyBorder="1" applyAlignment="1">
      <alignment horizontal="center"/>
    </xf>
    <xf numFmtId="3" fontId="7" fillId="0" borderId="216" xfId="0" applyNumberFormat="1" applyFont="1" applyBorder="1" applyAlignment="1">
      <alignment vertical="center"/>
    </xf>
    <xf numFmtId="0" fontId="7" fillId="0" borderId="215" xfId="0" applyFont="1" applyBorder="1" applyAlignment="1">
      <alignment vertical="center" wrapText="1"/>
    </xf>
    <xf numFmtId="0" fontId="7" fillId="0" borderId="217" xfId="0" applyFont="1" applyBorder="1" applyAlignment="1">
      <alignment horizontal="center" vertical="center"/>
    </xf>
    <xf numFmtId="0" fontId="7" fillId="0" borderId="54" xfId="0" applyFont="1" applyBorder="1" applyAlignment="1">
      <alignment vertical="center" wrapText="1"/>
    </xf>
    <xf numFmtId="174" fontId="7" fillId="0" borderId="54" xfId="0" applyNumberFormat="1" applyFont="1" applyBorder="1" applyAlignment="1">
      <alignment horizontal="center" vertical="center"/>
    </xf>
    <xf numFmtId="3" fontId="7" fillId="0" borderId="54" xfId="0" applyNumberFormat="1" applyFont="1" applyBorder="1" applyAlignment="1">
      <alignment vertical="center"/>
    </xf>
    <xf numFmtId="175" fontId="7" fillId="0" borderId="214" xfId="0" applyNumberFormat="1" applyFont="1" applyBorder="1" applyAlignment="1">
      <alignment horizontal="center" vertical="center"/>
    </xf>
    <xf numFmtId="3" fontId="26" fillId="0" borderId="215" xfId="0" applyNumberFormat="1" applyFont="1" applyBorder="1" applyAlignment="1">
      <alignment vertical="center"/>
    </xf>
    <xf numFmtId="3" fontId="26" fillId="21" borderId="216" xfId="0" applyNumberFormat="1" applyFont="1" applyFill="1" applyBorder="1" applyAlignment="1">
      <alignment vertical="center"/>
    </xf>
    <xf numFmtId="0" fontId="7" fillId="0" borderId="215" xfId="0" applyFont="1" applyBorder="1" applyAlignment="1">
      <alignment horizontal="center" vertical="center" wrapText="1"/>
    </xf>
    <xf numFmtId="0" fontId="7" fillId="0" borderId="215" xfId="0" applyFont="1" applyBorder="1" applyAlignment="1">
      <alignment horizontal="right" vertical="center" wrapText="1"/>
    </xf>
    <xf numFmtId="0" fontId="7" fillId="0" borderId="216" xfId="0" applyFont="1" applyBorder="1" applyAlignment="1">
      <alignment horizontal="right" vertical="center" wrapText="1"/>
    </xf>
    <xf numFmtId="3" fontId="26" fillId="21" borderId="216" xfId="0" applyNumberFormat="1" applyFont="1" applyFill="1" applyBorder="1" applyAlignment="1">
      <alignment horizontal="right" vertical="center"/>
    </xf>
    <xf numFmtId="3" fontId="26" fillId="0" borderId="215" xfId="0" applyNumberFormat="1" applyFont="1" applyBorder="1" applyAlignment="1">
      <alignment horizontal="right" vertical="center"/>
    </xf>
    <xf numFmtId="3" fontId="63" fillId="0" borderId="215" xfId="0" applyNumberFormat="1" applyFont="1" applyBorder="1" applyAlignment="1">
      <alignment vertical="center"/>
    </xf>
    <xf numFmtId="0" fontId="7" fillId="0" borderId="218" xfId="0" applyFont="1" applyBorder="1" applyAlignment="1">
      <alignment horizontal="center" vertical="center"/>
    </xf>
    <xf numFmtId="0" fontId="7" fillId="0" borderId="219" xfId="0" applyFont="1" applyBorder="1" applyAlignment="1">
      <alignment vertical="center"/>
    </xf>
    <xf numFmtId="0" fontId="7" fillId="0" borderId="219" xfId="0" applyFont="1" applyBorder="1" applyAlignment="1">
      <alignment horizontal="center" vertical="center"/>
    </xf>
    <xf numFmtId="174" fontId="7" fillId="0" borderId="219" xfId="0" applyNumberFormat="1" applyFont="1" applyBorder="1" applyAlignment="1">
      <alignment horizontal="center" vertical="center"/>
    </xf>
    <xf numFmtId="3" fontId="7" fillId="0" borderId="219" xfId="0" applyNumberFormat="1" applyFont="1" applyBorder="1" applyAlignment="1">
      <alignment vertical="center"/>
    </xf>
    <xf numFmtId="0" fontId="7" fillId="0" borderId="220" xfId="0" applyFont="1" applyBorder="1" applyAlignment="1">
      <alignment horizontal="left"/>
    </xf>
    <xf numFmtId="0" fontId="7" fillId="0" borderId="221" xfId="0" applyFont="1" applyBorder="1"/>
    <xf numFmtId="167" fontId="7" fillId="0" borderId="222" xfId="1" applyNumberFormat="1" applyFont="1" applyBorder="1"/>
    <xf numFmtId="0" fontId="7" fillId="0" borderId="223" xfId="0" applyFont="1" applyFill="1" applyBorder="1" applyAlignment="1">
      <alignment horizontal="left"/>
    </xf>
    <xf numFmtId="0" fontId="7" fillId="0" borderId="72" xfId="0" applyFont="1" applyBorder="1"/>
    <xf numFmtId="9" fontId="7" fillId="0" borderId="223" xfId="0" applyNumberFormat="1" applyFont="1" applyBorder="1"/>
    <xf numFmtId="167" fontId="7" fillId="0" borderId="224" xfId="1" applyNumberFormat="1" applyFont="1" applyBorder="1"/>
    <xf numFmtId="3" fontId="7" fillId="0" borderId="0" xfId="0" applyNumberFormat="1" applyFont="1" applyBorder="1"/>
    <xf numFmtId="0" fontId="7" fillId="0" borderId="223" xfId="0" applyFont="1" applyBorder="1" applyAlignment="1">
      <alignment horizontal="left"/>
    </xf>
    <xf numFmtId="9" fontId="7" fillId="0" borderId="223" xfId="0" applyNumberFormat="1" applyFont="1" applyFill="1" applyBorder="1"/>
    <xf numFmtId="0" fontId="7" fillId="0" borderId="225" xfId="0" applyFont="1" applyFill="1" applyBorder="1" applyAlignment="1">
      <alignment horizontal="left"/>
    </xf>
    <xf numFmtId="0" fontId="7" fillId="0" borderId="226" xfId="0" applyFont="1" applyBorder="1"/>
    <xf numFmtId="167" fontId="7" fillId="0" borderId="227" xfId="1" applyNumberFormat="1" applyFont="1" applyBorder="1"/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/>
    <xf numFmtId="174" fontId="7" fillId="0" borderId="0" xfId="0" applyNumberFormat="1" applyFont="1" applyAlignment="1">
      <alignment horizontal="center" vertical="center"/>
    </xf>
    <xf numFmtId="4" fontId="7" fillId="0" borderId="0" xfId="0" applyNumberFormat="1" applyFont="1" applyAlignment="1">
      <alignment vertical="center"/>
    </xf>
    <xf numFmtId="0" fontId="64" fillId="0" borderId="0" xfId="0" applyFont="1"/>
    <xf numFmtId="0" fontId="64" fillId="0" borderId="136" xfId="0" applyFont="1" applyBorder="1"/>
    <xf numFmtId="0" fontId="8" fillId="22" borderId="215" xfId="0" applyFont="1" applyFill="1" applyBorder="1" applyAlignment="1">
      <alignment horizontal="justify" vertical="center" wrapText="1"/>
    </xf>
    <xf numFmtId="0" fontId="64" fillId="0" borderId="190" xfId="0" applyFont="1" applyBorder="1"/>
    <xf numFmtId="3" fontId="7" fillId="22" borderId="215" xfId="0" applyNumberFormat="1" applyFont="1" applyFill="1" applyBorder="1" applyAlignment="1">
      <alignment horizontal="center" vertical="center"/>
    </xf>
    <xf numFmtId="0" fontId="7" fillId="22" borderId="215" xfId="0" applyFont="1" applyFill="1" applyBorder="1" applyAlignment="1">
      <alignment horizontal="center" vertical="center"/>
    </xf>
    <xf numFmtId="174" fontId="7" fillId="22" borderId="215" xfId="0" applyNumberFormat="1" applyFont="1" applyFill="1" applyBorder="1" applyAlignment="1">
      <alignment horizontal="center" vertical="center"/>
    </xf>
    <xf numFmtId="0" fontId="7" fillId="0" borderId="190" xfId="0" applyFont="1" applyBorder="1" applyAlignment="1">
      <alignment horizontal="justify" vertical="center" wrapText="1"/>
    </xf>
    <xf numFmtId="174" fontId="7" fillId="17" borderId="215" xfId="0" applyNumberFormat="1" applyFont="1" applyFill="1" applyBorder="1" applyAlignment="1">
      <alignment horizontal="center" vertical="center"/>
    </xf>
    <xf numFmtId="3" fontId="7" fillId="20" borderId="215" xfId="0" applyNumberFormat="1" applyFont="1" applyFill="1" applyBorder="1" applyAlignment="1">
      <alignment vertical="center"/>
    </xf>
    <xf numFmtId="3" fontId="7" fillId="22" borderId="215" xfId="0" applyNumberFormat="1" applyFont="1" applyFill="1" applyBorder="1" applyAlignment="1">
      <alignment vertical="center"/>
    </xf>
    <xf numFmtId="174" fontId="7" fillId="20" borderId="215" xfId="0" applyNumberFormat="1" applyFont="1" applyFill="1" applyBorder="1" applyAlignment="1">
      <alignment horizontal="center" vertical="center"/>
    </xf>
    <xf numFmtId="174" fontId="7" fillId="20" borderId="0" xfId="0" applyNumberFormat="1" applyFont="1" applyFill="1" applyAlignment="1">
      <alignment horizontal="center" vertical="center"/>
    </xf>
    <xf numFmtId="0" fontId="7" fillId="0" borderId="108" xfId="0" applyFont="1" applyBorder="1"/>
    <xf numFmtId="0" fontId="0" fillId="0" borderId="108" xfId="0" applyBorder="1"/>
    <xf numFmtId="0" fontId="7" fillId="0" borderId="108" xfId="0" applyFont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174" fontId="7" fillId="0" borderId="0" xfId="0" applyNumberFormat="1" applyFont="1" applyBorder="1" applyAlignment="1">
      <alignment horizontal="center" vertical="center"/>
    </xf>
    <xf numFmtId="0" fontId="7" fillId="0" borderId="108" xfId="0" applyFont="1" applyBorder="1" applyAlignment="1">
      <alignment horizontal="justify" vertical="center" wrapText="1"/>
    </xf>
    <xf numFmtId="174" fontId="7" fillId="17" borderId="0" xfId="0" applyNumberFormat="1" applyFont="1" applyFill="1" applyBorder="1" applyAlignment="1">
      <alignment horizontal="center" vertical="center"/>
    </xf>
    <xf numFmtId="0" fontId="7" fillId="17" borderId="0" xfId="0" applyFont="1" applyFill="1" applyBorder="1"/>
    <xf numFmtId="0" fontId="0" fillId="0" borderId="21" xfId="0" applyBorder="1"/>
    <xf numFmtId="173" fontId="0" fillId="0" borderId="228" xfId="1" applyNumberFormat="1" applyFont="1" applyBorder="1"/>
    <xf numFmtId="0" fontId="7" fillId="0" borderId="35" xfId="0" applyFont="1" applyFill="1" applyBorder="1" applyAlignment="1">
      <alignment horizontal="center" vertical="center"/>
    </xf>
    <xf numFmtId="174" fontId="7" fillId="0" borderId="35" xfId="0" applyNumberFormat="1" applyFont="1" applyBorder="1" applyAlignment="1">
      <alignment horizontal="center" vertical="center"/>
    </xf>
    <xf numFmtId="3" fontId="7" fillId="20" borderId="35" xfId="0" applyNumberFormat="1" applyFont="1" applyFill="1" applyBorder="1" applyAlignment="1">
      <alignment vertical="center"/>
    </xf>
    <xf numFmtId="0" fontId="7" fillId="0" borderId="35" xfId="0" applyFont="1" applyBorder="1" applyAlignment="1">
      <alignment horizontal="justify" vertical="center" wrapText="1"/>
    </xf>
    <xf numFmtId="0" fontId="7" fillId="0" borderId="35" xfId="0" applyFont="1" applyBorder="1" applyAlignment="1">
      <alignment vertical="center"/>
    </xf>
    <xf numFmtId="3" fontId="7" fillId="0" borderId="35" xfId="0" applyNumberFormat="1" applyFont="1" applyBorder="1" applyAlignment="1">
      <alignment vertical="center"/>
    </xf>
    <xf numFmtId="3" fontId="7" fillId="0" borderId="229" xfId="0" applyNumberFormat="1" applyFont="1" applyBorder="1" applyAlignment="1">
      <alignment horizontal="right" vertical="center"/>
    </xf>
    <xf numFmtId="0" fontId="7" fillId="0" borderId="108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3" fontId="7" fillId="20" borderId="0" xfId="0" applyNumberFormat="1" applyFont="1" applyFill="1" applyBorder="1" applyAlignment="1">
      <alignment vertical="center"/>
    </xf>
    <xf numFmtId="0" fontId="7" fillId="0" borderId="0" xfId="0" applyFont="1" applyBorder="1" applyAlignment="1">
      <alignment horizontal="justify" vertical="center" wrapText="1"/>
    </xf>
    <xf numFmtId="3" fontId="7" fillId="0" borderId="0" xfId="0" applyNumberFormat="1" applyFont="1" applyBorder="1" applyAlignment="1">
      <alignment vertical="center"/>
    </xf>
    <xf numFmtId="0" fontId="60" fillId="23" borderId="35" xfId="0" applyFont="1" applyFill="1" applyBorder="1" applyAlignment="1">
      <alignment horizontal="left"/>
    </xf>
    <xf numFmtId="0" fontId="60" fillId="23" borderId="35" xfId="0" applyFont="1" applyFill="1" applyBorder="1"/>
    <xf numFmtId="0" fontId="0" fillId="17" borderId="35" xfId="0" applyFill="1" applyBorder="1" applyAlignment="1">
      <alignment vertical="top" wrapText="1"/>
    </xf>
    <xf numFmtId="0" fontId="0" fillId="0" borderId="206" xfId="0" applyBorder="1"/>
    <xf numFmtId="0" fontId="0" fillId="17" borderId="91" xfId="0" applyFill="1" applyBorder="1"/>
    <xf numFmtId="0" fontId="0" fillId="0" borderId="91" xfId="0" applyBorder="1" applyAlignment="1">
      <alignment horizontal="center"/>
    </xf>
    <xf numFmtId="173" fontId="0" fillId="0" borderId="91" xfId="1" applyNumberFormat="1" applyFont="1" applyBorder="1"/>
    <xf numFmtId="0" fontId="60" fillId="0" borderId="92" xfId="0" applyFont="1" applyBorder="1"/>
    <xf numFmtId="11" fontId="0" fillId="17" borderId="91" xfId="0" applyNumberFormat="1" applyFill="1" applyBorder="1" applyAlignment="1">
      <alignment vertical="top" wrapText="1"/>
    </xf>
    <xf numFmtId="0" fontId="0" fillId="24" borderId="91" xfId="0" applyFill="1" applyBorder="1" applyAlignment="1">
      <alignment horizontal="center"/>
    </xf>
    <xf numFmtId="0" fontId="0" fillId="24" borderId="35" xfId="0" applyFill="1" applyBorder="1"/>
    <xf numFmtId="0" fontId="7" fillId="0" borderId="51" xfId="0" applyFont="1" applyBorder="1" applyAlignment="1" applyProtection="1">
      <alignment horizontal="center" vertical="top"/>
      <protection locked="0" hidden="1"/>
    </xf>
    <xf numFmtId="0" fontId="0" fillId="0" borderId="52" xfId="0" applyBorder="1" applyAlignment="1" applyProtection="1">
      <alignment horizontal="center" vertical="top"/>
      <protection hidden="1"/>
    </xf>
    <xf numFmtId="0" fontId="0" fillId="0" borderId="52" xfId="0" applyBorder="1" applyAlignment="1" applyProtection="1">
      <alignment horizontal="right" vertical="top"/>
      <protection locked="0" hidden="1"/>
    </xf>
    <xf numFmtId="167" fontId="0" fillId="0" borderId="230" xfId="1" applyNumberFormat="1" applyFont="1" applyBorder="1" applyAlignment="1" applyProtection="1">
      <alignment horizontal="right" vertical="top"/>
      <protection hidden="1"/>
    </xf>
    <xf numFmtId="0" fontId="24" fillId="10" borderId="37" xfId="0" applyFont="1" applyFill="1" applyBorder="1" applyAlignment="1" applyProtection="1">
      <alignment horizontal="left" vertical="top" wrapText="1"/>
      <protection locked="0" hidden="1"/>
    </xf>
    <xf numFmtId="3" fontId="14" fillId="0" borderId="52" xfId="0" applyNumberFormat="1" applyFont="1" applyBorder="1" applyAlignment="1" applyProtection="1">
      <alignment vertical="top" wrapText="1"/>
      <protection hidden="1"/>
    </xf>
    <xf numFmtId="0" fontId="14" fillId="0" borderId="52" xfId="0" applyFont="1" applyBorder="1" applyAlignment="1" applyProtection="1">
      <alignment horizontal="center" vertical="top" wrapText="1"/>
      <protection hidden="1"/>
    </xf>
    <xf numFmtId="3" fontId="0" fillId="0" borderId="52" xfId="0" applyNumberFormat="1" applyBorder="1" applyAlignment="1" applyProtection="1">
      <alignment horizontal="right" vertical="top"/>
      <protection locked="0" hidden="1"/>
    </xf>
    <xf numFmtId="2" fontId="7" fillId="0" borderId="51" xfId="0" applyNumberFormat="1" applyFont="1" applyBorder="1" applyAlignment="1" applyProtection="1">
      <alignment horizontal="center" vertical="top"/>
      <protection locked="0" hidden="1"/>
    </xf>
    <xf numFmtId="0" fontId="0" fillId="17" borderId="52" xfId="0" applyFill="1" applyBorder="1" applyAlignment="1" applyProtection="1">
      <alignment horizontal="right" vertical="top"/>
      <protection locked="0" hidden="1"/>
    </xf>
    <xf numFmtId="0" fontId="14" fillId="23" borderId="52" xfId="0" applyFont="1" applyFill="1" applyBorder="1" applyAlignment="1" applyProtection="1">
      <alignment vertical="top" wrapText="1"/>
      <protection hidden="1"/>
    </xf>
    <xf numFmtId="0" fontId="14" fillId="17" borderId="52" xfId="0" applyFont="1" applyFill="1" applyBorder="1" applyAlignment="1" applyProtection="1">
      <alignment vertical="top" wrapText="1"/>
      <protection hidden="1"/>
    </xf>
    <xf numFmtId="0" fontId="0" fillId="23" borderId="52" xfId="0" applyFill="1" applyBorder="1" applyAlignment="1" applyProtection="1">
      <alignment horizontal="center" vertical="top"/>
      <protection hidden="1"/>
    </xf>
    <xf numFmtId="0" fontId="0" fillId="23" borderId="52" xfId="0" applyFill="1" applyBorder="1" applyAlignment="1" applyProtection="1">
      <alignment horizontal="right" vertical="top"/>
      <protection locked="0" hidden="1"/>
    </xf>
    <xf numFmtId="167" fontId="0" fillId="23" borderId="52" xfId="1" applyNumberFormat="1" applyFont="1" applyFill="1" applyBorder="1" applyAlignment="1" applyProtection="1">
      <alignment horizontal="right" vertical="top"/>
      <protection hidden="1"/>
    </xf>
    <xf numFmtId="167" fontId="0" fillId="23" borderId="230" xfId="1" applyNumberFormat="1" applyFont="1" applyFill="1" applyBorder="1" applyAlignment="1" applyProtection="1">
      <alignment horizontal="right" vertical="top"/>
      <protection hidden="1"/>
    </xf>
    <xf numFmtId="0" fontId="22" fillId="0" borderId="52" xfId="0" applyFont="1" applyBorder="1" applyAlignment="1" applyProtection="1">
      <alignment horizontal="center" vertical="center" wrapText="1"/>
      <protection hidden="1"/>
    </xf>
    <xf numFmtId="0" fontId="22" fillId="0" borderId="52" xfId="0" applyFont="1" applyBorder="1" applyAlignment="1" applyProtection="1">
      <alignment horizontal="center" vertical="top" wrapText="1"/>
      <protection hidden="1"/>
    </xf>
    <xf numFmtId="167" fontId="8" fillId="10" borderId="57" xfId="1" applyNumberFormat="1" applyFont="1" applyFill="1" applyBorder="1" applyAlignment="1" applyProtection="1">
      <alignment horizontal="right" vertical="top"/>
      <protection hidden="1"/>
    </xf>
    <xf numFmtId="0" fontId="0" fillId="17" borderId="52" xfId="0" applyFill="1" applyBorder="1" applyAlignment="1" applyProtection="1">
      <alignment horizontal="center" vertical="top"/>
      <protection hidden="1"/>
    </xf>
    <xf numFmtId="167" fontId="0" fillId="17" borderId="52" xfId="1" applyNumberFormat="1" applyFont="1" applyFill="1" applyBorder="1" applyAlignment="1" applyProtection="1">
      <alignment horizontal="right" vertical="top"/>
      <protection hidden="1"/>
    </xf>
    <xf numFmtId="166" fontId="0" fillId="0" borderId="231" xfId="1" applyNumberFormat="1" applyFont="1" applyBorder="1" applyAlignment="1" applyProtection="1">
      <alignment horizontal="right" vertical="top"/>
      <protection hidden="1"/>
    </xf>
    <xf numFmtId="0" fontId="0" fillId="0" borderId="0" xfId="0" applyBorder="1" applyAlignment="1" applyProtection="1">
      <alignment vertical="center"/>
      <protection locked="0"/>
    </xf>
    <xf numFmtId="3" fontId="24" fillId="13" borderId="232" xfId="1" applyNumberFormat="1" applyFont="1" applyFill="1" applyBorder="1" applyAlignment="1" applyProtection="1">
      <alignment horizontal="right" vertical="center"/>
      <protection hidden="1"/>
    </xf>
    <xf numFmtId="167" fontId="0" fillId="0" borderId="231" xfId="1" applyNumberFormat="1" applyFont="1" applyBorder="1" applyAlignment="1" applyProtection="1">
      <alignment horizontal="right" vertical="top"/>
      <protection hidden="1"/>
    </xf>
    <xf numFmtId="0" fontId="0" fillId="0" borderId="154" xfId="0" applyBorder="1" applyProtection="1">
      <protection locked="0"/>
    </xf>
    <xf numFmtId="167" fontId="0" fillId="0" borderId="154" xfId="1" applyNumberFormat="1" applyFont="1" applyBorder="1" applyAlignment="1">
      <alignment vertical="top"/>
    </xf>
    <xf numFmtId="167" fontId="0" fillId="14" borderId="176" xfId="1" applyNumberFormat="1" applyFont="1" applyFill="1" applyBorder="1" applyAlignment="1" applyProtection="1">
      <alignment vertical="top"/>
      <protection hidden="1"/>
    </xf>
    <xf numFmtId="167" fontId="8" fillId="0" borderId="46" xfId="1" applyNumberFormat="1" applyFont="1" applyBorder="1" applyAlignment="1" applyProtection="1">
      <alignment vertical="top"/>
      <protection hidden="1"/>
    </xf>
    <xf numFmtId="167" fontId="0" fillId="0" borderId="230" xfId="1" applyNumberFormat="1" applyFont="1" applyBorder="1" applyProtection="1">
      <protection hidden="1"/>
    </xf>
    <xf numFmtId="167" fontId="0" fillId="0" borderId="231" xfId="1" applyNumberFormat="1" applyFont="1" applyBorder="1" applyProtection="1">
      <protection hidden="1"/>
    </xf>
    <xf numFmtId="167" fontId="8" fillId="0" borderId="231" xfId="1" applyNumberFormat="1" applyFont="1" applyBorder="1" applyProtection="1">
      <protection hidden="1"/>
    </xf>
    <xf numFmtId="167" fontId="8" fillId="0" borderId="233" xfId="1" applyNumberFormat="1" applyFont="1" applyBorder="1" applyProtection="1">
      <protection hidden="1"/>
    </xf>
    <xf numFmtId="167" fontId="24" fillId="10" borderId="176" xfId="0" applyNumberFormat="1" applyFont="1" applyFill="1" applyBorder="1" applyAlignment="1" applyProtection="1">
      <alignment horizontal="right"/>
      <protection hidden="1"/>
    </xf>
    <xf numFmtId="0" fontId="12" fillId="2" borderId="207" xfId="0" applyFont="1" applyFill="1" applyBorder="1" applyProtection="1">
      <protection hidden="1"/>
    </xf>
    <xf numFmtId="0" fontId="12" fillId="2" borderId="207" xfId="0" applyFont="1" applyFill="1" applyBorder="1" applyAlignment="1" applyProtection="1">
      <alignment vertical="center"/>
      <protection hidden="1"/>
    </xf>
    <xf numFmtId="0" fontId="0" fillId="0" borderId="153" xfId="0" applyBorder="1" applyProtection="1">
      <protection locked="0"/>
    </xf>
    <xf numFmtId="0" fontId="0" fillId="0" borderId="153" xfId="0" applyBorder="1" applyAlignment="1" applyProtection="1">
      <alignment horizontal="right" vertical="top" wrapText="1"/>
      <protection locked="0" hidden="1"/>
    </xf>
    <xf numFmtId="0" fontId="0" fillId="0" borderId="153" xfId="0" applyBorder="1" applyAlignment="1" applyProtection="1">
      <alignment vertical="center"/>
      <protection locked="0"/>
    </xf>
    <xf numFmtId="167" fontId="0" fillId="0" borderId="23" xfId="0" applyNumberFormat="1" applyBorder="1"/>
    <xf numFmtId="0" fontId="0" fillId="17" borderId="41" xfId="0" applyFill="1" applyBorder="1" applyAlignment="1" applyProtection="1">
      <alignment horizontal="center" vertical="top"/>
      <protection hidden="1"/>
    </xf>
    <xf numFmtId="0" fontId="0" fillId="17" borderId="41" xfId="0" applyFill="1" applyBorder="1" applyAlignment="1" applyProtection="1">
      <alignment horizontal="right" vertical="top"/>
      <protection locked="0" hidden="1"/>
    </xf>
    <xf numFmtId="167" fontId="0" fillId="17" borderId="41" xfId="1" applyNumberFormat="1" applyFont="1" applyFill="1" applyBorder="1" applyAlignment="1" applyProtection="1">
      <alignment horizontal="right" vertical="top"/>
      <protection hidden="1"/>
    </xf>
    <xf numFmtId="167" fontId="0" fillId="17" borderId="46" xfId="1" applyNumberFormat="1" applyFont="1" applyFill="1" applyBorder="1" applyAlignment="1" applyProtection="1">
      <alignment horizontal="right" vertical="top"/>
      <protection hidden="1"/>
    </xf>
    <xf numFmtId="0" fontId="0" fillId="17" borderId="65" xfId="0" applyFill="1" applyBorder="1" applyAlignment="1" applyProtection="1">
      <alignment horizontal="center" vertical="top" wrapText="1"/>
      <protection hidden="1"/>
    </xf>
    <xf numFmtId="0" fontId="0" fillId="17" borderId="65" xfId="0" applyFill="1" applyBorder="1" applyAlignment="1" applyProtection="1">
      <alignment horizontal="right" vertical="top" wrapText="1"/>
      <protection locked="0" hidden="1"/>
    </xf>
    <xf numFmtId="167" fontId="0" fillId="17" borderId="7" xfId="1" applyNumberFormat="1" applyFont="1" applyFill="1" applyBorder="1" applyAlignment="1" applyProtection="1">
      <alignment horizontal="right" vertical="top"/>
      <protection hidden="1"/>
    </xf>
    <xf numFmtId="166" fontId="0" fillId="17" borderId="231" xfId="1" applyNumberFormat="1" applyFont="1" applyFill="1" applyBorder="1" applyAlignment="1" applyProtection="1">
      <alignment horizontal="right" vertical="top"/>
      <protection hidden="1"/>
    </xf>
    <xf numFmtId="0" fontId="60" fillId="0" borderId="0" xfId="0" applyFont="1" applyBorder="1"/>
    <xf numFmtId="0" fontId="0" fillId="0" borderId="52" xfId="0" applyFill="1" applyBorder="1" applyAlignment="1" applyProtection="1">
      <alignment horizontal="center" vertical="top"/>
      <protection hidden="1"/>
    </xf>
    <xf numFmtId="0" fontId="0" fillId="0" borderId="0" xfId="0" applyFill="1" applyBorder="1" applyAlignment="1" applyProtection="1">
      <alignment horizontal="center" vertical="top"/>
      <protection hidden="1"/>
    </xf>
    <xf numFmtId="0" fontId="14" fillId="0" borderId="234" xfId="0" applyFont="1" applyBorder="1" applyAlignment="1" applyProtection="1">
      <alignment vertical="top" wrapText="1"/>
      <protection hidden="1"/>
    </xf>
    <xf numFmtId="0" fontId="7" fillId="0" borderId="0" xfId="0" applyFont="1" applyBorder="1" applyAlignment="1" applyProtection="1">
      <alignment horizontal="center" vertical="top"/>
      <protection locked="0" hidden="1"/>
    </xf>
    <xf numFmtId="167" fontId="8" fillId="0" borderId="0" xfId="1" applyNumberFormat="1" applyFont="1" applyFill="1" applyBorder="1" applyAlignment="1" applyProtection="1">
      <alignment horizontal="left" vertical="top"/>
      <protection hidden="1"/>
    </xf>
    <xf numFmtId="0" fontId="0" fillId="0" borderId="0" xfId="0" applyFill="1" applyBorder="1" applyAlignment="1" applyProtection="1">
      <alignment horizontal="right" vertical="top"/>
      <protection locked="0" hidden="1"/>
    </xf>
    <xf numFmtId="167" fontId="24" fillId="0" borderId="0" xfId="1" applyNumberFormat="1" applyFont="1" applyFill="1" applyBorder="1" applyAlignment="1" applyProtection="1">
      <alignment horizontal="right" vertical="top"/>
      <protection hidden="1"/>
    </xf>
    <xf numFmtId="0" fontId="0" fillId="0" borderId="136" xfId="0" applyBorder="1" applyAlignment="1" applyProtection="1">
      <alignment horizontal="center" vertical="top" wrapText="1"/>
      <protection hidden="1"/>
    </xf>
    <xf numFmtId="0" fontId="14" fillId="0" borderId="235" xfId="0" applyFont="1" applyBorder="1" applyAlignment="1" applyProtection="1">
      <alignment vertical="top" wrapText="1"/>
      <protection hidden="1"/>
    </xf>
    <xf numFmtId="0" fontId="0" fillId="17" borderId="0" xfId="0" applyFill="1" applyBorder="1" applyAlignment="1" applyProtection="1">
      <alignment horizontal="right" vertical="top"/>
      <protection locked="0" hidden="1"/>
    </xf>
    <xf numFmtId="0" fontId="14" fillId="0" borderId="0" xfId="0" applyFont="1" applyBorder="1" applyAlignment="1" applyProtection="1">
      <alignment horizontal="center" vertical="top" wrapText="1"/>
      <protection hidden="1"/>
    </xf>
    <xf numFmtId="3" fontId="14" fillId="0" borderId="0" xfId="0" applyNumberFormat="1" applyFont="1" applyBorder="1" applyAlignment="1" applyProtection="1">
      <alignment vertical="top" wrapText="1"/>
      <protection hidden="1"/>
    </xf>
    <xf numFmtId="0" fontId="0" fillId="17" borderId="0" xfId="0" applyFill="1" applyBorder="1" applyAlignment="1" applyProtection="1">
      <alignment horizontal="center" vertical="top"/>
      <protection hidden="1"/>
    </xf>
    <xf numFmtId="167" fontId="0" fillId="17" borderId="0" xfId="1" applyNumberFormat="1" applyFont="1" applyFill="1" applyBorder="1" applyAlignment="1" applyProtection="1">
      <alignment horizontal="right" vertical="top"/>
      <protection hidden="1"/>
    </xf>
    <xf numFmtId="3" fontId="14" fillId="17" borderId="0" xfId="0" applyNumberFormat="1" applyFont="1" applyFill="1" applyBorder="1" applyAlignment="1" applyProtection="1">
      <alignment vertical="top" wrapText="1"/>
      <protection hidden="1"/>
    </xf>
    <xf numFmtId="0" fontId="14" fillId="17" borderId="0" xfId="0" applyFont="1" applyFill="1" applyBorder="1" applyAlignment="1" applyProtection="1">
      <alignment vertical="top" wrapText="1"/>
      <protection hidden="1"/>
    </xf>
    <xf numFmtId="167" fontId="0" fillId="0" borderId="154" xfId="1" applyNumberFormat="1" applyFont="1" applyBorder="1" applyAlignment="1" applyProtection="1">
      <alignment horizontal="right" vertical="top"/>
      <protection hidden="1"/>
    </xf>
    <xf numFmtId="3" fontId="0" fillId="0" borderId="52" xfId="1" applyNumberFormat="1" applyFont="1" applyBorder="1" applyAlignment="1" applyProtection="1">
      <alignment horizontal="right" vertical="top"/>
      <protection hidden="1"/>
    </xf>
    <xf numFmtId="0" fontId="7" fillId="0" borderId="153" xfId="0" applyFont="1" applyBorder="1" applyAlignment="1" applyProtection="1">
      <alignment horizontal="center" vertical="top"/>
      <protection locked="0" hidden="1"/>
    </xf>
    <xf numFmtId="0" fontId="14" fillId="17" borderId="52" xfId="0" applyFont="1" applyFill="1" applyBorder="1" applyAlignment="1" applyProtection="1">
      <alignment horizontal="justify" vertical="justify" wrapText="1"/>
      <protection hidden="1"/>
    </xf>
    <xf numFmtId="0" fontId="0" fillId="17" borderId="52" xfId="0" applyFill="1" applyBorder="1" applyAlignment="1" applyProtection="1">
      <alignment horizontal="center" vertical="center"/>
      <protection hidden="1"/>
    </xf>
    <xf numFmtId="0" fontId="0" fillId="17" borderId="52" xfId="0" applyFill="1" applyBorder="1" applyAlignment="1" applyProtection="1">
      <alignment horizontal="right" vertical="center"/>
      <protection locked="0" hidden="1"/>
    </xf>
    <xf numFmtId="167" fontId="0" fillId="17" borderId="52" xfId="1" applyNumberFormat="1" applyFont="1" applyFill="1" applyBorder="1" applyAlignment="1" applyProtection="1">
      <alignment horizontal="right" vertical="center"/>
      <protection hidden="1"/>
    </xf>
    <xf numFmtId="167" fontId="0" fillId="17" borderId="230" xfId="1" applyNumberFormat="1" applyFont="1" applyFill="1" applyBorder="1" applyAlignment="1" applyProtection="1">
      <alignment horizontal="right" vertical="center"/>
      <protection hidden="1"/>
    </xf>
    <xf numFmtId="175" fontId="7" fillId="0" borderId="51" xfId="0" applyNumberFormat="1" applyFont="1" applyBorder="1" applyAlignment="1" applyProtection="1">
      <alignment horizontal="center" vertical="top"/>
      <protection locked="0" hidden="1"/>
    </xf>
    <xf numFmtId="3" fontId="14" fillId="17" borderId="52" xfId="0" applyNumberFormat="1" applyFont="1" applyFill="1" applyBorder="1" applyAlignment="1" applyProtection="1">
      <alignment vertical="top" wrapText="1"/>
      <protection hidden="1"/>
    </xf>
    <xf numFmtId="0" fontId="14" fillId="17" borderId="52" xfId="0" applyFont="1" applyFill="1" applyBorder="1" applyAlignment="1" applyProtection="1">
      <alignment horizontal="center" vertical="top" wrapText="1"/>
      <protection hidden="1"/>
    </xf>
    <xf numFmtId="0" fontId="0" fillId="0" borderId="52" xfId="0" applyBorder="1" applyAlignment="1" applyProtection="1">
      <alignment horizontal="center" vertical="center"/>
      <protection hidden="1"/>
    </xf>
    <xf numFmtId="167" fontId="0" fillId="0" borderId="52" xfId="1" applyNumberFormat="1" applyFont="1" applyBorder="1" applyAlignment="1" applyProtection="1">
      <alignment horizontal="right" vertical="center"/>
      <protection hidden="1"/>
    </xf>
    <xf numFmtId="167" fontId="0" fillId="0" borderId="230" xfId="1" applyNumberFormat="1" applyFont="1" applyBorder="1" applyAlignment="1" applyProtection="1">
      <alignment horizontal="right" vertical="center"/>
      <protection hidden="1"/>
    </xf>
    <xf numFmtId="167" fontId="0" fillId="25" borderId="52" xfId="1" applyNumberFormat="1" applyFont="1" applyFill="1" applyBorder="1" applyAlignment="1" applyProtection="1">
      <alignment horizontal="right" vertical="top"/>
      <protection hidden="1"/>
    </xf>
    <xf numFmtId="0" fontId="0" fillId="25" borderId="52" xfId="0" applyFill="1" applyBorder="1" applyAlignment="1" applyProtection="1">
      <alignment horizontal="right" vertical="top"/>
      <protection locked="0" hidden="1"/>
    </xf>
    <xf numFmtId="0" fontId="68" fillId="0" borderId="0" xfId="0" applyFont="1"/>
    <xf numFmtId="0" fontId="67" fillId="0" borderId="0" xfId="0" applyFont="1" applyFill="1" applyBorder="1" applyAlignment="1">
      <alignment horizontal="center"/>
    </xf>
    <xf numFmtId="0" fontId="68" fillId="0" borderId="0" xfId="0" applyFont="1" applyAlignment="1">
      <alignment horizontal="center"/>
    </xf>
    <xf numFmtId="12" fontId="68" fillId="0" borderId="0" xfId="0" applyNumberFormat="1" applyFont="1"/>
    <xf numFmtId="3" fontId="0" fillId="0" borderId="0" xfId="0" applyNumberFormat="1" applyProtection="1">
      <protection locked="0"/>
    </xf>
    <xf numFmtId="176" fontId="7" fillId="0" borderId="51" xfId="0" applyNumberFormat="1" applyFont="1" applyBorder="1" applyAlignment="1" applyProtection="1">
      <alignment horizontal="center" vertical="top"/>
      <protection locked="0" hidden="1"/>
    </xf>
    <xf numFmtId="167" fontId="0" fillId="0" borderId="52" xfId="1" applyNumberFormat="1" applyFont="1" applyFill="1" applyBorder="1" applyAlignment="1" applyProtection="1">
      <alignment horizontal="right" vertical="top"/>
      <protection hidden="1"/>
    </xf>
    <xf numFmtId="0" fontId="0" fillId="22" borderId="0" xfId="0" applyFill="1" applyProtection="1">
      <protection locked="0"/>
    </xf>
    <xf numFmtId="0" fontId="14" fillId="22" borderId="52" xfId="0" applyFont="1" applyFill="1" applyBorder="1" applyAlignment="1" applyProtection="1">
      <alignment vertical="top" wrapText="1"/>
      <protection hidden="1"/>
    </xf>
    <xf numFmtId="0" fontId="0" fillId="22" borderId="52" xfId="0" applyFill="1" applyBorder="1" applyAlignment="1" applyProtection="1">
      <alignment horizontal="center" vertical="top"/>
      <protection hidden="1"/>
    </xf>
    <xf numFmtId="0" fontId="0" fillId="22" borderId="52" xfId="0" applyFill="1" applyBorder="1" applyAlignment="1" applyProtection="1">
      <alignment horizontal="right" vertical="top"/>
      <protection locked="0" hidden="1"/>
    </xf>
    <xf numFmtId="167" fontId="0" fillId="22" borderId="52" xfId="1" applyNumberFormat="1" applyFont="1" applyFill="1" applyBorder="1" applyAlignment="1" applyProtection="1">
      <alignment horizontal="right" vertical="top"/>
      <protection hidden="1"/>
    </xf>
    <xf numFmtId="167" fontId="0" fillId="22" borderId="230" xfId="1" applyNumberFormat="1" applyFont="1" applyFill="1" applyBorder="1" applyAlignment="1" applyProtection="1">
      <alignment horizontal="right" vertical="top"/>
      <protection hidden="1"/>
    </xf>
    <xf numFmtId="0" fontId="14" fillId="25" borderId="52" xfId="0" applyFont="1" applyFill="1" applyBorder="1" applyAlignment="1" applyProtection="1">
      <alignment vertical="top" wrapText="1"/>
      <protection hidden="1"/>
    </xf>
    <xf numFmtId="0" fontId="0" fillId="25" borderId="52" xfId="0" applyFill="1" applyBorder="1" applyAlignment="1" applyProtection="1">
      <alignment horizontal="center" vertical="top"/>
      <protection hidden="1"/>
    </xf>
    <xf numFmtId="167" fontId="0" fillId="25" borderId="230" xfId="1" applyNumberFormat="1" applyFont="1" applyFill="1" applyBorder="1" applyAlignment="1" applyProtection="1">
      <alignment horizontal="right" vertical="top"/>
      <protection hidden="1"/>
    </xf>
    <xf numFmtId="173" fontId="0" fillId="0" borderId="0" xfId="1" applyNumberFormat="1" applyFont="1" applyBorder="1" applyProtection="1">
      <protection locked="0"/>
    </xf>
    <xf numFmtId="167" fontId="8" fillId="25" borderId="33" xfId="1" applyNumberFormat="1" applyFont="1" applyFill="1" applyBorder="1" applyAlignment="1" applyProtection="1">
      <alignment horizontal="left" vertical="top"/>
      <protection hidden="1"/>
    </xf>
    <xf numFmtId="167" fontId="24" fillId="25" borderId="34" xfId="1" applyNumberFormat="1" applyFont="1" applyFill="1" applyBorder="1" applyAlignment="1" applyProtection="1">
      <alignment horizontal="right" vertical="top"/>
      <protection hidden="1"/>
    </xf>
    <xf numFmtId="0" fontId="14" fillId="25" borderId="57" xfId="0" applyFont="1" applyFill="1" applyBorder="1" applyAlignment="1" applyProtection="1">
      <alignment vertical="top" wrapText="1"/>
      <protection hidden="1"/>
    </xf>
    <xf numFmtId="166" fontId="24" fillId="25" borderId="58" xfId="1" applyNumberFormat="1" applyFont="1" applyFill="1" applyBorder="1" applyAlignment="1" applyProtection="1">
      <alignment horizontal="right" vertical="top"/>
      <protection hidden="1"/>
    </xf>
    <xf numFmtId="0" fontId="0" fillId="25" borderId="57" xfId="0" applyFill="1" applyBorder="1" applyAlignment="1" applyProtection="1">
      <alignment horizontal="center" vertical="top"/>
      <protection hidden="1"/>
    </xf>
    <xf numFmtId="0" fontId="0" fillId="25" borderId="57" xfId="0" applyFill="1" applyBorder="1" applyAlignment="1" applyProtection="1">
      <alignment horizontal="right" vertical="top"/>
      <protection locked="0" hidden="1"/>
    </xf>
    <xf numFmtId="167" fontId="24" fillId="25" borderId="57" xfId="1" applyNumberFormat="1" applyFont="1" applyFill="1" applyBorder="1" applyAlignment="1" applyProtection="1">
      <alignment horizontal="right" vertical="top"/>
      <protection hidden="1"/>
    </xf>
    <xf numFmtId="0" fontId="7" fillId="25" borderId="56" xfId="0" applyFont="1" applyFill="1" applyBorder="1" applyAlignment="1" applyProtection="1">
      <alignment horizontal="center" vertical="top"/>
      <protection locked="0" hidden="1"/>
    </xf>
    <xf numFmtId="43" fontId="0" fillId="0" borderId="0" xfId="1" applyFont="1" applyProtection="1">
      <protection locked="0"/>
    </xf>
    <xf numFmtId="3" fontId="0" fillId="22" borderId="236" xfId="0" applyNumberFormat="1" applyFill="1" applyBorder="1" applyAlignment="1">
      <alignment horizontal="right"/>
    </xf>
    <xf numFmtId="3" fontId="14" fillId="0" borderId="52" xfId="0" applyNumberFormat="1" applyFont="1" applyFill="1" applyBorder="1" applyAlignment="1" applyProtection="1">
      <alignment vertical="top" wrapText="1"/>
      <protection hidden="1"/>
    </xf>
    <xf numFmtId="0" fontId="14" fillId="22" borderId="52" xfId="0" applyFont="1" applyFill="1" applyBorder="1" applyAlignment="1" applyProtection="1">
      <alignment horizontal="center" vertical="top" wrapText="1"/>
      <protection hidden="1"/>
    </xf>
    <xf numFmtId="0" fontId="0" fillId="22" borderId="0" xfId="0" applyFill="1" applyBorder="1" applyProtection="1">
      <protection locked="0"/>
    </xf>
    <xf numFmtId="0" fontId="0" fillId="17" borderId="0" xfId="0" applyFill="1" applyBorder="1" applyProtection="1">
      <protection locked="0"/>
    </xf>
    <xf numFmtId="173" fontId="0" fillId="22" borderId="0" xfId="1" applyNumberFormat="1" applyFont="1" applyFill="1" applyBorder="1" applyProtection="1">
      <protection locked="0"/>
    </xf>
    <xf numFmtId="2" fontId="7" fillId="0" borderId="196" xfId="0" applyNumberFormat="1" applyFont="1" applyBorder="1" applyAlignment="1" applyProtection="1">
      <alignment horizontal="center" vertical="top" wrapText="1"/>
      <protection locked="0" hidden="1"/>
    </xf>
    <xf numFmtId="173" fontId="0" fillId="0" borderId="0" xfId="1" applyNumberFormat="1" applyFont="1" applyFill="1" applyBorder="1" applyProtection="1">
      <protection locked="0"/>
    </xf>
    <xf numFmtId="0" fontId="0" fillId="26" borderId="0" xfId="0" applyFill="1" applyBorder="1" applyProtection="1">
      <protection hidden="1"/>
    </xf>
    <xf numFmtId="0" fontId="14" fillId="0" borderId="232" xfId="0" applyFont="1" applyBorder="1" applyAlignment="1" applyProtection="1">
      <alignment vertical="top" wrapText="1"/>
      <protection hidden="1"/>
    </xf>
    <xf numFmtId="0" fontId="0" fillId="0" borderId="0" xfId="0" applyBorder="1" applyAlignment="1">
      <alignment horizontal="center" vertical="top"/>
    </xf>
    <xf numFmtId="2" fontId="0" fillId="0" borderId="0" xfId="0" applyNumberFormat="1" applyBorder="1" applyAlignment="1" applyProtection="1">
      <alignment horizontal="center" vertical="top"/>
      <protection hidden="1"/>
    </xf>
    <xf numFmtId="3" fontId="0" fillId="0" borderId="153" xfId="0" applyNumberFormat="1" applyBorder="1" applyAlignment="1" applyProtection="1">
      <alignment horizontal="right" vertical="top" wrapText="1"/>
      <protection locked="0" hidden="1"/>
    </xf>
    <xf numFmtId="167" fontId="1" fillId="0" borderId="52" xfId="1" applyNumberFormat="1" applyFont="1" applyBorder="1" applyAlignment="1" applyProtection="1">
      <alignment horizontal="right" vertical="top"/>
      <protection hidden="1"/>
    </xf>
    <xf numFmtId="167" fontId="1" fillId="22" borderId="52" xfId="1" applyNumberFormat="1" applyFont="1" applyFill="1" applyBorder="1" applyAlignment="1" applyProtection="1">
      <alignment horizontal="right" vertical="top"/>
      <protection hidden="1"/>
    </xf>
    <xf numFmtId="3" fontId="69" fillId="17" borderId="52" xfId="0" applyNumberFormat="1" applyFont="1" applyFill="1" applyBorder="1" applyAlignment="1" applyProtection="1">
      <alignment vertical="top" wrapText="1"/>
      <protection hidden="1"/>
    </xf>
    <xf numFmtId="0" fontId="70" fillId="17" borderId="35" xfId="0" applyFont="1" applyFill="1" applyBorder="1" applyAlignment="1">
      <alignment horizontal="left" vertical="center" wrapText="1"/>
    </xf>
    <xf numFmtId="167" fontId="0" fillId="0" borderId="191" xfId="1" applyNumberFormat="1" applyFont="1" applyBorder="1" applyProtection="1">
      <protection hidden="1"/>
    </xf>
    <xf numFmtId="0" fontId="71" fillId="0" borderId="0" xfId="0" applyFont="1"/>
    <xf numFmtId="0" fontId="14" fillId="0" borderId="232" xfId="0" applyFont="1" applyBorder="1" applyAlignment="1" applyProtection="1">
      <alignment horizontal="justify" vertical="justify" wrapText="1"/>
      <protection hidden="1"/>
    </xf>
    <xf numFmtId="167" fontId="0" fillId="22" borderId="231" xfId="1" applyNumberFormat="1" applyFont="1" applyFill="1" applyBorder="1" applyAlignment="1" applyProtection="1">
      <alignment horizontal="right" vertical="top"/>
      <protection hidden="1"/>
    </xf>
    <xf numFmtId="167" fontId="5" fillId="0" borderId="0" xfId="0" applyNumberFormat="1" applyFont="1" applyFill="1" applyBorder="1" applyProtection="1">
      <protection hidden="1"/>
    </xf>
    <xf numFmtId="4" fontId="24" fillId="0" borderId="0" xfId="0" applyNumberFormat="1" applyFont="1" applyFill="1" applyBorder="1" applyAlignment="1" applyProtection="1">
      <alignment horizontal="right"/>
      <protection hidden="1"/>
    </xf>
    <xf numFmtId="3" fontId="24" fillId="8" borderId="0" xfId="0" applyNumberFormat="1" applyFont="1" applyFill="1" applyBorder="1" applyAlignment="1" applyProtection="1">
      <alignment horizontal="right"/>
      <protection hidden="1"/>
    </xf>
    <xf numFmtId="0" fontId="0" fillId="0" borderId="35" xfId="0" applyBorder="1"/>
    <xf numFmtId="0" fontId="62" fillId="17" borderId="35" xfId="0" applyFont="1" applyFill="1" applyBorder="1"/>
    <xf numFmtId="0" fontId="0" fillId="0" borderId="35" xfId="0" applyFont="1" applyBorder="1"/>
    <xf numFmtId="0" fontId="8" fillId="0" borderId="0" xfId="0" applyFont="1" applyFill="1" applyBorder="1" applyAlignment="1" applyProtection="1">
      <alignment vertical="top" wrapText="1"/>
      <protection hidden="1"/>
    </xf>
    <xf numFmtId="4" fontId="24" fillId="0" borderId="154" xfId="0" applyNumberFormat="1" applyFont="1" applyFill="1" applyBorder="1" applyAlignment="1" applyProtection="1">
      <alignment horizontal="right" vertical="top" wrapText="1"/>
      <protection hidden="1"/>
    </xf>
    <xf numFmtId="0" fontId="0" fillId="0" borderId="35" xfId="0" applyBorder="1" applyAlignment="1">
      <alignment wrapText="1"/>
    </xf>
    <xf numFmtId="0" fontId="0" fillId="0" borderId="35" xfId="0" applyFont="1" applyBorder="1" applyAlignment="1">
      <alignment wrapText="1"/>
    </xf>
    <xf numFmtId="0" fontId="0" fillId="0" borderId="0" xfId="0" applyAlignment="1">
      <alignment wrapText="1"/>
    </xf>
    <xf numFmtId="167" fontId="1" fillId="0" borderId="231" xfId="1" applyNumberFormat="1" applyFont="1" applyBorder="1" applyAlignment="1" applyProtection="1">
      <alignment horizontal="right" vertical="top"/>
      <protection hidden="1"/>
    </xf>
    <xf numFmtId="0" fontId="60" fillId="0" borderId="0" xfId="0" applyFont="1"/>
    <xf numFmtId="0" fontId="0" fillId="0" borderId="35" xfId="0" applyBorder="1" applyAlignment="1">
      <alignment horizontal="center"/>
    </xf>
    <xf numFmtId="173" fontId="0" fillId="0" borderId="35" xfId="1" applyNumberFormat="1" applyFont="1" applyBorder="1"/>
    <xf numFmtId="0" fontId="62" fillId="0" borderId="35" xfId="0" applyFont="1" applyBorder="1" applyAlignment="1">
      <alignment horizontal="center" vertical="top" wrapText="1"/>
    </xf>
    <xf numFmtId="173" fontId="62" fillId="0" borderId="35" xfId="1" applyNumberFormat="1" applyFont="1" applyBorder="1" applyAlignment="1">
      <alignment horizontal="right" vertical="top" wrapText="1"/>
    </xf>
    <xf numFmtId="0" fontId="0" fillId="0" borderId="35" xfId="0" applyBorder="1"/>
    <xf numFmtId="0" fontId="0" fillId="0" borderId="0" xfId="0"/>
    <xf numFmtId="0" fontId="0" fillId="0" borderId="35" xfId="0" applyBorder="1"/>
    <xf numFmtId="0" fontId="0" fillId="0" borderId="35" xfId="0" applyBorder="1"/>
    <xf numFmtId="173" fontId="0" fillId="0" borderId="35" xfId="1" applyNumberFormat="1" applyFont="1" applyBorder="1"/>
    <xf numFmtId="0" fontId="0" fillId="0" borderId="35" xfId="0" applyBorder="1"/>
    <xf numFmtId="173" fontId="0" fillId="0" borderId="35" xfId="1" applyNumberFormat="1" applyFont="1" applyBorder="1"/>
    <xf numFmtId="0" fontId="72" fillId="0" borderId="0" xfId="5" applyFont="1"/>
    <xf numFmtId="0" fontId="73" fillId="0" borderId="35" xfId="5" applyFont="1" applyBorder="1"/>
    <xf numFmtId="0" fontId="73" fillId="0" borderId="35" xfId="5" applyFont="1" applyBorder="1" applyAlignment="1">
      <alignment horizontal="center" vertical="top" wrapText="1"/>
    </xf>
    <xf numFmtId="177" fontId="73" fillId="0" borderId="35" xfId="6" applyNumberFormat="1" applyFont="1" applyBorder="1" applyAlignment="1">
      <alignment horizontal="right" vertical="top" wrapText="1"/>
    </xf>
    <xf numFmtId="0" fontId="73" fillId="0" borderId="35" xfId="5" applyFont="1" applyFill="1" applyBorder="1"/>
    <xf numFmtId="0" fontId="73" fillId="0" borderId="35" xfId="5" applyFont="1" applyFill="1" applyBorder="1" applyAlignment="1">
      <alignment horizontal="center" vertical="top" wrapText="1"/>
    </xf>
    <xf numFmtId="177" fontId="73" fillId="0" borderId="35" xfId="6" applyNumberFormat="1" applyFont="1" applyFill="1" applyBorder="1" applyAlignment="1">
      <alignment horizontal="right" vertical="top" wrapText="1"/>
    </xf>
    <xf numFmtId="0" fontId="62" fillId="0" borderId="35" xfId="0" applyFont="1" applyBorder="1" applyAlignment="1">
      <alignment horizontal="right" vertical="top" wrapText="1"/>
    </xf>
    <xf numFmtId="0" fontId="0" fillId="0" borderId="35" xfId="0" applyBorder="1" applyAlignment="1">
      <alignment horizontal="right"/>
    </xf>
    <xf numFmtId="0" fontId="73" fillId="0" borderId="35" xfId="5" applyFont="1" applyBorder="1" applyAlignment="1">
      <alignment horizontal="right" vertical="top" wrapText="1"/>
    </xf>
    <xf numFmtId="0" fontId="73" fillId="0" borderId="35" xfId="5" applyFont="1" applyFill="1" applyBorder="1" applyAlignment="1">
      <alignment horizontal="right" vertical="top" wrapText="1"/>
    </xf>
    <xf numFmtId="0" fontId="0" fillId="27" borderId="136" xfId="0" applyFill="1" applyBorder="1" applyAlignment="1" applyProtection="1">
      <alignment horizontal="right" vertical="top" wrapText="1"/>
      <protection locked="0" hidden="1"/>
    </xf>
    <xf numFmtId="167" fontId="0" fillId="27" borderId="136" xfId="1" applyNumberFormat="1" applyFont="1" applyFill="1" applyBorder="1" applyAlignment="1" applyProtection="1">
      <alignment horizontal="right" vertical="top"/>
      <protection hidden="1"/>
    </xf>
    <xf numFmtId="167" fontId="0" fillId="27" borderId="231" xfId="1" applyNumberFormat="1" applyFont="1" applyFill="1" applyBorder="1" applyAlignment="1" applyProtection="1">
      <alignment horizontal="right" vertical="top"/>
      <protection hidden="1"/>
    </xf>
    <xf numFmtId="0" fontId="0" fillId="24" borderId="136" xfId="0" applyFill="1" applyBorder="1" applyAlignment="1" applyProtection="1">
      <alignment horizontal="center" vertical="top" wrapText="1"/>
      <protection hidden="1"/>
    </xf>
    <xf numFmtId="167" fontId="0" fillId="0" borderId="153" xfId="0" applyNumberFormat="1" applyBorder="1" applyProtection="1">
      <protection locked="0"/>
    </xf>
    <xf numFmtId="43" fontId="0" fillId="0" borderId="153" xfId="1" applyFont="1" applyBorder="1" applyProtection="1">
      <protection locked="0"/>
    </xf>
    <xf numFmtId="167" fontId="24" fillId="25" borderId="57" xfId="1" applyNumberFormat="1" applyFont="1" applyFill="1" applyBorder="1" applyAlignment="1" applyProtection="1">
      <alignment horizontal="right" vertical="top"/>
      <protection hidden="1"/>
    </xf>
    <xf numFmtId="0" fontId="73" fillId="17" borderId="200" xfId="0" applyFont="1" applyFill="1" applyBorder="1" applyAlignment="1">
      <alignment horizontal="left" wrapText="1"/>
    </xf>
    <xf numFmtId="0" fontId="73" fillId="0" borderId="35" xfId="5" applyFont="1" applyBorder="1" applyAlignment="1">
      <alignment horizontal="left" wrapText="1"/>
    </xf>
    <xf numFmtId="0" fontId="73" fillId="0" borderId="35" xfId="5" applyFont="1" applyBorder="1" applyAlignment="1">
      <alignment wrapText="1"/>
    </xf>
    <xf numFmtId="0" fontId="7" fillId="0" borderId="56" xfId="0" applyFont="1" applyFill="1" applyBorder="1" applyAlignment="1" applyProtection="1">
      <alignment horizontal="center" vertical="top"/>
      <protection locked="0" hidden="1"/>
    </xf>
    <xf numFmtId="173" fontId="0" fillId="0" borderId="0" xfId="0" applyNumberFormat="1"/>
    <xf numFmtId="167" fontId="24" fillId="10" borderId="176" xfId="1" applyNumberFormat="1" applyFont="1" applyFill="1" applyBorder="1" applyAlignment="1" applyProtection="1">
      <alignment horizontal="right" vertical="center"/>
      <protection hidden="1"/>
    </xf>
    <xf numFmtId="167" fontId="24" fillId="25" borderId="57" xfId="1" applyNumberFormat="1" applyFont="1" applyFill="1" applyBorder="1" applyAlignment="1" applyProtection="1">
      <alignment horizontal="right" vertical="top"/>
      <protection hidden="1"/>
    </xf>
    <xf numFmtId="0" fontId="74" fillId="28" borderId="52" xfId="0" applyFont="1" applyFill="1" applyBorder="1" applyAlignment="1" applyProtection="1">
      <alignment vertical="top" wrapText="1"/>
      <protection hidden="1"/>
    </xf>
    <xf numFmtId="0" fontId="0" fillId="28" borderId="52" xfId="0" applyFont="1" applyFill="1" applyBorder="1" applyAlignment="1" applyProtection="1">
      <alignment horizontal="center" vertical="top"/>
      <protection hidden="1"/>
    </xf>
    <xf numFmtId="0" fontId="0" fillId="28" borderId="52" xfId="0" applyFont="1" applyFill="1" applyBorder="1" applyAlignment="1" applyProtection="1">
      <alignment horizontal="right" vertical="top"/>
      <protection locked="0" hidden="1"/>
    </xf>
    <xf numFmtId="167" fontId="0" fillId="28" borderId="52" xfId="1" applyNumberFormat="1" applyFont="1" applyFill="1" applyBorder="1" applyAlignment="1" applyProtection="1">
      <alignment horizontal="right" vertical="top"/>
      <protection hidden="1"/>
    </xf>
    <xf numFmtId="167" fontId="0" fillId="28" borderId="230" xfId="1" applyNumberFormat="1" applyFont="1" applyFill="1" applyBorder="1" applyAlignment="1" applyProtection="1">
      <alignment horizontal="right" vertical="top"/>
      <protection hidden="1"/>
    </xf>
    <xf numFmtId="0" fontId="14" fillId="28" borderId="52" xfId="0" applyFont="1" applyFill="1" applyBorder="1" applyAlignment="1" applyProtection="1">
      <alignment vertical="top" wrapText="1"/>
      <protection hidden="1"/>
    </xf>
    <xf numFmtId="0" fontId="0" fillId="28" borderId="52" xfId="0" applyFill="1" applyBorder="1" applyAlignment="1" applyProtection="1">
      <alignment horizontal="center" vertical="top"/>
      <protection hidden="1"/>
    </xf>
    <xf numFmtId="0" fontId="0" fillId="28" borderId="52" xfId="0" applyFill="1" applyBorder="1" applyAlignment="1" applyProtection="1">
      <alignment horizontal="right" vertical="top"/>
      <protection locked="0" hidden="1"/>
    </xf>
    <xf numFmtId="43" fontId="0" fillId="0" borderId="0" xfId="1" applyFont="1" applyBorder="1" applyProtection="1">
      <protection locked="0"/>
    </xf>
    <xf numFmtId="164" fontId="0" fillId="0" borderId="0" xfId="0" applyNumberFormat="1" applyBorder="1" applyProtection="1">
      <protection locked="0"/>
    </xf>
    <xf numFmtId="0" fontId="14" fillId="28" borderId="52" xfId="0" applyFont="1" applyFill="1" applyBorder="1" applyAlignment="1" applyProtection="1">
      <alignment horizontal="center" vertical="top" wrapText="1"/>
      <protection hidden="1"/>
    </xf>
    <xf numFmtId="167" fontId="0" fillId="28" borderId="0" xfId="0" applyNumberFormat="1" applyFill="1" applyProtection="1">
      <protection locked="0"/>
    </xf>
    <xf numFmtId="167" fontId="0" fillId="0" borderId="0" xfId="0" applyNumberFormat="1" applyBorder="1" applyProtection="1">
      <protection locked="0"/>
    </xf>
    <xf numFmtId="173" fontId="0" fillId="0" borderId="0" xfId="0" applyNumberFormat="1" applyProtection="1">
      <protection locked="0"/>
    </xf>
    <xf numFmtId="167" fontId="0" fillId="28" borderId="0" xfId="0" applyNumberFormat="1" applyFill="1" applyBorder="1" applyProtection="1">
      <protection locked="0"/>
    </xf>
    <xf numFmtId="2" fontId="0" fillId="0" borderId="136" xfId="0" applyNumberFormat="1" applyBorder="1" applyAlignment="1" applyProtection="1">
      <alignment horizontal="center" vertical="top" wrapText="1"/>
      <protection hidden="1"/>
    </xf>
    <xf numFmtId="167" fontId="1" fillId="0" borderId="52" xfId="1" applyNumberFormat="1" applyFont="1" applyFill="1" applyBorder="1" applyAlignment="1" applyProtection="1">
      <alignment horizontal="right" vertical="top"/>
      <protection hidden="1"/>
    </xf>
    <xf numFmtId="167" fontId="0" fillId="0" borderId="231" xfId="1" applyNumberFormat="1" applyFont="1" applyFill="1" applyBorder="1" applyAlignment="1" applyProtection="1">
      <alignment horizontal="right" vertical="top"/>
      <protection hidden="1"/>
    </xf>
    <xf numFmtId="0" fontId="14" fillId="0" borderId="82" xfId="0" applyFont="1" applyBorder="1" applyAlignment="1" applyProtection="1">
      <alignment horizontal="justify" vertical="justify" wrapText="1"/>
      <protection hidden="1"/>
    </xf>
    <xf numFmtId="0" fontId="0" fillId="0" borderId="136" xfId="0" applyFill="1" applyBorder="1" applyAlignment="1" applyProtection="1">
      <alignment horizontal="right" vertical="top" wrapText="1"/>
      <protection locked="0" hidden="1"/>
    </xf>
    <xf numFmtId="167" fontId="0" fillId="0" borderId="136" xfId="1" applyNumberFormat="1" applyFont="1" applyFill="1" applyBorder="1" applyAlignment="1" applyProtection="1">
      <alignment horizontal="right" vertical="top"/>
      <protection hidden="1"/>
    </xf>
    <xf numFmtId="0" fontId="0" fillId="0" borderId="52" xfId="0" applyFill="1" applyBorder="1" applyAlignment="1" applyProtection="1">
      <alignment horizontal="right" vertical="top"/>
      <protection locked="0" hidden="1"/>
    </xf>
    <xf numFmtId="167" fontId="0" fillId="0" borderId="0" xfId="0" applyNumberFormat="1"/>
    <xf numFmtId="0" fontId="75" fillId="0" borderId="0" xfId="0" applyFont="1"/>
    <xf numFmtId="167" fontId="75" fillId="0" borderId="0" xfId="0" applyNumberFormat="1" applyFont="1"/>
    <xf numFmtId="167" fontId="0" fillId="0" borderId="136" xfId="1" applyNumberFormat="1" applyFont="1" applyBorder="1" applyAlignment="1" applyProtection="1">
      <alignment vertical="top"/>
      <protection hidden="1"/>
    </xf>
    <xf numFmtId="0" fontId="0" fillId="0" borderId="136" xfId="0" applyFill="1" applyBorder="1" applyAlignment="1" applyProtection="1">
      <alignment horizontal="center" vertical="top" wrapText="1"/>
      <protection hidden="1"/>
    </xf>
    <xf numFmtId="0" fontId="24" fillId="0" borderId="0" xfId="0" applyFont="1" applyFill="1" applyBorder="1" applyAlignment="1" applyProtection="1">
      <alignment vertical="top"/>
      <protection locked="0"/>
    </xf>
    <xf numFmtId="166" fontId="0" fillId="0" borderId="231" xfId="1" applyNumberFormat="1" applyFont="1" applyFill="1" applyBorder="1" applyAlignment="1" applyProtection="1">
      <alignment horizontal="right" vertical="top"/>
      <protection hidden="1"/>
    </xf>
    <xf numFmtId="0" fontId="14" fillId="0" borderId="232" xfId="0" applyFont="1" applyFill="1" applyBorder="1" applyAlignment="1" applyProtection="1">
      <alignment vertical="top" wrapText="1"/>
      <protection hidden="1"/>
    </xf>
    <xf numFmtId="0" fontId="24" fillId="24" borderId="38" xfId="0" applyFont="1" applyFill="1" applyBorder="1" applyAlignment="1" applyProtection="1">
      <alignment vertical="top"/>
      <protection locked="0"/>
    </xf>
    <xf numFmtId="0" fontId="8" fillId="24" borderId="38" xfId="0" applyFont="1" applyFill="1" applyBorder="1" applyAlignment="1" applyProtection="1">
      <alignment vertical="top" wrapText="1"/>
      <protection hidden="1"/>
    </xf>
    <xf numFmtId="4" fontId="24" fillId="24" borderId="39" xfId="0" applyNumberFormat="1" applyFont="1" applyFill="1" applyBorder="1" applyAlignment="1" applyProtection="1">
      <alignment horizontal="right" vertical="top" wrapText="1"/>
      <protection hidden="1"/>
    </xf>
    <xf numFmtId="0" fontId="22" fillId="24" borderId="232" xfId="0" applyFont="1" applyFill="1" applyBorder="1" applyAlignment="1" applyProtection="1">
      <alignment vertical="top" wrapText="1"/>
      <protection hidden="1"/>
    </xf>
    <xf numFmtId="0" fontId="0" fillId="24" borderId="136" xfId="0" applyFill="1" applyBorder="1" applyAlignment="1" applyProtection="1">
      <alignment horizontal="right" vertical="top" wrapText="1"/>
      <protection locked="0" hidden="1"/>
    </xf>
    <xf numFmtId="167" fontId="0" fillId="24" borderId="136" xfId="1" applyNumberFormat="1" applyFont="1" applyFill="1" applyBorder="1" applyAlignment="1" applyProtection="1">
      <alignment horizontal="right" vertical="top"/>
      <protection hidden="1"/>
    </xf>
    <xf numFmtId="167" fontId="1" fillId="24" borderId="231" xfId="1" applyNumberFormat="1" applyFont="1" applyFill="1" applyBorder="1" applyAlignment="1" applyProtection="1">
      <alignment horizontal="right" vertical="top"/>
      <protection hidden="1"/>
    </xf>
    <xf numFmtId="0" fontId="76" fillId="24" borderId="232" xfId="0" applyFont="1" applyFill="1" applyBorder="1" applyAlignment="1" applyProtection="1">
      <alignment vertical="top" wrapText="1"/>
      <protection hidden="1"/>
    </xf>
    <xf numFmtId="0" fontId="7" fillId="0" borderId="51" xfId="0" applyFont="1" applyFill="1" applyBorder="1" applyAlignment="1" applyProtection="1">
      <alignment horizontal="center" vertical="top"/>
      <protection locked="0" hidden="1"/>
    </xf>
    <xf numFmtId="2" fontId="7" fillId="0" borderId="51" xfId="0" applyNumberFormat="1" applyFont="1" applyFill="1" applyBorder="1" applyAlignment="1" applyProtection="1">
      <alignment horizontal="center" vertical="top"/>
      <protection locked="0" hidden="1"/>
    </xf>
    <xf numFmtId="0" fontId="14" fillId="0" borderId="52" xfId="0" applyFont="1" applyFill="1" applyBorder="1" applyAlignment="1" applyProtection="1">
      <alignment vertical="top" wrapText="1"/>
      <protection hidden="1"/>
    </xf>
    <xf numFmtId="0" fontId="14" fillId="0" borderId="52" xfId="0" applyFont="1" applyFill="1" applyBorder="1" applyAlignment="1" applyProtection="1">
      <alignment horizontal="center" vertical="top" wrapText="1"/>
      <protection hidden="1"/>
    </xf>
    <xf numFmtId="167" fontId="0" fillId="0" borderId="230" xfId="1" applyNumberFormat="1" applyFont="1" applyFill="1" applyBorder="1" applyAlignment="1" applyProtection="1">
      <alignment horizontal="right" vertical="top"/>
      <protection hidden="1"/>
    </xf>
    <xf numFmtId="0" fontId="77" fillId="24" borderId="37" xfId="0" applyFont="1" applyFill="1" applyBorder="1" applyAlignment="1" applyProtection="1">
      <alignment horizontal="center" vertical="top" wrapText="1"/>
      <protection locked="0" hidden="1"/>
    </xf>
    <xf numFmtId="0" fontId="77" fillId="10" borderId="37" xfId="0" applyFont="1" applyFill="1" applyBorder="1" applyAlignment="1" applyProtection="1">
      <alignment horizontal="center" vertical="top" wrapText="1"/>
      <protection locked="0" hidden="1"/>
    </xf>
    <xf numFmtId="0" fontId="0" fillId="0" borderId="7" xfId="0" applyFill="1" applyBorder="1" applyAlignment="1" applyProtection="1">
      <alignment horizontal="center" vertical="top"/>
      <protection hidden="1"/>
    </xf>
    <xf numFmtId="0" fontId="0" fillId="0" borderId="7" xfId="0" applyFill="1" applyBorder="1" applyAlignment="1" applyProtection="1">
      <alignment horizontal="right" vertical="top"/>
      <protection locked="0" hidden="1"/>
    </xf>
    <xf numFmtId="167" fontId="0" fillId="0" borderId="7" xfId="1" applyNumberFormat="1" applyFont="1" applyFill="1" applyBorder="1" applyAlignment="1" applyProtection="1">
      <alignment horizontal="right" vertical="top"/>
      <protection hidden="1"/>
    </xf>
    <xf numFmtId="0" fontId="0" fillId="0" borderId="136" xfId="0" applyFill="1" applyBorder="1" applyAlignment="1" applyProtection="1">
      <alignment horizontal="center" vertical="top"/>
      <protection hidden="1"/>
    </xf>
    <xf numFmtId="0" fontId="0" fillId="0" borderId="136" xfId="0" applyFill="1" applyBorder="1" applyAlignment="1" applyProtection="1">
      <alignment horizontal="right" vertical="top"/>
      <protection locked="0" hidden="1"/>
    </xf>
    <xf numFmtId="0" fontId="7" fillId="0" borderId="196" xfId="0" applyFont="1" applyBorder="1" applyAlignment="1" applyProtection="1">
      <alignment horizontal="center" vertical="top"/>
      <protection locked="0" hidden="1"/>
    </xf>
    <xf numFmtId="0" fontId="0" fillId="0" borderId="136" xfId="0" applyBorder="1" applyAlignment="1" applyProtection="1">
      <alignment horizontal="center" vertical="top"/>
      <protection hidden="1"/>
    </xf>
    <xf numFmtId="0" fontId="0" fillId="0" borderId="136" xfId="0" applyBorder="1" applyAlignment="1" applyProtection="1">
      <alignment horizontal="right" vertical="top"/>
      <protection locked="0" hidden="1"/>
    </xf>
    <xf numFmtId="0" fontId="14" fillId="0" borderId="232" xfId="0" applyFont="1" applyFill="1" applyBorder="1" applyAlignment="1" applyProtection="1">
      <alignment horizontal="justify" vertical="justify" wrapText="1"/>
      <protection hidden="1"/>
    </xf>
    <xf numFmtId="167" fontId="24" fillId="24" borderId="39" xfId="0" applyNumberFormat="1" applyFont="1" applyFill="1" applyBorder="1" applyAlignment="1" applyProtection="1">
      <alignment horizontal="right" vertical="top" wrapText="1"/>
      <protection hidden="1"/>
    </xf>
    <xf numFmtId="173" fontId="75" fillId="0" borderId="0" xfId="1" applyNumberFormat="1" applyFont="1"/>
    <xf numFmtId="167" fontId="24" fillId="25" borderId="58" xfId="1" applyNumberFormat="1" applyFont="1" applyFill="1" applyBorder="1" applyAlignment="1" applyProtection="1">
      <alignment horizontal="right" vertical="top"/>
      <protection hidden="1"/>
    </xf>
    <xf numFmtId="0" fontId="0" fillId="0" borderId="52" xfId="0" applyFill="1" applyBorder="1" applyAlignment="1" applyProtection="1">
      <alignment horizontal="center" vertical="center"/>
      <protection hidden="1"/>
    </xf>
    <xf numFmtId="0" fontId="0" fillId="0" borderId="52" xfId="0" applyFill="1" applyBorder="1" applyAlignment="1" applyProtection="1">
      <alignment horizontal="right" vertical="center"/>
      <protection locked="0" hidden="1"/>
    </xf>
    <xf numFmtId="167" fontId="0" fillId="0" borderId="52" xfId="1" applyNumberFormat="1" applyFont="1" applyFill="1" applyBorder="1" applyAlignment="1" applyProtection="1">
      <alignment horizontal="right" vertical="center"/>
      <protection hidden="1"/>
    </xf>
    <xf numFmtId="167" fontId="0" fillId="0" borderId="230" xfId="1" applyNumberFormat="1" applyFont="1" applyFill="1" applyBorder="1" applyAlignment="1" applyProtection="1">
      <alignment horizontal="right" vertical="center"/>
      <protection hidden="1"/>
    </xf>
    <xf numFmtId="0" fontId="0" fillId="0" borderId="237" xfId="0" applyBorder="1" applyAlignment="1" applyProtection="1">
      <alignment horizontal="center" vertical="top" wrapText="1"/>
      <protection hidden="1"/>
    </xf>
    <xf numFmtId="0" fontId="73" fillId="0" borderId="91" xfId="5" applyFont="1" applyBorder="1"/>
    <xf numFmtId="0" fontId="73" fillId="0" borderId="91" xfId="5" applyFont="1" applyBorder="1" applyAlignment="1">
      <alignment horizontal="center" vertical="top" wrapText="1"/>
    </xf>
    <xf numFmtId="0" fontId="73" fillId="0" borderId="91" xfId="5" applyFont="1" applyBorder="1" applyAlignment="1">
      <alignment horizontal="right" vertical="top" wrapText="1"/>
    </xf>
    <xf numFmtId="177" fontId="73" fillId="0" borderId="91" xfId="6" applyNumberFormat="1" applyFont="1" applyBorder="1" applyAlignment="1">
      <alignment horizontal="right" vertical="top" wrapText="1"/>
    </xf>
    <xf numFmtId="167" fontId="1" fillId="0" borderId="233" xfId="1" applyNumberFormat="1" applyFont="1" applyBorder="1" applyAlignment="1" applyProtection="1">
      <alignment horizontal="right" vertical="top"/>
      <protection hidden="1"/>
    </xf>
    <xf numFmtId="0" fontId="73" fillId="0" borderId="92" xfId="5" applyFont="1" applyBorder="1"/>
    <xf numFmtId="0" fontId="73" fillId="0" borderId="92" xfId="5" applyFont="1" applyBorder="1" applyAlignment="1">
      <alignment horizontal="center" vertical="top" wrapText="1"/>
    </xf>
    <xf numFmtId="0" fontId="73" fillId="0" borderId="92" xfId="5" applyFont="1" applyBorder="1" applyAlignment="1">
      <alignment horizontal="right" vertical="top" wrapText="1"/>
    </xf>
    <xf numFmtId="177" fontId="73" fillId="0" borderId="92" xfId="6" applyNumberFormat="1" applyFont="1" applyBorder="1" applyAlignment="1">
      <alignment horizontal="right" vertical="top" wrapText="1"/>
    </xf>
    <xf numFmtId="167" fontId="1" fillId="0" borderId="230" xfId="1" applyNumberFormat="1" applyFont="1" applyBorder="1" applyAlignment="1" applyProtection="1">
      <alignment horizontal="right" vertical="top"/>
      <protection hidden="1"/>
    </xf>
    <xf numFmtId="0" fontId="0" fillId="0" borderId="35" xfId="0" applyBorder="1" applyAlignment="1" applyProtection="1">
      <alignment horizontal="center" vertical="top" wrapText="1"/>
      <protection hidden="1"/>
    </xf>
    <xf numFmtId="0" fontId="73" fillId="17" borderId="35" xfId="0" applyFont="1" applyFill="1" applyBorder="1" applyAlignment="1">
      <alignment horizontal="left" wrapText="1"/>
    </xf>
    <xf numFmtId="167" fontId="1" fillId="0" borderId="35" xfId="1" applyNumberFormat="1" applyFont="1" applyBorder="1" applyAlignment="1" applyProtection="1">
      <alignment horizontal="right" vertical="top"/>
      <protection hidden="1"/>
    </xf>
    <xf numFmtId="0" fontId="14" fillId="0" borderId="0" xfId="0" applyFont="1" applyFill="1" applyBorder="1" applyAlignment="1" applyProtection="1">
      <alignment vertical="top" wrapText="1"/>
      <protection hidden="1"/>
    </xf>
    <xf numFmtId="167" fontId="24" fillId="0" borderId="154" xfId="1" applyNumberFormat="1" applyFont="1" applyFill="1" applyBorder="1" applyAlignment="1" applyProtection="1">
      <alignment horizontal="right" vertical="top"/>
      <protection hidden="1"/>
    </xf>
    <xf numFmtId="0" fontId="0" fillId="25" borderId="0" xfId="0" applyFill="1" applyBorder="1" applyProtection="1">
      <protection hidden="1"/>
    </xf>
    <xf numFmtId="0" fontId="7" fillId="25" borderId="196" xfId="0" applyFont="1" applyFill="1" applyBorder="1" applyAlignment="1" applyProtection="1">
      <alignment horizontal="center" vertical="top" wrapText="1"/>
      <protection locked="0" hidden="1"/>
    </xf>
    <xf numFmtId="0" fontId="74" fillId="27" borderId="52" xfId="0" applyFont="1" applyFill="1" applyBorder="1" applyAlignment="1" applyProtection="1">
      <alignment vertical="top" wrapText="1"/>
      <protection hidden="1"/>
    </xf>
    <xf numFmtId="0" fontId="74" fillId="0" borderId="52" xfId="0" applyFont="1" applyFill="1" applyBorder="1" applyAlignment="1" applyProtection="1">
      <alignment vertical="top" wrapText="1"/>
      <protection hidden="1"/>
    </xf>
    <xf numFmtId="164" fontId="0" fillId="0" borderId="0" xfId="0" applyNumberFormat="1"/>
    <xf numFmtId="0" fontId="14" fillId="0" borderId="232" xfId="0" applyFont="1" applyBorder="1" applyAlignment="1" applyProtection="1">
      <alignment vertical="top"/>
      <protection hidden="1"/>
    </xf>
    <xf numFmtId="3" fontId="0" fillId="0" borderId="0" xfId="0" applyNumberFormat="1" applyBorder="1" applyProtection="1">
      <protection locked="0"/>
    </xf>
    <xf numFmtId="167" fontId="24" fillId="25" borderId="151" xfId="1" applyNumberFormat="1" applyFont="1" applyFill="1" applyBorder="1" applyAlignment="1" applyProtection="1">
      <alignment horizontal="right" vertical="top"/>
      <protection hidden="1"/>
    </xf>
    <xf numFmtId="0" fontId="72" fillId="0" borderId="0" xfId="5" applyFont="1" applyAlignment="1">
      <alignment wrapText="1"/>
    </xf>
    <xf numFmtId="0" fontId="73" fillId="0" borderId="35" xfId="5" applyFont="1" applyFill="1" applyBorder="1" applyAlignment="1">
      <alignment wrapText="1"/>
    </xf>
    <xf numFmtId="0" fontId="14" fillId="0" borderId="136" xfId="0" applyFont="1" applyFill="1" applyBorder="1" applyAlignment="1" applyProtection="1">
      <alignment vertical="top" wrapText="1"/>
      <protection hidden="1"/>
    </xf>
    <xf numFmtId="0" fontId="75" fillId="0" borderId="0" xfId="0" applyFont="1" applyAlignment="1">
      <alignment horizontal="left"/>
    </xf>
    <xf numFmtId="173" fontId="75" fillId="0" borderId="0" xfId="0" applyNumberFormat="1" applyFont="1"/>
    <xf numFmtId="173" fontId="75" fillId="0" borderId="0" xfId="1" applyNumberFormat="1" applyFont="1" applyBorder="1" applyAlignment="1" applyProtection="1">
      <alignment horizontal="right" vertical="top"/>
      <protection hidden="1"/>
    </xf>
    <xf numFmtId="173" fontId="79" fillId="0" borderId="0" xfId="0" applyNumberFormat="1" applyFont="1"/>
    <xf numFmtId="43" fontId="0" fillId="0" borderId="0" xfId="0" applyNumberFormat="1"/>
    <xf numFmtId="0" fontId="74" fillId="17" borderId="52" xfId="0" applyFont="1" applyFill="1" applyBorder="1" applyAlignment="1" applyProtection="1">
      <alignment vertical="top" wrapText="1"/>
      <protection hidden="1"/>
    </xf>
    <xf numFmtId="0" fontId="14" fillId="0" borderId="52" xfId="0" applyFont="1" applyBorder="1" applyAlignment="1" applyProtection="1">
      <alignment horizontal="left" vertical="top" wrapText="1"/>
      <protection hidden="1"/>
    </xf>
    <xf numFmtId="167" fontId="0" fillId="0" borderId="0" xfId="0" applyNumberFormat="1" applyProtection="1">
      <protection locked="0"/>
    </xf>
    <xf numFmtId="0" fontId="14" fillId="0" borderId="52" xfId="0" applyFont="1" applyFill="1" applyBorder="1" applyAlignment="1" applyProtection="1">
      <alignment horizontal="justify" vertical="justify" wrapText="1"/>
      <protection hidden="1"/>
    </xf>
    <xf numFmtId="1" fontId="0" fillId="0" borderId="41" xfId="0" applyNumberFormat="1" applyBorder="1" applyAlignment="1" applyProtection="1">
      <alignment horizontal="right" vertical="top"/>
      <protection locked="0" hidden="1"/>
    </xf>
    <xf numFmtId="167" fontId="0" fillId="0" borderId="0" xfId="0" applyNumberFormat="1" applyBorder="1"/>
    <xf numFmtId="167" fontId="0" fillId="21" borderId="52" xfId="1" applyNumberFormat="1" applyFont="1" applyFill="1" applyBorder="1" applyAlignment="1" applyProtection="1">
      <alignment horizontal="right" vertical="top"/>
      <protection hidden="1"/>
    </xf>
    <xf numFmtId="0" fontId="0" fillId="21" borderId="136" xfId="0" applyFill="1" applyBorder="1" applyAlignment="1" applyProtection="1">
      <alignment horizontal="right" vertical="top" wrapText="1"/>
      <protection locked="0" hidden="1"/>
    </xf>
    <xf numFmtId="3" fontId="0" fillId="21" borderId="136" xfId="0" applyNumberFormat="1" applyFill="1" applyBorder="1" applyAlignment="1" applyProtection="1">
      <alignment horizontal="right" vertical="top" wrapText="1"/>
      <protection locked="0" hidden="1"/>
    </xf>
    <xf numFmtId="3" fontId="0" fillId="0" borderId="136" xfId="0" applyNumberFormat="1" applyFill="1" applyBorder="1" applyAlignment="1" applyProtection="1">
      <alignment horizontal="right" vertical="top" wrapText="1"/>
      <protection locked="0" hidden="1"/>
    </xf>
    <xf numFmtId="175" fontId="0" fillId="21" borderId="136" xfId="0" applyNumberFormat="1" applyFill="1" applyBorder="1" applyAlignment="1" applyProtection="1">
      <alignment horizontal="right" vertical="top" wrapText="1"/>
      <protection locked="0" hidden="1"/>
    </xf>
    <xf numFmtId="0" fontId="14" fillId="25" borderId="136" xfId="0" applyFont="1" applyFill="1" applyBorder="1" applyAlignment="1" applyProtection="1">
      <alignment vertical="top" wrapText="1"/>
      <protection hidden="1"/>
    </xf>
    <xf numFmtId="0" fontId="0" fillId="25" borderId="136" xfId="0" applyFill="1" applyBorder="1" applyAlignment="1" applyProtection="1">
      <alignment horizontal="center" vertical="top" wrapText="1"/>
      <protection hidden="1"/>
    </xf>
    <xf numFmtId="167" fontId="0" fillId="25" borderId="136" xfId="1" applyNumberFormat="1" applyFont="1" applyFill="1" applyBorder="1" applyAlignment="1" applyProtection="1">
      <alignment horizontal="right" vertical="top"/>
      <protection hidden="1"/>
    </xf>
    <xf numFmtId="0" fontId="0" fillId="29" borderId="136" xfId="0" applyFill="1" applyBorder="1" applyAlignment="1" applyProtection="1">
      <alignment horizontal="right" vertical="top" wrapText="1"/>
      <protection locked="0" hidden="1"/>
    </xf>
    <xf numFmtId="167" fontId="0" fillId="29" borderId="136" xfId="1" applyNumberFormat="1" applyFont="1" applyFill="1" applyBorder="1" applyAlignment="1" applyProtection="1">
      <alignment horizontal="right" vertical="top"/>
      <protection hidden="1"/>
    </xf>
    <xf numFmtId="167" fontId="24" fillId="25" borderId="57" xfId="1" applyNumberFormat="1" applyFont="1" applyFill="1" applyBorder="1" applyAlignment="1" applyProtection="1">
      <alignment horizontal="right" vertical="top"/>
      <protection hidden="1"/>
    </xf>
    <xf numFmtId="175" fontId="0" fillId="0" borderId="136" xfId="0" applyNumberFormat="1" applyBorder="1" applyAlignment="1" applyProtection="1">
      <alignment horizontal="right" vertical="top" wrapText="1"/>
      <protection locked="0" hidden="1"/>
    </xf>
    <xf numFmtId="0" fontId="0" fillId="21" borderId="52" xfId="0" applyFill="1" applyBorder="1" applyAlignment="1" applyProtection="1">
      <alignment horizontal="right" vertical="top"/>
      <protection locked="0" hidden="1"/>
    </xf>
    <xf numFmtId="0" fontId="24" fillId="2" borderId="38" xfId="0" applyFont="1" applyFill="1" applyBorder="1" applyAlignment="1" applyProtection="1">
      <alignment vertical="top"/>
      <protection locked="0"/>
    </xf>
    <xf numFmtId="0" fontId="8" fillId="2" borderId="38" xfId="0" applyFont="1" applyFill="1" applyBorder="1" applyAlignment="1" applyProtection="1">
      <alignment vertical="top" wrapText="1"/>
      <protection hidden="1"/>
    </xf>
    <xf numFmtId="0" fontId="14" fillId="21" borderId="52" xfId="0" applyFont="1" applyFill="1" applyBorder="1" applyAlignment="1" applyProtection="1">
      <alignment vertical="top" wrapText="1"/>
      <protection hidden="1"/>
    </xf>
    <xf numFmtId="0" fontId="0" fillId="21" borderId="0" xfId="0" applyFill="1" applyBorder="1" applyAlignment="1" applyProtection="1">
      <alignment horizontal="right" vertical="top"/>
      <protection locked="0" hidden="1"/>
    </xf>
    <xf numFmtId="0" fontId="14" fillId="2" borderId="57" xfId="0" applyFont="1" applyFill="1" applyBorder="1" applyAlignment="1" applyProtection="1">
      <alignment vertical="top" wrapText="1"/>
      <protection hidden="1"/>
    </xf>
    <xf numFmtId="0" fontId="0" fillId="2" borderId="57" xfId="0" applyFill="1" applyBorder="1" applyAlignment="1" applyProtection="1">
      <alignment horizontal="center" vertical="top"/>
      <protection hidden="1"/>
    </xf>
    <xf numFmtId="0" fontId="0" fillId="2" borderId="57" xfId="0" applyFill="1" applyBorder="1" applyAlignment="1" applyProtection="1">
      <alignment horizontal="right" vertical="top"/>
      <protection locked="0" hidden="1"/>
    </xf>
    <xf numFmtId="167" fontId="8" fillId="2" borderId="57" xfId="1" applyNumberFormat="1" applyFont="1" applyFill="1" applyBorder="1" applyAlignment="1" applyProtection="1">
      <alignment horizontal="right" vertical="top"/>
      <protection hidden="1"/>
    </xf>
    <xf numFmtId="167" fontId="0" fillId="31" borderId="52" xfId="1" applyNumberFormat="1" applyFont="1" applyFill="1" applyBorder="1" applyAlignment="1" applyProtection="1">
      <alignment horizontal="right" vertical="top"/>
      <protection hidden="1"/>
    </xf>
    <xf numFmtId="0" fontId="14" fillId="2" borderId="52" xfId="0" applyFont="1" applyFill="1" applyBorder="1" applyAlignment="1" applyProtection="1">
      <alignment vertical="top" wrapText="1"/>
      <protection hidden="1"/>
    </xf>
    <xf numFmtId="0" fontId="0" fillId="2" borderId="52" xfId="0" applyFill="1" applyBorder="1" applyAlignment="1" applyProtection="1">
      <alignment horizontal="center" vertical="top"/>
      <protection hidden="1"/>
    </xf>
    <xf numFmtId="0" fontId="0" fillId="2" borderId="52" xfId="0" applyFill="1" applyBorder="1" applyAlignment="1" applyProtection="1">
      <alignment horizontal="right" vertical="top"/>
      <protection locked="0" hidden="1"/>
    </xf>
    <xf numFmtId="167" fontId="0" fillId="2" borderId="52" xfId="1" applyNumberFormat="1" applyFont="1" applyFill="1" applyBorder="1" applyAlignment="1" applyProtection="1">
      <alignment horizontal="right" vertical="top"/>
      <protection hidden="1"/>
    </xf>
    <xf numFmtId="167" fontId="24" fillId="2" borderId="57" xfId="1" applyNumberFormat="1" applyFont="1" applyFill="1" applyBorder="1" applyAlignment="1" applyProtection="1">
      <alignment horizontal="right" vertical="top"/>
      <protection hidden="1"/>
    </xf>
    <xf numFmtId="0" fontId="14" fillId="30" borderId="57" xfId="0" applyFont="1" applyFill="1" applyBorder="1" applyAlignment="1" applyProtection="1">
      <alignment vertical="top" wrapText="1"/>
      <protection hidden="1"/>
    </xf>
    <xf numFmtId="0" fontId="0" fillId="30" borderId="57" xfId="0" applyFill="1" applyBorder="1" applyAlignment="1" applyProtection="1">
      <alignment horizontal="center" vertical="top"/>
      <protection hidden="1"/>
    </xf>
    <xf numFmtId="0" fontId="0" fillId="30" borderId="57" xfId="0" applyFill="1" applyBorder="1" applyAlignment="1" applyProtection="1">
      <alignment horizontal="right" vertical="top"/>
      <protection locked="0" hidden="1"/>
    </xf>
    <xf numFmtId="167" fontId="24" fillId="30" borderId="57" xfId="1" applyNumberFormat="1" applyFont="1" applyFill="1" applyBorder="1" applyAlignment="1" applyProtection="1">
      <alignment horizontal="right" vertical="top"/>
      <protection hidden="1"/>
    </xf>
    <xf numFmtId="0" fontId="14" fillId="31" borderId="52" xfId="0" applyFont="1" applyFill="1" applyBorder="1" applyAlignment="1" applyProtection="1">
      <alignment vertical="top" wrapText="1"/>
      <protection hidden="1"/>
    </xf>
    <xf numFmtId="0" fontId="0" fillId="21" borderId="52" xfId="0" applyFill="1" applyBorder="1" applyAlignment="1" applyProtection="1">
      <alignment horizontal="right" vertical="center"/>
      <protection locked="0" hidden="1"/>
    </xf>
    <xf numFmtId="167" fontId="80" fillId="0" borderId="52" xfId="1" applyNumberFormat="1" applyFont="1" applyFill="1" applyBorder="1" applyAlignment="1" applyProtection="1">
      <alignment horizontal="right" vertical="top"/>
      <protection hidden="1"/>
    </xf>
    <xf numFmtId="0" fontId="0" fillId="21" borderId="41" xfId="0" applyFill="1" applyBorder="1" applyAlignment="1" applyProtection="1">
      <alignment horizontal="center" vertical="top"/>
      <protection hidden="1"/>
    </xf>
    <xf numFmtId="0" fontId="0" fillId="21" borderId="41" xfId="0" applyFill="1" applyBorder="1" applyAlignment="1" applyProtection="1">
      <alignment horizontal="right" vertical="top"/>
      <protection locked="0" hidden="1"/>
    </xf>
    <xf numFmtId="167" fontId="0" fillId="21" borderId="41" xfId="1" applyNumberFormat="1" applyFont="1" applyFill="1" applyBorder="1" applyAlignment="1" applyProtection="1">
      <alignment horizontal="right" vertical="top"/>
      <protection hidden="1"/>
    </xf>
    <xf numFmtId="0" fontId="0" fillId="21" borderId="136" xfId="0" applyFill="1" applyBorder="1" applyAlignment="1" applyProtection="1">
      <alignment horizontal="center" vertical="top" wrapText="1"/>
      <protection hidden="1"/>
    </xf>
    <xf numFmtId="167" fontId="0" fillId="21" borderId="136" xfId="1" applyNumberFormat="1" applyFont="1" applyFill="1" applyBorder="1" applyAlignment="1" applyProtection="1">
      <alignment horizontal="right" vertical="top"/>
      <protection hidden="1"/>
    </xf>
    <xf numFmtId="0" fontId="0" fillId="21" borderId="52" xfId="0" applyFill="1" applyBorder="1" applyAlignment="1" applyProtection="1">
      <alignment horizontal="center" vertical="top"/>
      <protection hidden="1"/>
    </xf>
    <xf numFmtId="0" fontId="14" fillId="21" borderId="52" xfId="0" applyFont="1" applyFill="1" applyBorder="1" applyAlignment="1" applyProtection="1">
      <alignment horizontal="center" vertical="top" wrapText="1"/>
      <protection hidden="1"/>
    </xf>
    <xf numFmtId="0" fontId="44" fillId="21" borderId="52" xfId="0" applyFont="1" applyFill="1" applyBorder="1" applyAlignment="1" applyProtection="1">
      <alignment vertical="top" wrapText="1"/>
      <protection hidden="1"/>
    </xf>
    <xf numFmtId="3" fontId="14" fillId="21" borderId="52" xfId="0" applyNumberFormat="1" applyFont="1" applyFill="1" applyBorder="1" applyAlignment="1" applyProtection="1">
      <alignment vertical="top" wrapText="1"/>
      <protection hidden="1"/>
    </xf>
    <xf numFmtId="167" fontId="80" fillId="0" borderId="52" xfId="1" applyNumberFormat="1" applyFont="1" applyBorder="1" applyAlignment="1" applyProtection="1">
      <alignment horizontal="right" vertical="top"/>
      <protection hidden="1"/>
    </xf>
    <xf numFmtId="3" fontId="69" fillId="21" borderId="52" xfId="0" applyNumberFormat="1" applyFont="1" applyFill="1" applyBorder="1" applyAlignment="1" applyProtection="1">
      <alignment vertical="top" wrapText="1"/>
      <protection hidden="1"/>
    </xf>
    <xf numFmtId="0" fontId="82" fillId="0" borderId="0" xfId="0" applyFont="1"/>
    <xf numFmtId="0" fontId="62" fillId="21" borderId="35" xfId="0" applyFont="1" applyFill="1" applyBorder="1" applyAlignment="1">
      <alignment wrapText="1"/>
    </xf>
    <xf numFmtId="0" fontId="62" fillId="0" borderId="35" xfId="5" applyFont="1" applyBorder="1" applyAlignment="1">
      <alignment wrapText="1"/>
    </xf>
    <xf numFmtId="0" fontId="62" fillId="0" borderId="35" xfId="5" applyFont="1" applyBorder="1" applyAlignment="1">
      <alignment horizontal="center" vertical="top" wrapText="1"/>
    </xf>
    <xf numFmtId="0" fontId="62" fillId="0" borderId="35" xfId="5" applyFont="1" applyBorder="1" applyAlignment="1">
      <alignment horizontal="right" vertical="top" wrapText="1"/>
    </xf>
    <xf numFmtId="177" fontId="62" fillId="0" borderId="35" xfId="6" applyNumberFormat="1" applyFont="1" applyBorder="1" applyAlignment="1">
      <alignment horizontal="right" vertical="top" wrapText="1"/>
    </xf>
    <xf numFmtId="0" fontId="62" fillId="0" borderId="35" xfId="5" applyFont="1" applyFill="1" applyBorder="1" applyAlignment="1">
      <alignment wrapText="1"/>
    </xf>
    <xf numFmtId="0" fontId="62" fillId="0" borderId="35" xfId="5" applyFont="1" applyFill="1" applyBorder="1" applyAlignment="1">
      <alignment horizontal="center" vertical="top" wrapText="1"/>
    </xf>
    <xf numFmtId="0" fontId="62" fillId="0" borderId="35" xfId="5" applyFont="1" applyFill="1" applyBorder="1" applyAlignment="1">
      <alignment horizontal="right" vertical="top" wrapText="1"/>
    </xf>
    <xf numFmtId="177" fontId="62" fillId="0" borderId="35" xfId="6" applyNumberFormat="1" applyFont="1" applyFill="1" applyBorder="1" applyAlignment="1">
      <alignment horizontal="right" vertical="top" wrapText="1"/>
    </xf>
    <xf numFmtId="0" fontId="62" fillId="0" borderId="35" xfId="5" applyFont="1" applyBorder="1" applyAlignment="1">
      <alignment horizontal="left" wrapText="1"/>
    </xf>
    <xf numFmtId="0" fontId="22" fillId="2" borderId="232" xfId="0" applyFont="1" applyFill="1" applyBorder="1" applyAlignment="1" applyProtection="1">
      <alignment vertical="top" wrapText="1"/>
      <protection hidden="1"/>
    </xf>
    <xf numFmtId="0" fontId="0" fillId="2" borderId="136" xfId="0" applyFill="1" applyBorder="1" applyAlignment="1" applyProtection="1">
      <alignment horizontal="center" vertical="top" wrapText="1"/>
      <protection hidden="1"/>
    </xf>
    <xf numFmtId="0" fontId="0" fillId="2" borderId="136" xfId="0" applyFill="1" applyBorder="1" applyAlignment="1" applyProtection="1">
      <alignment horizontal="right" vertical="top" wrapText="1"/>
      <protection locked="0" hidden="1"/>
    </xf>
    <xf numFmtId="167" fontId="0" fillId="2" borderId="136" xfId="1" applyNumberFormat="1" applyFont="1" applyFill="1" applyBorder="1" applyAlignment="1" applyProtection="1">
      <alignment horizontal="right" vertical="top"/>
      <protection hidden="1"/>
    </xf>
    <xf numFmtId="0" fontId="46" fillId="2" borderId="232" xfId="0" applyFont="1" applyFill="1" applyBorder="1" applyAlignment="1" applyProtection="1">
      <alignment vertical="top" wrapText="1"/>
      <protection hidden="1"/>
    </xf>
    <xf numFmtId="178" fontId="24" fillId="25" borderId="58" xfId="1" applyNumberFormat="1" applyFont="1" applyFill="1" applyBorder="1" applyAlignment="1" applyProtection="1">
      <alignment horizontal="right" vertical="top"/>
      <protection hidden="1"/>
    </xf>
    <xf numFmtId="178" fontId="24" fillId="10" borderId="58" xfId="1" applyNumberFormat="1" applyFont="1" applyFill="1" applyBorder="1" applyAlignment="1" applyProtection="1">
      <alignment horizontal="right" vertical="top"/>
      <protection hidden="1"/>
    </xf>
    <xf numFmtId="178" fontId="0" fillId="0" borderId="231" xfId="1" applyNumberFormat="1" applyFont="1" applyBorder="1" applyAlignment="1" applyProtection="1">
      <alignment horizontal="right" vertical="top"/>
      <protection hidden="1"/>
    </xf>
    <xf numFmtId="0" fontId="24" fillId="2" borderId="37" xfId="0" applyFont="1" applyFill="1" applyBorder="1" applyAlignment="1" applyProtection="1">
      <alignment horizontal="center" vertical="top" wrapText="1"/>
      <protection locked="0" hidden="1"/>
    </xf>
    <xf numFmtId="0" fontId="24" fillId="2" borderId="37" xfId="0" applyFont="1" applyFill="1" applyBorder="1" applyAlignment="1" applyProtection="1">
      <alignment horizontal="left" vertical="top" wrapText="1"/>
      <protection locked="0" hidden="1"/>
    </xf>
    <xf numFmtId="4" fontId="24" fillId="2" borderId="39" xfId="0" applyNumberFormat="1" applyFont="1" applyFill="1" applyBorder="1" applyAlignment="1" applyProtection="1">
      <alignment horizontal="right" vertical="top" wrapText="1"/>
      <protection hidden="1"/>
    </xf>
    <xf numFmtId="167" fontId="8" fillId="30" borderId="33" xfId="1" applyNumberFormat="1" applyFont="1" applyFill="1" applyBorder="1" applyAlignment="1" applyProtection="1">
      <alignment horizontal="left" vertical="top"/>
      <protection hidden="1"/>
    </xf>
    <xf numFmtId="166" fontId="24" fillId="30" borderId="58" xfId="1" applyNumberFormat="1" applyFont="1" applyFill="1" applyBorder="1" applyAlignment="1" applyProtection="1">
      <alignment horizontal="right" vertical="top"/>
      <protection hidden="1"/>
    </xf>
    <xf numFmtId="0" fontId="7" fillId="2" borderId="56" xfId="0" applyFont="1" applyFill="1" applyBorder="1" applyAlignment="1" applyProtection="1">
      <alignment horizontal="center" vertical="top"/>
      <protection locked="0" hidden="1"/>
    </xf>
    <xf numFmtId="166" fontId="24" fillId="2" borderId="58" xfId="1" applyNumberFormat="1" applyFont="1" applyFill="1" applyBorder="1" applyAlignment="1" applyProtection="1">
      <alignment horizontal="right" vertical="top"/>
      <protection hidden="1"/>
    </xf>
    <xf numFmtId="167" fontId="0" fillId="2" borderId="230" xfId="1" applyNumberFormat="1" applyFont="1" applyFill="1" applyBorder="1" applyAlignment="1" applyProtection="1">
      <alignment horizontal="right" vertical="top"/>
      <protection hidden="1"/>
    </xf>
    <xf numFmtId="0" fontId="7" fillId="30" borderId="56" xfId="0" applyFont="1" applyFill="1" applyBorder="1" applyAlignment="1" applyProtection="1">
      <alignment horizontal="center" vertical="top"/>
      <protection locked="0" hidden="1"/>
    </xf>
    <xf numFmtId="167" fontId="0" fillId="21" borderId="46" xfId="1" applyNumberFormat="1" applyFont="1" applyFill="1" applyBorder="1" applyAlignment="1" applyProtection="1">
      <alignment horizontal="right" vertical="top"/>
      <protection hidden="1"/>
    </xf>
    <xf numFmtId="166" fontId="0" fillId="21" borderId="231" xfId="1" applyNumberFormat="1" applyFont="1" applyFill="1" applyBorder="1" applyAlignment="1" applyProtection="1">
      <alignment horizontal="right" vertical="top"/>
      <protection hidden="1"/>
    </xf>
    <xf numFmtId="0" fontId="7" fillId="30" borderId="196" xfId="0" applyFont="1" applyFill="1" applyBorder="1" applyAlignment="1" applyProtection="1">
      <alignment horizontal="center" vertical="top" wrapText="1"/>
      <protection locked="0" hidden="1"/>
    </xf>
    <xf numFmtId="0" fontId="7" fillId="17" borderId="196" xfId="0" applyFont="1" applyFill="1" applyBorder="1" applyAlignment="1" applyProtection="1">
      <alignment horizontal="center" vertical="top" wrapText="1"/>
      <protection locked="0" hidden="1"/>
    </xf>
    <xf numFmtId="0" fontId="0" fillId="30" borderId="0" xfId="0" applyFill="1" applyBorder="1" applyProtection="1">
      <protection hidden="1"/>
    </xf>
    <xf numFmtId="167" fontId="80" fillId="0" borderId="231" xfId="1" applyNumberFormat="1" applyFont="1" applyBorder="1" applyAlignment="1" applyProtection="1">
      <alignment horizontal="right" vertical="top"/>
      <protection hidden="1"/>
    </xf>
    <xf numFmtId="167" fontId="24" fillId="30" borderId="58" xfId="1" applyNumberFormat="1" applyFont="1" applyFill="1" applyBorder="1" applyAlignment="1" applyProtection="1">
      <alignment horizontal="right" vertical="top"/>
      <protection hidden="1"/>
    </xf>
    <xf numFmtId="167" fontId="80" fillId="2" borderId="231" xfId="1" applyNumberFormat="1" applyFont="1" applyFill="1" applyBorder="1" applyAlignment="1" applyProtection="1">
      <alignment horizontal="right" vertical="top"/>
      <protection hidden="1"/>
    </xf>
    <xf numFmtId="0" fontId="77" fillId="2" borderId="37" xfId="0" applyFont="1" applyFill="1" applyBorder="1" applyAlignment="1" applyProtection="1">
      <alignment horizontal="center" vertical="top" wrapText="1"/>
      <protection locked="0" hidden="1"/>
    </xf>
    <xf numFmtId="167" fontId="24" fillId="2" borderId="39" xfId="0" applyNumberFormat="1" applyFont="1" applyFill="1" applyBorder="1" applyAlignment="1" applyProtection="1">
      <alignment horizontal="right" vertical="top" wrapText="1"/>
      <protection hidden="1"/>
    </xf>
    <xf numFmtId="0" fontId="0" fillId="32" borderId="0" xfId="0" applyFill="1" applyBorder="1" applyProtection="1">
      <protection hidden="1"/>
    </xf>
    <xf numFmtId="167" fontId="24" fillId="2" borderId="58" xfId="1" applyNumberFormat="1" applyFont="1" applyFill="1" applyBorder="1" applyAlignment="1" applyProtection="1">
      <alignment horizontal="right" vertical="top"/>
      <protection hidden="1"/>
    </xf>
    <xf numFmtId="0" fontId="0" fillId="2" borderId="5" xfId="0" applyFill="1" applyBorder="1" applyAlignment="1" applyProtection="1">
      <alignment vertical="center"/>
      <protection hidden="1"/>
    </xf>
    <xf numFmtId="0" fontId="0" fillId="2" borderId="72" xfId="0" applyFill="1" applyBorder="1" applyAlignment="1" applyProtection="1">
      <alignment vertical="center"/>
      <protection hidden="1"/>
    </xf>
    <xf numFmtId="0" fontId="24" fillId="2" borderId="72" xfId="0" applyFont="1" applyFill="1" applyBorder="1" applyAlignment="1" applyProtection="1">
      <alignment horizontal="right" vertical="center"/>
      <protection hidden="1"/>
    </xf>
    <xf numFmtId="167" fontId="24" fillId="2" borderId="176" xfId="1" applyNumberFormat="1" applyFont="1" applyFill="1" applyBorder="1" applyAlignment="1" applyProtection="1">
      <alignment horizontal="right" vertical="center"/>
      <protection hidden="1"/>
    </xf>
    <xf numFmtId="0" fontId="24" fillId="21" borderId="5" xfId="0" applyFont="1" applyFill="1" applyBorder="1" applyAlignment="1" applyProtection="1">
      <alignment vertical="top" wrapText="1"/>
      <protection hidden="1"/>
    </xf>
    <xf numFmtId="0" fontId="0" fillId="21" borderId="72" xfId="0" applyFill="1" applyBorder="1" applyAlignment="1" applyProtection="1">
      <alignment horizontal="center" vertical="top"/>
      <protection hidden="1"/>
    </xf>
    <xf numFmtId="0" fontId="0" fillId="21" borderId="72" xfId="0" applyFill="1" applyBorder="1" applyAlignment="1" applyProtection="1">
      <alignment horizontal="right" vertical="top"/>
      <protection hidden="1"/>
    </xf>
    <xf numFmtId="0" fontId="0" fillId="21" borderId="72" xfId="0" applyFill="1" applyBorder="1" applyAlignment="1" applyProtection="1">
      <alignment vertical="top"/>
      <protection hidden="1"/>
    </xf>
    <xf numFmtId="167" fontId="0" fillId="21" borderId="176" xfId="1" applyNumberFormat="1" applyFont="1" applyFill="1" applyBorder="1" applyAlignment="1" applyProtection="1">
      <alignment vertical="top"/>
      <protection hidden="1"/>
    </xf>
    <xf numFmtId="0" fontId="0" fillId="0" borderId="239" xfId="0" applyBorder="1" applyProtection="1">
      <protection hidden="1"/>
    </xf>
    <xf numFmtId="0" fontId="0" fillId="0" borderId="190" xfId="0" applyBorder="1" applyProtection="1">
      <protection hidden="1"/>
    </xf>
    <xf numFmtId="0" fontId="0" fillId="0" borderId="190" xfId="0" applyBorder="1" applyAlignment="1" applyProtection="1">
      <alignment horizontal="right"/>
      <protection hidden="1"/>
    </xf>
    <xf numFmtId="10" fontId="0" fillId="0" borderId="232" xfId="0" applyNumberFormat="1" applyBorder="1" applyAlignment="1" applyProtection="1">
      <alignment horizontal="center"/>
      <protection hidden="1"/>
    </xf>
    <xf numFmtId="0" fontId="0" fillId="0" borderId="143" xfId="0" applyBorder="1" applyProtection="1">
      <protection hidden="1"/>
    </xf>
    <xf numFmtId="0" fontId="8" fillId="0" borderId="143" xfId="0" applyFont="1" applyBorder="1" applyAlignment="1" applyProtection="1">
      <alignment horizontal="right"/>
      <protection hidden="1"/>
    </xf>
    <xf numFmtId="0" fontId="13" fillId="2" borderId="5" xfId="4" applyFont="1" applyFill="1" applyBorder="1" applyAlignment="1" applyProtection="1">
      <protection hidden="1"/>
    </xf>
    <xf numFmtId="0" fontId="0" fillId="2" borderId="72" xfId="0" applyFill="1" applyBorder="1" applyProtection="1">
      <protection hidden="1"/>
    </xf>
    <xf numFmtId="0" fontId="24" fillId="2" borderId="72" xfId="0" applyFont="1" applyFill="1" applyBorder="1" applyAlignment="1" applyProtection="1">
      <alignment horizontal="right"/>
      <protection hidden="1"/>
    </xf>
    <xf numFmtId="167" fontId="24" fillId="2" borderId="176" xfId="0" applyNumberFormat="1" applyFont="1" applyFill="1" applyBorder="1" applyAlignment="1" applyProtection="1">
      <alignment horizontal="right"/>
      <protection hidden="1"/>
    </xf>
    <xf numFmtId="0" fontId="14" fillId="25" borderId="52" xfId="0" applyFont="1" applyFill="1" applyBorder="1" applyAlignment="1" applyProtection="1">
      <alignment horizontal="center" vertical="top" wrapText="1"/>
      <protection hidden="1"/>
    </xf>
    <xf numFmtId="167" fontId="24" fillId="22" borderId="58" xfId="1" applyNumberFormat="1" applyFont="1" applyFill="1" applyBorder="1" applyAlignment="1" applyProtection="1">
      <alignment horizontal="right" vertical="top"/>
      <protection hidden="1"/>
    </xf>
    <xf numFmtId="3" fontId="14" fillId="25" borderId="52" xfId="0" applyNumberFormat="1" applyFont="1" applyFill="1" applyBorder="1" applyAlignment="1" applyProtection="1">
      <alignment vertical="top" wrapText="1"/>
      <protection hidden="1"/>
    </xf>
    <xf numFmtId="0" fontId="7" fillId="0" borderId="82" xfId="0" applyFont="1" applyBorder="1" applyAlignment="1" applyProtection="1">
      <alignment horizontal="center" vertical="top"/>
      <protection locked="0" hidden="1"/>
    </xf>
    <xf numFmtId="167" fontId="8" fillId="30" borderId="151" xfId="1" applyNumberFormat="1" applyFont="1" applyFill="1" applyBorder="1" applyAlignment="1" applyProtection="1">
      <alignment horizontal="left" vertical="top"/>
      <protection hidden="1"/>
    </xf>
    <xf numFmtId="0" fontId="24" fillId="2" borderId="38" xfId="0" applyFont="1" applyFill="1" applyBorder="1" applyAlignment="1" applyProtection="1">
      <alignment horizontal="center" vertical="top" wrapText="1"/>
      <protection locked="0" hidden="1"/>
    </xf>
    <xf numFmtId="0" fontId="7" fillId="0" borderId="77" xfId="0" applyFont="1" applyBorder="1" applyAlignment="1" applyProtection="1">
      <alignment horizontal="center" vertical="top"/>
      <protection locked="0" hidden="1"/>
    </xf>
    <xf numFmtId="0" fontId="7" fillId="0" borderId="240" xfId="0" applyFont="1" applyBorder="1" applyAlignment="1" applyProtection="1">
      <alignment horizontal="center" vertical="top" wrapText="1"/>
      <protection locked="0" hidden="1"/>
    </xf>
    <xf numFmtId="0" fontId="7" fillId="0" borderId="232" xfId="0" applyFont="1" applyBorder="1" applyAlignment="1" applyProtection="1">
      <alignment horizontal="center" vertical="top" wrapText="1"/>
      <protection locked="0" hidden="1"/>
    </xf>
    <xf numFmtId="0" fontId="7" fillId="2" borderId="57" xfId="0" applyFont="1" applyFill="1" applyBorder="1" applyAlignment="1" applyProtection="1">
      <alignment horizontal="center" vertical="top"/>
      <protection locked="0" hidden="1"/>
    </xf>
    <xf numFmtId="2" fontId="7" fillId="0" borderId="82" xfId="0" applyNumberFormat="1" applyFont="1" applyBorder="1" applyAlignment="1" applyProtection="1">
      <alignment horizontal="center" vertical="top"/>
      <protection locked="0" hidden="1"/>
    </xf>
    <xf numFmtId="176" fontId="7" fillId="0" borderId="82" xfId="0" applyNumberFormat="1" applyFont="1" applyBorder="1" applyAlignment="1" applyProtection="1">
      <alignment horizontal="center" vertical="top"/>
      <protection locked="0" hidden="1"/>
    </xf>
    <xf numFmtId="2" fontId="7" fillId="0" borderId="82" xfId="0" applyNumberFormat="1" applyFont="1" applyFill="1" applyBorder="1" applyAlignment="1" applyProtection="1">
      <alignment horizontal="center" vertical="top"/>
      <protection locked="0" hidden="1"/>
    </xf>
    <xf numFmtId="175" fontId="7" fillId="0" borderId="82" xfId="0" applyNumberFormat="1" applyFont="1" applyBorder="1" applyAlignment="1" applyProtection="1">
      <alignment horizontal="center" vertical="top"/>
      <protection locked="0" hidden="1"/>
    </xf>
    <xf numFmtId="0" fontId="7" fillId="30" borderId="57" xfId="0" applyFont="1" applyFill="1" applyBorder="1" applyAlignment="1" applyProtection="1">
      <alignment horizontal="center" vertical="top"/>
      <protection locked="0" hidden="1"/>
    </xf>
    <xf numFmtId="0" fontId="7" fillId="0" borderId="0" xfId="0" applyFont="1" applyBorder="1" applyAlignment="1" applyProtection="1">
      <alignment horizontal="center" vertical="top" wrapText="1"/>
      <protection locked="0" hidden="1"/>
    </xf>
    <xf numFmtId="0" fontId="7" fillId="30" borderId="0" xfId="0" applyFont="1" applyFill="1" applyBorder="1" applyAlignment="1" applyProtection="1">
      <alignment horizontal="center" vertical="top" wrapText="1"/>
      <protection locked="0" hidden="1"/>
    </xf>
    <xf numFmtId="0" fontId="7" fillId="0" borderId="82" xfId="0" applyFont="1" applyBorder="1" applyAlignment="1" applyProtection="1">
      <alignment horizontal="center" vertical="top" wrapText="1"/>
      <protection locked="0" hidden="1"/>
    </xf>
    <xf numFmtId="2" fontId="7" fillId="0" borderId="232" xfId="0" applyNumberFormat="1" applyFont="1" applyBorder="1" applyAlignment="1" applyProtection="1">
      <alignment horizontal="center" vertical="top" wrapText="1"/>
      <protection locked="0" hidden="1"/>
    </xf>
    <xf numFmtId="0" fontId="7" fillId="17" borderId="232" xfId="0" applyFont="1" applyFill="1" applyBorder="1" applyAlignment="1" applyProtection="1">
      <alignment horizontal="center" vertical="top" wrapText="1"/>
      <protection locked="0" hidden="1"/>
    </xf>
    <xf numFmtId="0" fontId="0" fillId="0" borderId="232" xfId="0" applyBorder="1" applyAlignment="1" applyProtection="1">
      <alignment horizontal="center" vertical="top" wrapText="1"/>
      <protection hidden="1"/>
    </xf>
    <xf numFmtId="0" fontId="0" fillId="2" borderId="0" xfId="0" applyFill="1" applyBorder="1" applyAlignment="1" applyProtection="1">
      <alignment horizontal="center" vertical="top" wrapText="1"/>
      <protection hidden="1"/>
    </xf>
    <xf numFmtId="0" fontId="0" fillId="0" borderId="0" xfId="0" applyBorder="1" applyAlignment="1" applyProtection="1">
      <alignment horizontal="center" vertical="top" wrapText="1"/>
      <protection hidden="1"/>
    </xf>
    <xf numFmtId="2" fontId="0" fillId="0" borderId="232" xfId="0" applyNumberFormat="1" applyBorder="1" applyAlignment="1" applyProtection="1">
      <alignment horizontal="center" vertical="top" wrapText="1"/>
      <protection hidden="1"/>
    </xf>
    <xf numFmtId="0" fontId="0" fillId="0" borderId="232" xfId="0" applyBorder="1" applyAlignment="1" applyProtection="1">
      <alignment horizontal="center" vertical="top"/>
      <protection hidden="1"/>
    </xf>
    <xf numFmtId="0" fontId="0" fillId="2" borderId="232" xfId="0" applyFill="1" applyBorder="1" applyAlignment="1" applyProtection="1">
      <alignment horizontal="center" vertical="top" wrapText="1"/>
      <protection hidden="1"/>
    </xf>
    <xf numFmtId="0" fontId="77" fillId="2" borderId="38" xfId="0" applyFont="1" applyFill="1" applyBorder="1" applyAlignment="1" applyProtection="1">
      <alignment horizontal="center" vertical="top" wrapText="1"/>
      <protection locked="0" hidden="1"/>
    </xf>
    <xf numFmtId="0" fontId="0" fillId="0" borderId="232" xfId="0" applyFill="1" applyBorder="1" applyAlignment="1" applyProtection="1">
      <alignment horizontal="center" vertical="top" wrapText="1"/>
      <protection hidden="1"/>
    </xf>
    <xf numFmtId="167" fontId="0" fillId="22" borderId="136" xfId="1" applyNumberFormat="1" applyFont="1" applyFill="1" applyBorder="1" applyAlignment="1" applyProtection="1">
      <alignment horizontal="right" vertical="top"/>
      <protection hidden="1"/>
    </xf>
    <xf numFmtId="167" fontId="24" fillId="25" borderId="57" xfId="1" applyNumberFormat="1" applyFont="1" applyFill="1" applyBorder="1" applyAlignment="1" applyProtection="1">
      <alignment horizontal="right" vertical="top"/>
      <protection hidden="1"/>
    </xf>
    <xf numFmtId="167" fontId="24" fillId="30" borderId="57" xfId="1" applyNumberFormat="1" applyFont="1" applyFill="1" applyBorder="1" applyAlignment="1" applyProtection="1">
      <alignment horizontal="right" vertical="top"/>
      <protection hidden="1"/>
    </xf>
    <xf numFmtId="0" fontId="75" fillId="0" borderId="0" xfId="0" applyFont="1" applyAlignment="1">
      <alignment horizontal="left"/>
    </xf>
    <xf numFmtId="0" fontId="62" fillId="17" borderId="35" xfId="0" applyFont="1" applyFill="1" applyBorder="1" applyAlignment="1">
      <alignment vertical="center" wrapText="1"/>
    </xf>
    <xf numFmtId="0" fontId="0" fillId="0" borderId="35" xfId="0" applyBorder="1" applyAlignment="1">
      <alignment vertical="center" wrapText="1"/>
    </xf>
    <xf numFmtId="0" fontId="0" fillId="0" borderId="35" xfId="0" applyBorder="1" applyAlignment="1">
      <alignment horizontal="center" vertical="center"/>
    </xf>
    <xf numFmtId="0" fontId="0" fillId="0" borderId="35" xfId="0" applyBorder="1" applyAlignment="1">
      <alignment horizontal="right" vertical="center"/>
    </xf>
    <xf numFmtId="173" fontId="0" fillId="0" borderId="35" xfId="1" applyNumberFormat="1" applyFont="1" applyBorder="1" applyAlignment="1">
      <alignment vertical="center"/>
    </xf>
    <xf numFmtId="167" fontId="0" fillId="0" borderId="231" xfId="1" applyNumberFormat="1" applyFont="1" applyBorder="1" applyAlignment="1" applyProtection="1">
      <alignment horizontal="right" vertical="center"/>
      <protection hidden="1"/>
    </xf>
    <xf numFmtId="167" fontId="24" fillId="25" borderId="57" xfId="1" applyNumberFormat="1" applyFont="1" applyFill="1" applyBorder="1" applyAlignment="1" applyProtection="1">
      <alignment horizontal="right" vertical="top"/>
      <protection hidden="1"/>
    </xf>
    <xf numFmtId="0" fontId="0" fillId="20" borderId="0" xfId="0" applyFill="1" applyProtection="1">
      <protection hidden="1"/>
    </xf>
    <xf numFmtId="0" fontId="0" fillId="20" borderId="0" xfId="0" applyFill="1" applyProtection="1">
      <protection locked="0"/>
    </xf>
    <xf numFmtId="0" fontId="8" fillId="20" borderId="38" xfId="0" applyFont="1" applyFill="1" applyBorder="1" applyAlignment="1" applyProtection="1">
      <alignment vertical="top" wrapText="1"/>
      <protection hidden="1"/>
    </xf>
    <xf numFmtId="0" fontId="0" fillId="20" borderId="52" xfId="0" applyFill="1" applyBorder="1" applyAlignment="1" applyProtection="1">
      <alignment horizontal="right" vertical="top"/>
      <protection locked="0" hidden="1"/>
    </xf>
    <xf numFmtId="0" fontId="0" fillId="20" borderId="136" xfId="0" applyFill="1" applyBorder="1" applyAlignment="1" applyProtection="1">
      <alignment horizontal="right" vertical="top" wrapText="1"/>
      <protection locked="0" hidden="1"/>
    </xf>
    <xf numFmtId="0" fontId="0" fillId="20" borderId="0" xfId="0" applyFill="1" applyBorder="1" applyAlignment="1" applyProtection="1">
      <alignment horizontal="right" vertical="top"/>
      <protection locked="0" hidden="1"/>
    </xf>
    <xf numFmtId="0" fontId="0" fillId="20" borderId="41" xfId="0" applyFill="1" applyBorder="1" applyAlignment="1" applyProtection="1">
      <alignment horizontal="right" vertical="top"/>
      <protection locked="0" hidden="1"/>
    </xf>
    <xf numFmtId="0" fontId="0" fillId="20" borderId="0" xfId="0" applyFill="1" applyAlignment="1">
      <alignment horizontal="right" vertical="top"/>
    </xf>
    <xf numFmtId="0" fontId="0" fillId="20" borderId="57" xfId="0" applyFill="1" applyBorder="1" applyAlignment="1" applyProtection="1">
      <alignment horizontal="right" vertical="top"/>
      <protection locked="0" hidden="1"/>
    </xf>
    <xf numFmtId="0" fontId="0" fillId="20" borderId="52" xfId="0" applyFill="1" applyBorder="1" applyAlignment="1" applyProtection="1">
      <alignment horizontal="right" vertical="center"/>
      <protection locked="0" hidden="1"/>
    </xf>
    <xf numFmtId="0" fontId="14" fillId="20" borderId="52" xfId="0" applyFont="1" applyFill="1" applyBorder="1" applyAlignment="1" applyProtection="1">
      <alignment vertical="top" wrapText="1"/>
      <protection hidden="1"/>
    </xf>
    <xf numFmtId="167" fontId="0" fillId="20" borderId="52" xfId="1" applyNumberFormat="1" applyFont="1" applyFill="1" applyBorder="1" applyAlignment="1" applyProtection="1">
      <alignment horizontal="right" vertical="top"/>
      <protection hidden="1"/>
    </xf>
    <xf numFmtId="167" fontId="0" fillId="20" borderId="0" xfId="1" applyNumberFormat="1" applyFont="1" applyFill="1" applyBorder="1" applyAlignment="1" applyProtection="1">
      <alignment horizontal="right" vertical="top"/>
      <protection hidden="1"/>
    </xf>
    <xf numFmtId="0" fontId="0" fillId="20" borderId="136" xfId="0" applyFill="1" applyBorder="1" applyAlignment="1" applyProtection="1">
      <alignment horizontal="right" vertical="top"/>
      <protection locked="0" hidden="1"/>
    </xf>
    <xf numFmtId="0" fontId="8" fillId="20" borderId="0" xfId="0" applyFont="1" applyFill="1" applyBorder="1" applyAlignment="1" applyProtection="1">
      <alignment vertical="top" wrapText="1"/>
      <protection hidden="1"/>
    </xf>
    <xf numFmtId="0" fontId="62" fillId="20" borderId="35" xfId="0" applyFont="1" applyFill="1" applyBorder="1" applyAlignment="1">
      <alignment horizontal="right" vertical="top" wrapText="1"/>
    </xf>
    <xf numFmtId="0" fontId="0" fillId="20" borderId="35" xfId="0" applyFill="1" applyBorder="1" applyAlignment="1">
      <alignment horizontal="right"/>
    </xf>
    <xf numFmtId="0" fontId="0" fillId="20" borderId="35" xfId="0" applyFill="1" applyBorder="1"/>
    <xf numFmtId="0" fontId="62" fillId="20" borderId="35" xfId="5" applyFont="1" applyFill="1" applyBorder="1" applyAlignment="1">
      <alignment horizontal="right" vertical="top" wrapText="1"/>
    </xf>
    <xf numFmtId="0" fontId="0" fillId="20" borderId="52" xfId="0" applyFill="1" applyBorder="1" applyAlignment="1" applyProtection="1">
      <alignment horizontal="right" vertical="top" wrapText="1"/>
      <protection locked="0" hidden="1"/>
    </xf>
    <xf numFmtId="1" fontId="0" fillId="20" borderId="41" xfId="0" applyNumberFormat="1" applyFill="1" applyBorder="1" applyAlignment="1" applyProtection="1">
      <alignment horizontal="right" vertical="top"/>
      <protection locked="0" hidden="1"/>
    </xf>
    <xf numFmtId="0" fontId="0" fillId="20" borderId="72" xfId="0" applyFill="1" applyBorder="1" applyAlignment="1" applyProtection="1">
      <alignment vertical="center"/>
      <protection hidden="1"/>
    </xf>
    <xf numFmtId="0" fontId="0" fillId="20" borderId="72" xfId="0" applyFill="1" applyBorder="1" applyAlignment="1" applyProtection="1">
      <alignment horizontal="right" vertical="top"/>
      <protection hidden="1"/>
    </xf>
    <xf numFmtId="0" fontId="0" fillId="20" borderId="47" xfId="0" applyFill="1" applyBorder="1" applyProtection="1">
      <protection hidden="1"/>
    </xf>
    <xf numFmtId="0" fontId="0" fillId="20" borderId="81" xfId="0" applyFill="1" applyBorder="1" applyAlignment="1" applyProtection="1">
      <alignment horizontal="right"/>
      <protection hidden="1"/>
    </xf>
    <xf numFmtId="0" fontId="0" fillId="20" borderId="190" xfId="0" applyFill="1" applyBorder="1" applyAlignment="1" applyProtection="1">
      <alignment horizontal="right"/>
      <protection hidden="1"/>
    </xf>
    <xf numFmtId="0" fontId="8" fillId="20" borderId="143" xfId="0" applyFont="1" applyFill="1" applyBorder="1" applyAlignment="1" applyProtection="1">
      <alignment horizontal="right"/>
      <protection hidden="1"/>
    </xf>
    <xf numFmtId="0" fontId="0" fillId="20" borderId="72" xfId="0" applyFill="1" applyBorder="1" applyProtection="1">
      <protection hidden="1"/>
    </xf>
    <xf numFmtId="0" fontId="0" fillId="20" borderId="0" xfId="0" applyFill="1"/>
    <xf numFmtId="0" fontId="0" fillId="33" borderId="0" xfId="0" applyFill="1" applyProtection="1">
      <protection hidden="1"/>
    </xf>
    <xf numFmtId="0" fontId="0" fillId="33" borderId="0" xfId="0" applyFill="1" applyProtection="1">
      <protection locked="0"/>
    </xf>
    <xf numFmtId="0" fontId="8" fillId="33" borderId="38" xfId="0" applyFont="1" applyFill="1" applyBorder="1" applyAlignment="1" applyProtection="1">
      <alignment vertical="top" wrapText="1"/>
      <protection hidden="1"/>
    </xf>
    <xf numFmtId="0" fontId="0" fillId="33" borderId="52" xfId="0" applyFill="1" applyBorder="1" applyAlignment="1" applyProtection="1">
      <alignment horizontal="right" vertical="top"/>
      <protection locked="0" hidden="1"/>
    </xf>
    <xf numFmtId="0" fontId="0" fillId="33" borderId="136" xfId="0" applyFill="1" applyBorder="1" applyAlignment="1" applyProtection="1">
      <alignment horizontal="right" vertical="top" wrapText="1"/>
      <protection locked="0" hidden="1"/>
    </xf>
    <xf numFmtId="0" fontId="0" fillId="33" borderId="0" xfId="0" applyFill="1" applyBorder="1" applyAlignment="1" applyProtection="1">
      <alignment horizontal="right" vertical="top"/>
      <protection locked="0" hidden="1"/>
    </xf>
    <xf numFmtId="0" fontId="0" fillId="33" borderId="41" xfId="0" applyFill="1" applyBorder="1" applyAlignment="1" applyProtection="1">
      <alignment horizontal="right" vertical="top"/>
      <protection locked="0" hidden="1"/>
    </xf>
    <xf numFmtId="0" fontId="0" fillId="33" borderId="0" xfId="0" applyFill="1" applyAlignment="1">
      <alignment horizontal="right" vertical="top"/>
    </xf>
    <xf numFmtId="0" fontId="0" fillId="33" borderId="57" xfId="0" applyFill="1" applyBorder="1" applyAlignment="1" applyProtection="1">
      <alignment horizontal="right" vertical="top"/>
      <protection locked="0" hidden="1"/>
    </xf>
    <xf numFmtId="0" fontId="0" fillId="33" borderId="52" xfId="0" applyFill="1" applyBorder="1" applyAlignment="1" applyProtection="1">
      <alignment horizontal="right" vertical="center"/>
      <protection locked="0" hidden="1"/>
    </xf>
    <xf numFmtId="0" fontId="14" fillId="33" borderId="52" xfId="0" applyFont="1" applyFill="1" applyBorder="1" applyAlignment="1" applyProtection="1">
      <alignment vertical="top" wrapText="1"/>
      <protection hidden="1"/>
    </xf>
    <xf numFmtId="167" fontId="0" fillId="33" borderId="52" xfId="1" applyNumberFormat="1" applyFont="1" applyFill="1" applyBorder="1" applyAlignment="1" applyProtection="1">
      <alignment horizontal="right" vertical="top"/>
      <protection hidden="1"/>
    </xf>
    <xf numFmtId="167" fontId="0" fillId="33" borderId="0" xfId="1" applyNumberFormat="1" applyFont="1" applyFill="1" applyBorder="1" applyAlignment="1" applyProtection="1">
      <alignment horizontal="right" vertical="top"/>
      <protection hidden="1"/>
    </xf>
    <xf numFmtId="0" fontId="0" fillId="33" borderId="136" xfId="0" applyFill="1" applyBorder="1" applyAlignment="1" applyProtection="1">
      <alignment horizontal="right" vertical="top"/>
      <protection locked="0" hidden="1"/>
    </xf>
    <xf numFmtId="0" fontId="8" fillId="33" borderId="0" xfId="0" applyFont="1" applyFill="1" applyBorder="1" applyAlignment="1" applyProtection="1">
      <alignment vertical="top" wrapText="1"/>
      <protection hidden="1"/>
    </xf>
    <xf numFmtId="0" fontId="62" fillId="33" borderId="35" xfId="0" applyFont="1" applyFill="1" applyBorder="1" applyAlignment="1">
      <alignment horizontal="right" vertical="top" wrapText="1"/>
    </xf>
    <xf numFmtId="0" fontId="0" fillId="33" borderId="35" xfId="0" applyFill="1" applyBorder="1" applyAlignment="1">
      <alignment horizontal="right"/>
    </xf>
    <xf numFmtId="0" fontId="0" fillId="33" borderId="35" xfId="0" applyFill="1" applyBorder="1"/>
    <xf numFmtId="0" fontId="62" fillId="33" borderId="35" xfId="5" applyFont="1" applyFill="1" applyBorder="1" applyAlignment="1">
      <alignment horizontal="right" vertical="top" wrapText="1"/>
    </xf>
    <xf numFmtId="0" fontId="0" fillId="33" borderId="52" xfId="0" applyFill="1" applyBorder="1" applyAlignment="1" applyProtection="1">
      <alignment horizontal="right" vertical="top" wrapText="1"/>
      <protection locked="0" hidden="1"/>
    </xf>
    <xf numFmtId="1" fontId="0" fillId="33" borderId="41" xfId="0" applyNumberFormat="1" applyFill="1" applyBorder="1" applyAlignment="1" applyProtection="1">
      <alignment horizontal="right" vertical="top"/>
      <protection locked="0" hidden="1"/>
    </xf>
    <xf numFmtId="0" fontId="0" fillId="33" borderId="72" xfId="0" applyFill="1" applyBorder="1" applyAlignment="1" applyProtection="1">
      <alignment vertical="center"/>
      <protection hidden="1"/>
    </xf>
    <xf numFmtId="0" fontId="0" fillId="33" borderId="72" xfId="0" applyFill="1" applyBorder="1" applyAlignment="1" applyProtection="1">
      <alignment horizontal="right" vertical="top"/>
      <protection hidden="1"/>
    </xf>
    <xf numFmtId="0" fontId="0" fillId="33" borderId="47" xfId="0" applyFill="1" applyBorder="1" applyProtection="1">
      <protection hidden="1"/>
    </xf>
    <xf numFmtId="0" fontId="0" fillId="33" borderId="81" xfId="0" applyFill="1" applyBorder="1" applyAlignment="1" applyProtection="1">
      <alignment horizontal="right"/>
      <protection hidden="1"/>
    </xf>
    <xf numFmtId="0" fontId="0" fillId="33" borderId="190" xfId="0" applyFill="1" applyBorder="1" applyAlignment="1" applyProtection="1">
      <alignment horizontal="right"/>
      <protection hidden="1"/>
    </xf>
    <xf numFmtId="0" fontId="8" fillId="33" borderId="143" xfId="0" applyFont="1" applyFill="1" applyBorder="1" applyAlignment="1" applyProtection="1">
      <alignment horizontal="right"/>
      <protection hidden="1"/>
    </xf>
    <xf numFmtId="0" fontId="0" fillId="33" borderId="72" xfId="0" applyFill="1" applyBorder="1" applyProtection="1">
      <protection hidden="1"/>
    </xf>
    <xf numFmtId="0" fontId="0" fillId="33" borderId="0" xfId="0" applyFill="1"/>
    <xf numFmtId="0" fontId="14" fillId="0" borderId="52" xfId="0" applyFont="1" applyBorder="1" applyAlignment="1" applyProtection="1">
      <alignment horizontal="justify" vertical="justify" wrapText="1"/>
      <protection hidden="1"/>
    </xf>
    <xf numFmtId="0" fontId="44" fillId="17" borderId="52" xfId="0" applyFont="1" applyFill="1" applyBorder="1" applyAlignment="1" applyProtection="1">
      <alignment vertical="top" wrapText="1"/>
      <protection hidden="1"/>
    </xf>
    <xf numFmtId="0" fontId="14" fillId="0" borderId="232" xfId="0" applyFont="1" applyBorder="1" applyAlignment="1" applyProtection="1">
      <alignment horizontal="left" vertical="top"/>
      <protection hidden="1"/>
    </xf>
    <xf numFmtId="2" fontId="7" fillId="34" borderId="51" xfId="0" applyNumberFormat="1" applyFont="1" applyFill="1" applyBorder="1" applyAlignment="1" applyProtection="1">
      <alignment horizontal="center" vertical="top"/>
      <protection locked="0" hidden="1"/>
    </xf>
    <xf numFmtId="0" fontId="7" fillId="34" borderId="51" xfId="0" applyFont="1" applyFill="1" applyBorder="1" applyAlignment="1" applyProtection="1">
      <alignment horizontal="center" vertical="top"/>
      <protection locked="0" hidden="1"/>
    </xf>
    <xf numFmtId="0" fontId="7" fillId="35" borderId="51" xfId="0" applyFont="1" applyFill="1" applyBorder="1" applyAlignment="1" applyProtection="1">
      <alignment horizontal="center" vertical="top"/>
      <protection locked="0" hidden="1"/>
    </xf>
    <xf numFmtId="0" fontId="0" fillId="20" borderId="82" xfId="0" applyFill="1" applyBorder="1" applyAlignment="1" applyProtection="1">
      <alignment horizontal="right" vertical="top"/>
      <protection locked="0" hidden="1"/>
    </xf>
    <xf numFmtId="0" fontId="22" fillId="0" borderId="234" xfId="0" applyFont="1" applyBorder="1" applyAlignment="1" applyProtection="1">
      <alignment horizontal="center" vertical="center" wrapText="1"/>
      <protection hidden="1"/>
    </xf>
    <xf numFmtId="0" fontId="0" fillId="0" borderId="234" xfId="0" applyBorder="1" applyAlignment="1" applyProtection="1">
      <alignment horizontal="center" vertical="top"/>
      <protection hidden="1"/>
    </xf>
    <xf numFmtId="0" fontId="7" fillId="34" borderId="196" xfId="0" applyFont="1" applyFill="1" applyBorder="1" applyAlignment="1" applyProtection="1">
      <alignment horizontal="center" vertical="top" wrapText="1"/>
      <protection locked="0" hidden="1"/>
    </xf>
    <xf numFmtId="2" fontId="7" fillId="34" borderId="196" xfId="0" applyNumberFormat="1" applyFont="1" applyFill="1" applyBorder="1" applyAlignment="1" applyProtection="1">
      <alignment horizontal="center" vertical="top" wrapText="1"/>
      <protection locked="0" hidden="1"/>
    </xf>
    <xf numFmtId="0" fontId="14" fillId="10" borderId="0" xfId="0" applyFont="1" applyFill="1" applyBorder="1" applyAlignment="1" applyProtection="1">
      <alignment vertical="top" wrapText="1"/>
      <protection hidden="1"/>
    </xf>
    <xf numFmtId="0" fontId="0" fillId="10" borderId="0" xfId="0" applyFill="1" applyBorder="1" applyAlignment="1" applyProtection="1">
      <alignment horizontal="center" vertical="top"/>
      <protection hidden="1"/>
    </xf>
    <xf numFmtId="0" fontId="0" fillId="10" borderId="0" xfId="0" applyFill="1" applyBorder="1" applyAlignment="1" applyProtection="1">
      <alignment horizontal="right" vertical="top"/>
      <protection locked="0" hidden="1"/>
    </xf>
    <xf numFmtId="167" fontId="24" fillId="10" borderId="0" xfId="1" applyNumberFormat="1" applyFont="1" applyFill="1" applyBorder="1" applyAlignment="1" applyProtection="1">
      <alignment horizontal="right" vertical="top"/>
      <protection hidden="1"/>
    </xf>
    <xf numFmtId="167" fontId="24" fillId="10" borderId="154" xfId="1" applyNumberFormat="1" applyFont="1" applyFill="1" applyBorder="1" applyAlignment="1" applyProtection="1">
      <alignment horizontal="right" vertical="top"/>
      <protection hidden="1"/>
    </xf>
    <xf numFmtId="0" fontId="0" fillId="25" borderId="5" xfId="0" applyFill="1" applyBorder="1" applyProtection="1">
      <protection hidden="1"/>
    </xf>
    <xf numFmtId="0" fontId="14" fillId="25" borderId="72" xfId="0" applyFont="1" applyFill="1" applyBorder="1" applyAlignment="1" applyProtection="1">
      <alignment vertical="top" wrapText="1"/>
      <protection hidden="1"/>
    </xf>
    <xf numFmtId="0" fontId="0" fillId="25" borderId="72" xfId="0" applyFill="1" applyBorder="1" applyAlignment="1" applyProtection="1">
      <alignment horizontal="center" vertical="top"/>
      <protection hidden="1"/>
    </xf>
    <xf numFmtId="0" fontId="0" fillId="25" borderId="72" xfId="0" applyFill="1" applyBorder="1" applyAlignment="1" applyProtection="1">
      <alignment horizontal="right" vertical="top"/>
      <protection locked="0" hidden="1"/>
    </xf>
    <xf numFmtId="167" fontId="24" fillId="25" borderId="72" xfId="1" applyNumberFormat="1" applyFont="1" applyFill="1" applyBorder="1" applyAlignment="1" applyProtection="1">
      <alignment horizontal="right" vertical="top"/>
      <protection hidden="1"/>
    </xf>
    <xf numFmtId="167" fontId="24" fillId="25" borderId="73" xfId="1" applyNumberFormat="1" applyFont="1" applyFill="1" applyBorder="1" applyAlignment="1" applyProtection="1">
      <alignment horizontal="right" vertical="top"/>
      <protection hidden="1"/>
    </xf>
    <xf numFmtId="2" fontId="7" fillId="0" borderId="241" xfId="0" applyNumberFormat="1" applyFont="1" applyBorder="1" applyAlignment="1" applyProtection="1">
      <alignment horizontal="center" vertical="top"/>
      <protection locked="0" hidden="1"/>
    </xf>
    <xf numFmtId="0" fontId="14" fillId="17" borderId="242" xfId="0" applyFont="1" applyFill="1" applyBorder="1" applyAlignment="1" applyProtection="1">
      <alignment horizontal="justify" vertical="justify" wrapText="1"/>
      <protection hidden="1"/>
    </xf>
    <xf numFmtId="0" fontId="0" fillId="17" borderId="242" xfId="0" applyFill="1" applyBorder="1" applyAlignment="1" applyProtection="1">
      <alignment horizontal="center" vertical="center"/>
      <protection hidden="1"/>
    </xf>
    <xf numFmtId="0" fontId="0" fillId="17" borderId="242" xfId="0" applyFill="1" applyBorder="1" applyAlignment="1" applyProtection="1">
      <alignment horizontal="right" vertical="center"/>
      <protection locked="0" hidden="1"/>
    </xf>
    <xf numFmtId="167" fontId="0" fillId="17" borderId="242" xfId="1" applyNumberFormat="1" applyFont="1" applyFill="1" applyBorder="1" applyAlignment="1" applyProtection="1">
      <alignment horizontal="right" vertical="center"/>
      <protection hidden="1"/>
    </xf>
    <xf numFmtId="167" fontId="0" fillId="0" borderId="243" xfId="1" applyNumberFormat="1" applyFont="1" applyBorder="1" applyAlignment="1" applyProtection="1">
      <alignment horizontal="center" vertical="center"/>
      <protection hidden="1"/>
    </xf>
    <xf numFmtId="0" fontId="14" fillId="0" borderId="136" xfId="0" applyFont="1" applyBorder="1" applyAlignment="1" applyProtection="1">
      <alignment horizontal="left" vertical="top" wrapText="1"/>
      <protection hidden="1"/>
    </xf>
    <xf numFmtId="2" fontId="7" fillId="0" borderId="178" xfId="0" applyNumberFormat="1" applyFont="1" applyBorder="1" applyAlignment="1" applyProtection="1">
      <alignment horizontal="center" vertical="top" wrapText="1"/>
      <protection locked="0" hidden="1"/>
    </xf>
    <xf numFmtId="0" fontId="0" fillId="0" borderId="144" xfId="0" applyBorder="1" applyAlignment="1" applyProtection="1">
      <alignment horizontal="center" vertical="top" wrapText="1"/>
      <protection hidden="1"/>
    </xf>
    <xf numFmtId="167" fontId="0" fillId="0" borderId="244" xfId="1" applyNumberFormat="1" applyFont="1" applyBorder="1" applyAlignment="1" applyProtection="1">
      <alignment horizontal="right" vertical="top"/>
      <protection hidden="1"/>
    </xf>
    <xf numFmtId="0" fontId="14" fillId="0" borderId="82" xfId="0" applyFont="1" applyBorder="1" applyAlignment="1" applyProtection="1">
      <alignment vertical="top" wrapText="1"/>
      <protection hidden="1"/>
    </xf>
    <xf numFmtId="0" fontId="0" fillId="0" borderId="35" xfId="0" applyBorder="1" applyAlignment="1" applyProtection="1">
      <alignment horizontal="right" vertical="top" wrapText="1"/>
      <protection locked="0" hidden="1"/>
    </xf>
    <xf numFmtId="167" fontId="0" fillId="0" borderId="35" xfId="1" applyNumberFormat="1" applyFont="1" applyBorder="1" applyAlignment="1" applyProtection="1">
      <alignment horizontal="right" vertical="top"/>
      <protection hidden="1"/>
    </xf>
    <xf numFmtId="0" fontId="72" fillId="0" borderId="35" xfId="5" applyFont="1" applyBorder="1" applyAlignment="1">
      <alignment wrapText="1"/>
    </xf>
    <xf numFmtId="0" fontId="83" fillId="0" borderId="0" xfId="0" applyFont="1" applyAlignment="1">
      <alignment vertical="center"/>
    </xf>
    <xf numFmtId="0" fontId="83" fillId="0" borderId="0" xfId="0" applyFont="1"/>
    <xf numFmtId="173" fontId="0" fillId="0" borderId="0" xfId="1" applyNumberFormat="1" applyFont="1"/>
    <xf numFmtId="167" fontId="24" fillId="25" borderId="57" xfId="1" applyNumberFormat="1" applyFont="1" applyFill="1" applyBorder="1" applyAlignment="1" applyProtection="1">
      <alignment horizontal="right" vertical="top"/>
      <protection hidden="1"/>
    </xf>
    <xf numFmtId="0" fontId="75" fillId="0" borderId="0" xfId="0" applyFont="1" applyAlignment="1">
      <alignment horizontal="left"/>
    </xf>
    <xf numFmtId="173" fontId="75" fillId="0" borderId="35" xfId="0" applyNumberFormat="1" applyFont="1" applyBorder="1"/>
    <xf numFmtId="173" fontId="75" fillId="0" borderId="35" xfId="1" applyNumberFormat="1" applyFont="1" applyBorder="1"/>
    <xf numFmtId="0" fontId="75" fillId="0" borderId="35" xfId="0" applyFont="1" applyBorder="1"/>
    <xf numFmtId="0" fontId="84" fillId="0" borderId="35" xfId="0" applyFont="1" applyBorder="1" applyAlignment="1" applyProtection="1">
      <alignment vertical="top"/>
      <protection hidden="1"/>
    </xf>
    <xf numFmtId="0" fontId="75" fillId="0" borderId="35" xfId="0" applyFont="1" applyBorder="1" applyAlignment="1"/>
    <xf numFmtId="0" fontId="84" fillId="0" borderId="35" xfId="0" applyFont="1" applyFill="1" applyBorder="1" applyAlignment="1" applyProtection="1">
      <alignment vertical="top"/>
      <protection hidden="1"/>
    </xf>
    <xf numFmtId="173" fontId="75" fillId="24" borderId="35" xfId="0" applyNumberFormat="1" applyFont="1" applyFill="1" applyBorder="1"/>
    <xf numFmtId="0" fontId="14" fillId="0" borderId="237" xfId="0" applyFont="1" applyBorder="1" applyAlignment="1" applyProtection="1">
      <alignment vertical="top" wrapText="1"/>
      <protection hidden="1"/>
    </xf>
    <xf numFmtId="0" fontId="14" fillId="0" borderId="35" xfId="0" applyFont="1" applyFill="1" applyBorder="1" applyAlignment="1" applyProtection="1">
      <alignment vertical="top" wrapText="1"/>
      <protection hidden="1"/>
    </xf>
    <xf numFmtId="0" fontId="0" fillId="0" borderId="237" xfId="0" applyBorder="1" applyAlignment="1" applyProtection="1">
      <alignment horizontal="right" vertical="top" wrapText="1"/>
      <protection locked="0" hidden="1"/>
    </xf>
    <xf numFmtId="167" fontId="0" fillId="0" borderId="237" xfId="1" applyNumberFormat="1" applyFont="1" applyBorder="1" applyAlignment="1" applyProtection="1">
      <alignment horizontal="right" vertical="top"/>
      <protection hidden="1"/>
    </xf>
    <xf numFmtId="167" fontId="0" fillId="0" borderId="245" xfId="1" applyNumberFormat="1" applyFont="1" applyBorder="1" applyAlignment="1" applyProtection="1">
      <alignment horizontal="right" vertical="top"/>
      <protection hidden="1"/>
    </xf>
    <xf numFmtId="0" fontId="0" fillId="0" borderId="35" xfId="0" applyFill="1" applyBorder="1" applyAlignment="1" applyProtection="1">
      <alignment horizontal="center" vertical="top" wrapText="1"/>
      <protection hidden="1"/>
    </xf>
    <xf numFmtId="0" fontId="0" fillId="0" borderId="35" xfId="0" applyFill="1" applyBorder="1" applyAlignment="1" applyProtection="1">
      <alignment horizontal="right" vertical="top" wrapText="1"/>
      <protection locked="0" hidden="1"/>
    </xf>
    <xf numFmtId="167" fontId="0" fillId="0" borderId="35" xfId="1" applyNumberFormat="1" applyFont="1" applyFill="1" applyBorder="1" applyAlignment="1" applyProtection="1">
      <alignment horizontal="right" vertical="top"/>
      <protection hidden="1"/>
    </xf>
    <xf numFmtId="167" fontId="24" fillId="25" borderId="57" xfId="1" applyNumberFormat="1" applyFont="1" applyFill="1" applyBorder="1" applyAlignment="1" applyProtection="1">
      <alignment horizontal="right" vertical="top"/>
      <protection hidden="1"/>
    </xf>
    <xf numFmtId="0" fontId="7" fillId="0" borderId="196" xfId="0" applyFont="1" applyFill="1" applyBorder="1" applyAlignment="1" applyProtection="1">
      <alignment horizontal="center" vertical="top" wrapText="1"/>
      <protection locked="0" hidden="1"/>
    </xf>
    <xf numFmtId="2" fontId="7" fillId="0" borderId="196" xfId="0" applyNumberFormat="1" applyFont="1" applyFill="1" applyBorder="1" applyAlignment="1" applyProtection="1">
      <alignment horizontal="center" vertical="top" wrapText="1"/>
      <protection locked="0" hidden="1"/>
    </xf>
    <xf numFmtId="175" fontId="0" fillId="0" borderId="136" xfId="0" applyNumberFormat="1" applyFill="1" applyBorder="1" applyAlignment="1" applyProtection="1">
      <alignment horizontal="right" vertical="top" wrapText="1"/>
      <protection locked="0" hidden="1"/>
    </xf>
    <xf numFmtId="0" fontId="22" fillId="0" borderId="52" xfId="0" applyFont="1" applyFill="1" applyBorder="1" applyAlignment="1" applyProtection="1">
      <alignment horizontal="center" vertical="top" wrapText="1"/>
      <protection hidden="1"/>
    </xf>
    <xf numFmtId="176" fontId="7" fillId="0" borderId="51" xfId="0" applyNumberFormat="1" applyFont="1" applyFill="1" applyBorder="1" applyAlignment="1" applyProtection="1">
      <alignment horizontal="center" vertical="top"/>
      <protection locked="0" hidden="1"/>
    </xf>
    <xf numFmtId="1" fontId="0" fillId="17" borderId="52" xfId="0" applyNumberFormat="1" applyFill="1" applyBorder="1" applyAlignment="1" applyProtection="1">
      <alignment horizontal="right" vertical="top"/>
      <protection locked="0" hidden="1"/>
    </xf>
    <xf numFmtId="2" fontId="7" fillId="0" borderId="246" xfId="0" applyNumberFormat="1" applyFont="1" applyBorder="1" applyAlignment="1" applyProtection="1">
      <alignment horizontal="center" vertical="top"/>
      <protection locked="0" hidden="1"/>
    </xf>
    <xf numFmtId="0" fontId="14" fillId="17" borderId="247" xfId="0" applyFont="1" applyFill="1" applyBorder="1" applyAlignment="1" applyProtection="1">
      <alignment horizontal="justify" vertical="justify" wrapText="1"/>
      <protection hidden="1"/>
    </xf>
    <xf numFmtId="0" fontId="0" fillId="17" borderId="247" xfId="0" applyFill="1" applyBorder="1" applyAlignment="1" applyProtection="1">
      <alignment horizontal="center" vertical="center"/>
      <protection hidden="1"/>
    </xf>
    <xf numFmtId="0" fontId="0" fillId="17" borderId="247" xfId="0" applyFill="1" applyBorder="1" applyAlignment="1" applyProtection="1">
      <alignment horizontal="right" vertical="center"/>
      <protection locked="0" hidden="1"/>
    </xf>
    <xf numFmtId="167" fontId="0" fillId="17" borderId="247" xfId="1" applyNumberFormat="1" applyFont="1" applyFill="1" applyBorder="1" applyAlignment="1" applyProtection="1">
      <alignment horizontal="right" vertical="center"/>
      <protection hidden="1"/>
    </xf>
    <xf numFmtId="167" fontId="0" fillId="0" borderId="248" xfId="1" applyNumberFormat="1" applyFont="1" applyBorder="1" applyAlignment="1" applyProtection="1">
      <alignment horizontal="center" vertical="center"/>
      <protection hidden="1"/>
    </xf>
    <xf numFmtId="3" fontId="73" fillId="0" borderId="52" xfId="0" applyNumberFormat="1" applyFont="1" applyBorder="1" applyAlignment="1" applyProtection="1">
      <alignment vertical="top" wrapText="1"/>
      <protection hidden="1"/>
    </xf>
    <xf numFmtId="167" fontId="85" fillId="0" borderId="52" xfId="1" applyNumberFormat="1" applyFont="1" applyFill="1" applyBorder="1" applyAlignment="1" applyProtection="1">
      <alignment horizontal="right" vertical="top"/>
      <protection hidden="1"/>
    </xf>
    <xf numFmtId="167" fontId="0" fillId="22" borderId="0" xfId="1" applyNumberFormat="1" applyFont="1" applyFill="1" applyBorder="1" applyAlignment="1" applyProtection="1">
      <alignment horizontal="right" vertical="top"/>
      <protection hidden="1"/>
    </xf>
    <xf numFmtId="0" fontId="14" fillId="22" borderId="0" xfId="0" applyFont="1" applyFill="1" applyBorder="1" applyAlignment="1" applyProtection="1">
      <alignment vertical="top" wrapText="1"/>
      <protection hidden="1"/>
    </xf>
    <xf numFmtId="167" fontId="85" fillId="0" borderId="52" xfId="1" applyNumberFormat="1" applyFont="1" applyBorder="1" applyAlignment="1" applyProtection="1">
      <alignment horizontal="right" vertical="top"/>
      <protection hidden="1"/>
    </xf>
    <xf numFmtId="2" fontId="7" fillId="35" borderId="51" xfId="0" applyNumberFormat="1" applyFont="1" applyFill="1" applyBorder="1" applyAlignment="1" applyProtection="1">
      <alignment horizontal="center" vertical="top"/>
      <protection locked="0" hidden="1"/>
    </xf>
    <xf numFmtId="0" fontId="14" fillId="35" borderId="52" xfId="0" applyFont="1" applyFill="1" applyBorder="1" applyAlignment="1" applyProtection="1">
      <alignment vertical="top" wrapText="1"/>
      <protection hidden="1"/>
    </xf>
    <xf numFmtId="0" fontId="0" fillId="35" borderId="52" xfId="0" applyFill="1" applyBorder="1" applyAlignment="1" applyProtection="1">
      <alignment horizontal="center" vertical="top"/>
      <protection hidden="1"/>
    </xf>
    <xf numFmtId="167" fontId="0" fillId="35" borderId="52" xfId="1" applyNumberFormat="1" applyFont="1" applyFill="1" applyBorder="1" applyAlignment="1" applyProtection="1">
      <alignment horizontal="right" vertical="top"/>
      <protection hidden="1"/>
    </xf>
    <xf numFmtId="167" fontId="0" fillId="35" borderId="230" xfId="1" applyNumberFormat="1" applyFont="1" applyFill="1" applyBorder="1" applyAlignment="1" applyProtection="1">
      <alignment horizontal="right" vertical="top"/>
      <protection hidden="1"/>
    </xf>
    <xf numFmtId="0" fontId="14" fillId="35" borderId="52" xfId="0" applyFont="1" applyFill="1" applyBorder="1" applyAlignment="1" applyProtection="1">
      <alignment horizontal="center" vertical="top" wrapText="1"/>
      <protection hidden="1"/>
    </xf>
    <xf numFmtId="3" fontId="73" fillId="0" borderId="52" xfId="0" applyNumberFormat="1" applyFont="1" applyFill="1" applyBorder="1" applyAlignment="1" applyProtection="1">
      <alignment vertical="top" wrapText="1"/>
      <protection hidden="1"/>
    </xf>
    <xf numFmtId="3" fontId="14" fillId="22" borderId="52" xfId="0" applyNumberFormat="1" applyFont="1" applyFill="1" applyBorder="1" applyAlignment="1" applyProtection="1">
      <alignment vertical="top" wrapText="1"/>
      <protection hidden="1"/>
    </xf>
    <xf numFmtId="167" fontId="24" fillId="25" borderId="57" xfId="1" applyNumberFormat="1" applyFont="1" applyFill="1" applyBorder="1" applyAlignment="1" applyProtection="1">
      <alignment horizontal="right" vertical="top"/>
      <protection hidden="1"/>
    </xf>
    <xf numFmtId="167" fontId="24" fillId="25" borderId="57" xfId="1" applyNumberFormat="1" applyFont="1" applyFill="1" applyBorder="1" applyAlignment="1" applyProtection="1">
      <alignment horizontal="right" vertical="top"/>
      <protection hidden="1"/>
    </xf>
    <xf numFmtId="0" fontId="75" fillId="0" borderId="0" xfId="0" applyFont="1" applyAlignment="1">
      <alignment horizontal="left"/>
    </xf>
    <xf numFmtId="0" fontId="7" fillId="0" borderId="50" xfId="0" applyFont="1" applyBorder="1" applyAlignment="1" applyProtection="1">
      <alignment horizontal="center" vertical="top"/>
      <protection locked="0" hidden="1"/>
    </xf>
    <xf numFmtId="0" fontId="7" fillId="0" borderId="50" xfId="0" applyFont="1" applyBorder="1" applyAlignment="1" applyProtection="1">
      <alignment horizontal="center" vertical="top" wrapText="1"/>
      <protection locked="0" hidden="1"/>
    </xf>
    <xf numFmtId="0" fontId="7" fillId="0" borderId="178" xfId="0" applyFont="1" applyBorder="1" applyAlignment="1" applyProtection="1">
      <alignment horizontal="center" vertical="top"/>
      <protection locked="0" hidden="1"/>
    </xf>
    <xf numFmtId="0" fontId="14" fillId="0" borderId="51" xfId="0" applyFont="1" applyBorder="1" applyAlignment="1" applyProtection="1">
      <alignment vertical="top" wrapText="1"/>
      <protection hidden="1"/>
    </xf>
    <xf numFmtId="0" fontId="14" fillId="0" borderId="51" xfId="0" applyFont="1" applyBorder="1" applyAlignment="1" applyProtection="1">
      <alignment horizontal="left" vertical="top" wrapText="1"/>
      <protection hidden="1"/>
    </xf>
    <xf numFmtId="0" fontId="14" fillId="25" borderId="56" xfId="0" applyFont="1" applyFill="1" applyBorder="1" applyAlignment="1" applyProtection="1">
      <alignment vertical="top" wrapText="1"/>
      <protection hidden="1"/>
    </xf>
    <xf numFmtId="0" fontId="14" fillId="0" borderId="234" xfId="0" applyFont="1" applyBorder="1" applyAlignment="1" applyProtection="1">
      <alignment horizontal="center" vertical="top" wrapText="1"/>
      <protection hidden="1"/>
    </xf>
    <xf numFmtId="167" fontId="0" fillId="0" borderId="234" xfId="1" applyNumberFormat="1" applyFont="1" applyBorder="1" applyAlignment="1" applyProtection="1">
      <alignment horizontal="right" vertical="top"/>
      <protection hidden="1"/>
    </xf>
    <xf numFmtId="167" fontId="0" fillId="0" borderId="235" xfId="1" applyNumberFormat="1" applyFont="1" applyBorder="1" applyAlignment="1" applyProtection="1">
      <alignment horizontal="right" vertical="top"/>
      <protection hidden="1"/>
    </xf>
    <xf numFmtId="0" fontId="74" fillId="0" borderId="35" xfId="0" applyFont="1" applyBorder="1" applyAlignment="1">
      <alignment horizontal="justify" vertical="center" wrapText="1"/>
    </xf>
    <xf numFmtId="1" fontId="0" fillId="0" borderId="35" xfId="0" applyNumberFormat="1" applyBorder="1" applyAlignment="1" applyProtection="1">
      <alignment horizontal="right" vertical="top" wrapText="1"/>
      <protection locked="0" hidden="1"/>
    </xf>
    <xf numFmtId="167" fontId="80" fillId="0" borderId="35" xfId="1" applyNumberFormat="1" applyFont="1" applyBorder="1" applyAlignment="1" applyProtection="1">
      <alignment horizontal="right" vertical="top"/>
      <protection hidden="1"/>
    </xf>
    <xf numFmtId="166" fontId="80" fillId="0" borderId="35" xfId="1" applyNumberFormat="1" applyFont="1" applyBorder="1" applyAlignment="1" applyProtection="1">
      <alignment horizontal="right" vertical="top"/>
      <protection hidden="1"/>
    </xf>
    <xf numFmtId="0" fontId="14" fillId="0" borderId="35" xfId="0" applyFont="1" applyBorder="1" applyAlignment="1" applyProtection="1">
      <alignment horizontal="center" vertical="top" wrapText="1"/>
      <protection hidden="1"/>
    </xf>
    <xf numFmtId="0" fontId="14" fillId="0" borderId="35" xfId="0" applyFont="1" applyBorder="1" applyAlignment="1" applyProtection="1">
      <alignment horizontal="left" vertical="top"/>
      <protection locked="0" hidden="1"/>
    </xf>
    <xf numFmtId="0" fontId="14" fillId="26" borderId="0" xfId="0" applyFont="1" applyFill="1" applyBorder="1" applyAlignment="1" applyProtection="1">
      <alignment vertical="top" wrapText="1"/>
      <protection hidden="1"/>
    </xf>
    <xf numFmtId="0" fontId="0" fillId="26" borderId="0" xfId="0" applyFill="1" applyBorder="1" applyAlignment="1" applyProtection="1">
      <alignment horizontal="center" vertical="top"/>
      <protection hidden="1"/>
    </xf>
    <xf numFmtId="0" fontId="0" fillId="26" borderId="0" xfId="0" applyFill="1" applyBorder="1" applyAlignment="1" applyProtection="1">
      <alignment horizontal="right" vertical="top"/>
      <protection locked="0" hidden="1"/>
    </xf>
    <xf numFmtId="167" fontId="24" fillId="26" borderId="0" xfId="1" applyNumberFormat="1" applyFont="1" applyFill="1" applyBorder="1" applyAlignment="1" applyProtection="1">
      <alignment horizontal="right" vertical="top"/>
      <protection hidden="1"/>
    </xf>
    <xf numFmtId="167" fontId="24" fillId="26" borderId="154" xfId="1" applyNumberFormat="1" applyFont="1" applyFill="1" applyBorder="1" applyAlignment="1" applyProtection="1">
      <alignment horizontal="right" vertical="top"/>
      <protection hidden="1"/>
    </xf>
    <xf numFmtId="167" fontId="85" fillId="36" borderId="52" xfId="1" applyNumberFormat="1" applyFont="1" applyFill="1" applyBorder="1" applyAlignment="1" applyProtection="1">
      <alignment horizontal="right" vertical="top"/>
      <protection hidden="1"/>
    </xf>
    <xf numFmtId="167" fontId="0" fillId="0" borderId="0" xfId="1" applyNumberFormat="1" applyFont="1" applyFill="1" applyBorder="1" applyAlignment="1" applyProtection="1">
      <alignment horizontal="right" vertical="top"/>
      <protection hidden="1"/>
    </xf>
    <xf numFmtId="0" fontId="14" fillId="25" borderId="0" xfId="0" applyFont="1" applyFill="1" applyBorder="1" applyAlignment="1" applyProtection="1">
      <alignment vertical="top" wrapText="1"/>
      <protection hidden="1"/>
    </xf>
    <xf numFmtId="0" fontId="0" fillId="25" borderId="0" xfId="0" applyFill="1" applyBorder="1" applyAlignment="1" applyProtection="1">
      <alignment horizontal="center" vertical="top" wrapText="1"/>
      <protection hidden="1"/>
    </xf>
    <xf numFmtId="0" fontId="0" fillId="25" borderId="0" xfId="0" applyFill="1" applyBorder="1" applyAlignment="1" applyProtection="1">
      <alignment horizontal="right" vertical="top" wrapText="1"/>
      <protection locked="0" hidden="1"/>
    </xf>
    <xf numFmtId="0" fontId="7" fillId="22" borderId="196" xfId="0" applyFont="1" applyFill="1" applyBorder="1" applyAlignment="1" applyProtection="1">
      <alignment horizontal="center" vertical="top" wrapText="1"/>
      <protection locked="0" hidden="1"/>
    </xf>
    <xf numFmtId="2" fontId="7" fillId="25" borderId="196" xfId="0" applyNumberFormat="1" applyFont="1" applyFill="1" applyBorder="1" applyAlignment="1" applyProtection="1">
      <alignment horizontal="center" vertical="top" wrapText="1"/>
      <protection locked="0" hidden="1"/>
    </xf>
    <xf numFmtId="2" fontId="7" fillId="22" borderId="196" xfId="0" applyNumberFormat="1" applyFont="1" applyFill="1" applyBorder="1" applyAlignment="1" applyProtection="1">
      <alignment horizontal="center" vertical="top" wrapText="1"/>
      <protection locked="0" hidden="1"/>
    </xf>
    <xf numFmtId="0" fontId="7" fillId="0" borderId="249" xfId="0" applyFont="1" applyBorder="1" applyAlignment="1" applyProtection="1">
      <alignment horizontal="center" vertical="top"/>
      <protection locked="0" hidden="1"/>
    </xf>
    <xf numFmtId="0" fontId="22" fillId="0" borderId="234" xfId="0" applyFont="1" applyBorder="1" applyAlignment="1" applyProtection="1">
      <alignment horizontal="center" vertical="top" wrapText="1"/>
      <protection hidden="1"/>
    </xf>
    <xf numFmtId="0" fontId="0" fillId="0" borderId="234" xfId="0" applyBorder="1" applyAlignment="1" applyProtection="1">
      <alignment horizontal="right" vertical="top"/>
      <protection locked="0" hidden="1"/>
    </xf>
    <xf numFmtId="0" fontId="7" fillId="0" borderId="35" xfId="0" applyFont="1" applyBorder="1" applyAlignment="1" applyProtection="1">
      <alignment horizontal="center" vertical="top"/>
      <protection locked="0" hidden="1"/>
    </xf>
    <xf numFmtId="0" fontId="14" fillId="0" borderId="35" xfId="0" applyFont="1" applyBorder="1" applyAlignment="1" applyProtection="1">
      <alignment vertical="top" wrapText="1"/>
      <protection hidden="1"/>
    </xf>
    <xf numFmtId="0" fontId="0" fillId="0" borderId="35" xfId="0" applyBorder="1" applyAlignment="1" applyProtection="1">
      <alignment horizontal="center" vertical="top"/>
      <protection hidden="1"/>
    </xf>
    <xf numFmtId="0" fontId="7" fillId="0" borderId="35" xfId="0" applyFont="1" applyFill="1" applyBorder="1" applyAlignment="1" applyProtection="1">
      <alignment horizontal="center" vertical="top"/>
      <protection locked="0" hidden="1"/>
    </xf>
    <xf numFmtId="0" fontId="14" fillId="0" borderId="35" xfId="0" applyFont="1" applyFill="1" applyBorder="1" applyAlignment="1" applyProtection="1">
      <alignment horizontal="center" vertical="top" wrapText="1"/>
      <protection hidden="1"/>
    </xf>
    <xf numFmtId="0" fontId="14" fillId="17" borderId="35" xfId="0" applyFont="1" applyFill="1" applyBorder="1" applyAlignment="1" applyProtection="1">
      <alignment vertical="top" wrapText="1"/>
      <protection hidden="1"/>
    </xf>
    <xf numFmtId="0" fontId="7" fillId="0" borderId="249" xfId="0" applyFont="1" applyFill="1" applyBorder="1" applyAlignment="1" applyProtection="1">
      <alignment horizontal="center" vertical="top"/>
      <protection locked="0" hidden="1"/>
    </xf>
    <xf numFmtId="0" fontId="14" fillId="0" borderId="234" xfId="0" applyFont="1" applyFill="1" applyBorder="1" applyAlignment="1" applyProtection="1">
      <alignment vertical="top" wrapText="1"/>
      <protection hidden="1"/>
    </xf>
    <xf numFmtId="0" fontId="0" fillId="0" borderId="234" xfId="0" applyFill="1" applyBorder="1" applyAlignment="1" applyProtection="1">
      <alignment horizontal="center" vertical="top"/>
      <protection hidden="1"/>
    </xf>
    <xf numFmtId="0" fontId="0" fillId="0" borderId="234" xfId="0" applyFill="1" applyBorder="1" applyAlignment="1" applyProtection="1">
      <alignment horizontal="right" vertical="top"/>
      <protection locked="0" hidden="1"/>
    </xf>
    <xf numFmtId="167" fontId="0" fillId="0" borderId="234" xfId="1" applyNumberFormat="1" applyFont="1" applyFill="1" applyBorder="1" applyAlignment="1" applyProtection="1">
      <alignment horizontal="right" vertical="top"/>
      <protection hidden="1"/>
    </xf>
    <xf numFmtId="167" fontId="0" fillId="0" borderId="245" xfId="1" applyNumberFormat="1" applyFont="1" applyFill="1" applyBorder="1" applyAlignment="1" applyProtection="1">
      <alignment horizontal="right" vertical="top"/>
      <protection hidden="1"/>
    </xf>
    <xf numFmtId="0" fontId="0" fillId="0" borderId="35" xfId="0" applyFill="1" applyBorder="1" applyAlignment="1" applyProtection="1">
      <alignment horizontal="right" vertical="top"/>
      <protection locked="0" hidden="1"/>
    </xf>
    <xf numFmtId="0" fontId="0" fillId="21" borderId="35" xfId="0" applyFill="1" applyBorder="1" applyAlignment="1" applyProtection="1">
      <alignment horizontal="right" vertical="top"/>
      <protection locked="0" hidden="1"/>
    </xf>
    <xf numFmtId="2" fontId="7" fillId="0" borderId="35" xfId="0" applyNumberFormat="1" applyFont="1" applyBorder="1" applyAlignment="1" applyProtection="1">
      <alignment horizontal="center" vertical="top"/>
      <protection locked="0" hidden="1"/>
    </xf>
    <xf numFmtId="0" fontId="14" fillId="21" borderId="35" xfId="0" applyFont="1" applyFill="1" applyBorder="1" applyAlignment="1" applyProtection="1">
      <alignment vertical="top" wrapText="1"/>
      <protection hidden="1"/>
    </xf>
    <xf numFmtId="0" fontId="0" fillId="21" borderId="35" xfId="0" applyFill="1" applyBorder="1" applyAlignment="1" applyProtection="1">
      <alignment horizontal="center" vertical="top"/>
      <protection hidden="1"/>
    </xf>
    <xf numFmtId="167" fontId="0" fillId="21" borderId="35" xfId="1" applyNumberFormat="1" applyFont="1" applyFill="1" applyBorder="1" applyAlignment="1" applyProtection="1">
      <alignment horizontal="right" vertical="top"/>
      <protection hidden="1"/>
    </xf>
    <xf numFmtId="0" fontId="14" fillId="21" borderId="35" xfId="0" applyFont="1" applyFill="1" applyBorder="1" applyAlignment="1" applyProtection="1">
      <alignment horizontal="center" vertical="top" wrapText="1"/>
      <protection hidden="1"/>
    </xf>
    <xf numFmtId="2" fontId="7" fillId="0" borderId="35" xfId="0" applyNumberFormat="1" applyFont="1" applyFill="1" applyBorder="1" applyAlignment="1" applyProtection="1">
      <alignment horizontal="center" vertical="top"/>
      <protection locked="0" hidden="1"/>
    </xf>
    <xf numFmtId="0" fontId="0" fillId="0" borderId="35" xfId="0" applyBorder="1" applyAlignment="1" applyProtection="1">
      <alignment horizontal="center" vertical="center"/>
      <protection hidden="1"/>
    </xf>
    <xf numFmtId="0" fontId="0" fillId="21" borderId="35" xfId="0" applyFill="1" applyBorder="1" applyAlignment="1" applyProtection="1">
      <alignment horizontal="right" vertical="center"/>
      <protection locked="0" hidden="1"/>
    </xf>
    <xf numFmtId="167" fontId="0" fillId="0" borderId="35" xfId="1" applyNumberFormat="1" applyFont="1" applyBorder="1" applyAlignment="1" applyProtection="1">
      <alignment horizontal="right" vertical="center"/>
      <protection hidden="1"/>
    </xf>
    <xf numFmtId="167" fontId="80" fillId="0" borderId="35" xfId="1" applyNumberFormat="1" applyFont="1" applyFill="1" applyBorder="1" applyAlignment="1" applyProtection="1">
      <alignment horizontal="right" vertical="top"/>
      <protection hidden="1"/>
    </xf>
    <xf numFmtId="0" fontId="22" fillId="0" borderId="234" xfId="0" applyFont="1" applyFill="1" applyBorder="1" applyAlignment="1" applyProtection="1">
      <alignment horizontal="center" vertical="top" wrapText="1"/>
      <protection hidden="1"/>
    </xf>
    <xf numFmtId="0" fontId="0" fillId="0" borderId="35" xfId="0" applyFill="1" applyBorder="1" applyAlignment="1" applyProtection="1">
      <alignment horizontal="center" vertical="top"/>
      <protection hidden="1"/>
    </xf>
    <xf numFmtId="3" fontId="73" fillId="0" borderId="35" xfId="0" applyNumberFormat="1" applyFont="1" applyFill="1" applyBorder="1" applyAlignment="1" applyProtection="1">
      <alignment vertical="top" wrapText="1"/>
      <protection hidden="1"/>
    </xf>
    <xf numFmtId="3" fontId="14" fillId="0" borderId="35" xfId="0" applyNumberFormat="1" applyFont="1" applyFill="1" applyBorder="1" applyAlignment="1" applyProtection="1">
      <alignment vertical="top" wrapText="1"/>
      <protection hidden="1"/>
    </xf>
    <xf numFmtId="3" fontId="0" fillId="0" borderId="35" xfId="1" applyNumberFormat="1" applyFont="1" applyBorder="1" applyAlignment="1" applyProtection="1">
      <alignment horizontal="right" vertical="top"/>
      <protection hidden="1"/>
    </xf>
    <xf numFmtId="0" fontId="0" fillId="17" borderId="35" xfId="0" applyFill="1" applyBorder="1" applyAlignment="1" applyProtection="1">
      <alignment horizontal="right" vertical="top"/>
      <protection locked="0" hidden="1"/>
    </xf>
    <xf numFmtId="0" fontId="14" fillId="0" borderId="234" xfId="0" applyFont="1" applyFill="1" applyBorder="1" applyAlignment="1" applyProtection="1">
      <alignment horizontal="center" vertical="top" wrapText="1"/>
      <protection hidden="1"/>
    </xf>
    <xf numFmtId="0" fontId="74" fillId="0" borderId="35" xfId="0" applyFont="1" applyFill="1" applyBorder="1" applyAlignment="1" applyProtection="1">
      <alignment vertical="top" wrapText="1"/>
      <protection hidden="1"/>
    </xf>
    <xf numFmtId="0" fontId="14" fillId="22" borderId="35" xfId="0" applyFont="1" applyFill="1" applyBorder="1" applyAlignment="1" applyProtection="1">
      <alignment vertical="top" wrapText="1"/>
      <protection hidden="1"/>
    </xf>
    <xf numFmtId="0" fontId="0" fillId="17" borderId="35" xfId="0" applyFill="1" applyBorder="1" applyAlignment="1" applyProtection="1">
      <alignment horizontal="center" vertical="top"/>
      <protection hidden="1"/>
    </xf>
    <xf numFmtId="175" fontId="7" fillId="0" borderId="35" xfId="0" applyNumberFormat="1" applyFont="1" applyBorder="1" applyAlignment="1" applyProtection="1">
      <alignment horizontal="center" vertical="top"/>
      <protection locked="0" hidden="1"/>
    </xf>
    <xf numFmtId="167" fontId="1" fillId="0" borderId="35" xfId="1" applyNumberFormat="1" applyFont="1" applyFill="1" applyBorder="1" applyAlignment="1" applyProtection="1">
      <alignment horizontal="right" vertical="top"/>
      <protection hidden="1"/>
    </xf>
    <xf numFmtId="3" fontId="69" fillId="17" borderId="35" xfId="0" applyNumberFormat="1" applyFont="1" applyFill="1" applyBorder="1" applyAlignment="1" applyProtection="1">
      <alignment vertical="top" wrapText="1"/>
      <protection hidden="1"/>
    </xf>
    <xf numFmtId="0" fontId="14" fillId="17" borderId="35" xfId="0" applyFont="1" applyFill="1" applyBorder="1" applyAlignment="1" applyProtection="1">
      <alignment horizontal="center" vertical="top" wrapText="1"/>
      <protection hidden="1"/>
    </xf>
    <xf numFmtId="0" fontId="7" fillId="0" borderId="250" xfId="0" applyFont="1" applyBorder="1" applyAlignment="1" applyProtection="1">
      <alignment horizontal="center" vertical="top" wrapText="1"/>
      <protection locked="0" hidden="1"/>
    </xf>
    <xf numFmtId="0" fontId="24" fillId="10" borderId="4" xfId="0" applyFont="1" applyFill="1" applyBorder="1" applyAlignment="1" applyProtection="1">
      <alignment vertical="top"/>
      <protection locked="0"/>
    </xf>
    <xf numFmtId="0" fontId="8" fillId="10" borderId="4" xfId="0" applyFont="1" applyFill="1" applyBorder="1" applyAlignment="1" applyProtection="1">
      <alignment vertical="top" wrapText="1"/>
      <protection hidden="1"/>
    </xf>
    <xf numFmtId="4" fontId="24" fillId="10" borderId="149" xfId="0" applyNumberFormat="1" applyFont="1" applyFill="1" applyBorder="1" applyAlignment="1" applyProtection="1">
      <alignment horizontal="right" vertical="top" wrapText="1"/>
      <protection hidden="1"/>
    </xf>
    <xf numFmtId="2" fontId="7" fillId="0" borderId="51" xfId="0" applyNumberFormat="1" applyFont="1" applyBorder="1" applyAlignment="1" applyProtection="1">
      <alignment horizontal="center" vertical="top" wrapText="1"/>
      <protection locked="0" hidden="1"/>
    </xf>
    <xf numFmtId="0" fontId="14" fillId="25" borderId="151" xfId="0" applyFont="1" applyFill="1" applyBorder="1" applyAlignment="1" applyProtection="1">
      <alignment vertical="top" wrapText="1"/>
      <protection hidden="1"/>
    </xf>
    <xf numFmtId="0" fontId="0" fillId="25" borderId="151" xfId="0" applyFill="1" applyBorder="1" applyAlignment="1" applyProtection="1">
      <alignment horizontal="center" vertical="top"/>
      <protection hidden="1"/>
    </xf>
    <xf numFmtId="0" fontId="0" fillId="25" borderId="151" xfId="0" applyFill="1" applyBorder="1" applyAlignment="1" applyProtection="1">
      <alignment horizontal="right" vertical="top"/>
      <protection locked="0" hidden="1"/>
    </xf>
    <xf numFmtId="167" fontId="24" fillId="25" borderId="152" xfId="1" applyNumberFormat="1" applyFont="1" applyFill="1" applyBorder="1" applyAlignment="1" applyProtection="1">
      <alignment horizontal="right" vertical="top"/>
      <protection hidden="1"/>
    </xf>
    <xf numFmtId="0" fontId="7" fillId="25" borderId="35" xfId="0" applyFont="1" applyFill="1" applyBorder="1" applyAlignment="1" applyProtection="1">
      <alignment horizontal="center" vertical="top" wrapText="1"/>
      <protection locked="0" hidden="1"/>
    </xf>
    <xf numFmtId="0" fontId="7" fillId="0" borderId="35" xfId="0" applyFont="1" applyFill="1" applyBorder="1" applyAlignment="1" applyProtection="1">
      <alignment horizontal="center" vertical="top" wrapText="1"/>
      <protection locked="0" hidden="1"/>
    </xf>
    <xf numFmtId="167" fontId="0" fillId="22" borderId="35" xfId="1" applyNumberFormat="1" applyFont="1" applyFill="1" applyBorder="1" applyAlignment="1" applyProtection="1">
      <alignment horizontal="right" vertical="top"/>
      <protection hidden="1"/>
    </xf>
    <xf numFmtId="0" fontId="7" fillId="0" borderId="35" xfId="0" applyFont="1" applyBorder="1" applyAlignment="1" applyProtection="1">
      <alignment horizontal="center" vertical="top" wrapText="1"/>
      <protection locked="0" hidden="1"/>
    </xf>
    <xf numFmtId="0" fontId="7" fillId="22" borderId="35" xfId="0" applyFont="1" applyFill="1" applyBorder="1" applyAlignment="1" applyProtection="1">
      <alignment horizontal="center" vertical="top" wrapText="1"/>
      <protection locked="0" hidden="1"/>
    </xf>
    <xf numFmtId="2" fontId="7" fillId="25" borderId="35" xfId="0" applyNumberFormat="1" applyFont="1" applyFill="1" applyBorder="1" applyAlignment="1" applyProtection="1">
      <alignment horizontal="center" vertical="top" wrapText="1"/>
      <protection locked="0" hidden="1"/>
    </xf>
    <xf numFmtId="2" fontId="7" fillId="22" borderId="35" xfId="0" applyNumberFormat="1" applyFont="1" applyFill="1" applyBorder="1" applyAlignment="1" applyProtection="1">
      <alignment horizontal="center" vertical="top" wrapText="1"/>
      <protection locked="0" hidden="1"/>
    </xf>
    <xf numFmtId="2" fontId="7" fillId="0" borderId="35" xfId="0" applyNumberFormat="1" applyFont="1" applyFill="1" applyBorder="1" applyAlignment="1" applyProtection="1">
      <alignment horizontal="center" vertical="top" wrapText="1"/>
      <protection locked="0" hidden="1"/>
    </xf>
    <xf numFmtId="175" fontId="0" fillId="0" borderId="35" xfId="0" applyNumberFormat="1" applyFill="1" applyBorder="1" applyAlignment="1" applyProtection="1">
      <alignment horizontal="right" vertical="top" wrapText="1"/>
      <protection locked="0" hidden="1"/>
    </xf>
    <xf numFmtId="2" fontId="7" fillId="0" borderId="35" xfId="0" applyNumberFormat="1" applyFont="1" applyBorder="1" applyAlignment="1" applyProtection="1">
      <alignment horizontal="center" vertical="top" wrapText="1"/>
      <protection locked="0" hidden="1"/>
    </xf>
    <xf numFmtId="0" fontId="14" fillId="0" borderId="35" xfId="0" applyFont="1" applyBorder="1" applyAlignment="1" applyProtection="1">
      <alignment horizontal="justify" vertical="justify" wrapText="1"/>
      <protection hidden="1"/>
    </xf>
    <xf numFmtId="2" fontId="7" fillId="0" borderId="250" xfId="0" applyNumberFormat="1" applyFont="1" applyBorder="1" applyAlignment="1" applyProtection="1">
      <alignment horizontal="center" vertical="top" wrapText="1"/>
      <protection locked="0" hidden="1"/>
    </xf>
    <xf numFmtId="166" fontId="0" fillId="0" borderId="230" xfId="1" applyNumberFormat="1" applyFont="1" applyBorder="1" applyAlignment="1" applyProtection="1">
      <alignment horizontal="right" vertical="top"/>
      <protection hidden="1"/>
    </xf>
    <xf numFmtId="0" fontId="60" fillId="0" borderId="35" xfId="0" applyFont="1" applyBorder="1"/>
    <xf numFmtId="0" fontId="8" fillId="0" borderId="35" xfId="0" applyFont="1" applyFill="1" applyBorder="1" applyAlignment="1" applyProtection="1">
      <alignment vertical="top" wrapText="1"/>
      <protection hidden="1"/>
    </xf>
    <xf numFmtId="4" fontId="24" fillId="0" borderId="35" xfId="0" applyNumberFormat="1" applyFont="1" applyFill="1" applyBorder="1" applyAlignment="1" applyProtection="1">
      <alignment horizontal="right" vertical="top" wrapText="1"/>
      <protection hidden="1"/>
    </xf>
    <xf numFmtId="0" fontId="0" fillId="24" borderId="237" xfId="0" applyFill="1" applyBorder="1" applyAlignment="1" applyProtection="1">
      <alignment horizontal="center" vertical="top" wrapText="1"/>
      <protection hidden="1"/>
    </xf>
    <xf numFmtId="2" fontId="0" fillId="0" borderId="35" xfId="0" applyNumberFormat="1" applyBorder="1" applyAlignment="1" applyProtection="1">
      <alignment horizontal="center" vertical="top" wrapText="1"/>
      <protection hidden="1"/>
    </xf>
    <xf numFmtId="0" fontId="24" fillId="0" borderId="35" xfId="0" applyFont="1" applyFill="1" applyBorder="1" applyAlignment="1" applyProtection="1">
      <alignment vertical="top"/>
      <protection locked="0"/>
    </xf>
    <xf numFmtId="0" fontId="14" fillId="0" borderId="35" xfId="0" applyFont="1" applyBorder="1" applyAlignment="1" applyProtection="1">
      <alignment vertical="top"/>
      <protection hidden="1"/>
    </xf>
    <xf numFmtId="0" fontId="0" fillId="0" borderId="35" xfId="0" applyBorder="1" applyAlignment="1" applyProtection="1">
      <alignment horizontal="right" vertical="top"/>
      <protection locked="0" hidden="1"/>
    </xf>
    <xf numFmtId="0" fontId="0" fillId="24" borderId="234" xfId="0" applyFill="1" applyBorder="1" applyAlignment="1" applyProtection="1">
      <alignment horizontal="center" vertical="top" wrapText="1"/>
      <protection hidden="1"/>
    </xf>
    <xf numFmtId="0" fontId="22" fillId="24" borderId="240" xfId="0" applyFont="1" applyFill="1" applyBorder="1" applyAlignment="1" applyProtection="1">
      <alignment vertical="top" wrapText="1"/>
      <protection hidden="1"/>
    </xf>
    <xf numFmtId="0" fontId="0" fillId="24" borderId="234" xfId="0" applyFill="1" applyBorder="1" applyAlignment="1" applyProtection="1">
      <alignment horizontal="right" vertical="top" wrapText="1"/>
      <protection locked="0" hidden="1"/>
    </xf>
    <xf numFmtId="167" fontId="0" fillId="24" borderId="234" xfId="1" applyNumberFormat="1" applyFont="1" applyFill="1" applyBorder="1" applyAlignment="1" applyProtection="1">
      <alignment horizontal="right" vertical="top"/>
      <protection hidden="1"/>
    </xf>
    <xf numFmtId="167" fontId="1" fillId="24" borderId="245" xfId="1" applyNumberFormat="1" applyFont="1" applyFill="1" applyBorder="1" applyAlignment="1" applyProtection="1">
      <alignment horizontal="right" vertical="top"/>
      <protection hidden="1"/>
    </xf>
    <xf numFmtId="167" fontId="0" fillId="0" borderId="35" xfId="1" applyNumberFormat="1" applyFont="1" applyBorder="1" applyAlignment="1" applyProtection="1">
      <alignment vertical="top"/>
      <protection hidden="1"/>
    </xf>
    <xf numFmtId="0" fontId="76" fillId="24" borderId="240" xfId="0" applyFont="1" applyFill="1" applyBorder="1" applyAlignment="1" applyProtection="1">
      <alignment vertical="top" wrapText="1"/>
      <protection hidden="1"/>
    </xf>
    <xf numFmtId="0" fontId="24" fillId="24" borderId="18" xfId="0" applyFont="1" applyFill="1" applyBorder="1" applyAlignment="1" applyProtection="1">
      <alignment vertical="top"/>
      <protection locked="0"/>
    </xf>
    <xf numFmtId="0" fontId="8" fillId="24" borderId="18" xfId="0" applyFont="1" applyFill="1" applyBorder="1" applyAlignment="1" applyProtection="1">
      <alignment vertical="top" wrapText="1"/>
      <protection hidden="1"/>
    </xf>
    <xf numFmtId="0" fontId="24" fillId="24" borderId="0" xfId="0" applyFont="1" applyFill="1" applyBorder="1" applyAlignment="1" applyProtection="1">
      <alignment vertical="top"/>
      <protection locked="0"/>
    </xf>
    <xf numFmtId="0" fontId="8" fillId="24" borderId="0" xfId="0" applyFont="1" applyFill="1" applyBorder="1" applyAlignment="1" applyProtection="1">
      <alignment vertical="top" wrapText="1"/>
      <protection hidden="1"/>
    </xf>
    <xf numFmtId="4" fontId="24" fillId="24" borderId="154" xfId="0" applyNumberFormat="1" applyFont="1" applyFill="1" applyBorder="1" applyAlignment="1" applyProtection="1">
      <alignment horizontal="right" vertical="top" wrapText="1"/>
      <protection hidden="1"/>
    </xf>
    <xf numFmtId="0" fontId="77" fillId="24" borderId="252" xfId="0" applyFont="1" applyFill="1" applyBorder="1" applyAlignment="1" applyProtection="1">
      <alignment horizontal="center" vertical="top" wrapText="1"/>
      <protection locked="0" hidden="1"/>
    </xf>
    <xf numFmtId="167" fontId="24" fillId="24" borderId="251" xfId="0" applyNumberFormat="1" applyFont="1" applyFill="1" applyBorder="1" applyAlignment="1" applyProtection="1">
      <alignment horizontal="right" vertical="top" wrapText="1"/>
      <protection hidden="1"/>
    </xf>
    <xf numFmtId="0" fontId="77" fillId="10" borderId="252" xfId="0" applyFont="1" applyFill="1" applyBorder="1" applyAlignment="1" applyProtection="1">
      <alignment horizontal="center" vertical="top" wrapText="1"/>
      <protection locked="0" hidden="1"/>
    </xf>
    <xf numFmtId="0" fontId="24" fillId="10" borderId="18" xfId="0" applyFont="1" applyFill="1" applyBorder="1" applyAlignment="1" applyProtection="1">
      <alignment vertical="top"/>
      <protection locked="0"/>
    </xf>
    <xf numFmtId="0" fontId="8" fillId="10" borderId="18" xfId="0" applyFont="1" applyFill="1" applyBorder="1" applyAlignment="1" applyProtection="1">
      <alignment vertical="top" wrapText="1"/>
      <protection hidden="1"/>
    </xf>
    <xf numFmtId="4" fontId="24" fillId="10" borderId="251" xfId="0" applyNumberFormat="1" applyFont="1" applyFill="1" applyBorder="1" applyAlignment="1" applyProtection="1">
      <alignment horizontal="right" vertical="top" wrapText="1"/>
      <protection hidden="1"/>
    </xf>
    <xf numFmtId="0" fontId="14" fillId="0" borderId="82" xfId="0" applyFont="1" applyFill="1" applyBorder="1" applyAlignment="1" applyProtection="1">
      <alignment vertical="top" wrapText="1"/>
      <protection hidden="1"/>
    </xf>
    <xf numFmtId="166" fontId="0" fillId="0" borderId="230" xfId="1" applyNumberFormat="1" applyFont="1" applyFill="1" applyBorder="1" applyAlignment="1" applyProtection="1">
      <alignment horizontal="right" vertical="top"/>
      <protection hidden="1"/>
    </xf>
    <xf numFmtId="1" fontId="0" fillId="0" borderId="35" xfId="0" applyNumberFormat="1" applyBorder="1" applyAlignment="1" applyProtection="1">
      <alignment horizontal="right" vertical="top"/>
      <protection locked="0" hidden="1"/>
    </xf>
    <xf numFmtId="166" fontId="0" fillId="0" borderId="35" xfId="1" applyNumberFormat="1" applyFont="1" applyBorder="1" applyAlignment="1" applyProtection="1">
      <alignment horizontal="right" vertical="top"/>
      <protection hidden="1"/>
    </xf>
    <xf numFmtId="0" fontId="14" fillId="0" borderId="35" xfId="0" applyFont="1" applyBorder="1" applyAlignment="1" applyProtection="1">
      <alignment horizontal="left" vertical="top" wrapText="1"/>
      <protection hidden="1"/>
    </xf>
    <xf numFmtId="0" fontId="0" fillId="0" borderId="0" xfId="0" applyBorder="1" applyAlignment="1" applyProtection="1">
      <alignment horizontal="right" vertical="top" wrapText="1"/>
      <protection locked="0" hidden="1"/>
    </xf>
    <xf numFmtId="0" fontId="14" fillId="21" borderId="0" xfId="0" applyFont="1" applyFill="1" applyBorder="1" applyAlignment="1" applyProtection="1">
      <alignment vertical="top" wrapText="1"/>
      <protection hidden="1"/>
    </xf>
    <xf numFmtId="167" fontId="80" fillId="0" borderId="0" xfId="1" applyNumberFormat="1" applyFont="1" applyFill="1" applyBorder="1" applyAlignment="1" applyProtection="1">
      <alignment horizontal="right" vertical="top"/>
      <protection hidden="1"/>
    </xf>
    <xf numFmtId="167" fontId="1" fillId="0" borderId="0" xfId="1" applyNumberFormat="1" applyFont="1" applyBorder="1" applyAlignment="1" applyProtection="1">
      <alignment horizontal="right" vertical="top"/>
      <protection hidden="1"/>
    </xf>
    <xf numFmtId="173" fontId="23" fillId="10" borderId="0" xfId="1" applyNumberFormat="1" applyFont="1" applyFill="1" applyBorder="1" applyAlignment="1" applyProtection="1">
      <alignment horizontal="right"/>
      <protection hidden="1"/>
    </xf>
    <xf numFmtId="167" fontId="0" fillId="17" borderId="0" xfId="1" applyNumberFormat="1" applyFont="1" applyFill="1" applyBorder="1" applyAlignment="1" applyProtection="1">
      <alignment horizontal="right" vertical="center"/>
      <protection hidden="1"/>
    </xf>
    <xf numFmtId="166" fontId="80" fillId="0" borderId="0" xfId="1" applyNumberFormat="1" applyFont="1" applyBorder="1" applyAlignment="1" applyProtection="1">
      <alignment horizontal="right" vertical="top"/>
      <protection hidden="1"/>
    </xf>
    <xf numFmtId="167" fontId="73" fillId="0" borderId="52" xfId="1" applyNumberFormat="1" applyFont="1" applyFill="1" applyBorder="1" applyAlignment="1" applyProtection="1">
      <alignment horizontal="right" vertical="top"/>
      <protection hidden="1"/>
    </xf>
    <xf numFmtId="167" fontId="73" fillId="0" borderId="52" xfId="1" applyNumberFormat="1" applyFont="1" applyBorder="1" applyAlignment="1" applyProtection="1">
      <alignment horizontal="right" vertical="top"/>
      <protection hidden="1"/>
    </xf>
    <xf numFmtId="0" fontId="75" fillId="0" borderId="0" xfId="0" applyFont="1" applyAlignment="1">
      <alignment horizontal="left"/>
    </xf>
    <xf numFmtId="4" fontId="0" fillId="17" borderId="52" xfId="0" applyNumberFormat="1" applyFill="1" applyBorder="1" applyAlignment="1" applyProtection="1">
      <alignment horizontal="right" vertical="top"/>
      <protection locked="0" hidden="1"/>
    </xf>
    <xf numFmtId="4" fontId="0" fillId="0" borderId="52" xfId="0" applyNumberFormat="1" applyBorder="1" applyAlignment="1" applyProtection="1">
      <alignment horizontal="right" vertical="top"/>
      <protection locked="0" hidden="1"/>
    </xf>
    <xf numFmtId="4" fontId="0" fillId="21" borderId="35" xfId="0" applyNumberFormat="1" applyFill="1" applyBorder="1" applyAlignment="1" applyProtection="1">
      <alignment horizontal="right" vertical="top"/>
      <protection locked="0" hidden="1"/>
    </xf>
    <xf numFmtId="4" fontId="0" fillId="0" borderId="35" xfId="0" applyNumberFormat="1" applyFill="1" applyBorder="1" applyAlignment="1" applyProtection="1">
      <alignment horizontal="right" vertical="top"/>
      <protection locked="0" hidden="1"/>
    </xf>
    <xf numFmtId="3" fontId="0" fillId="0" borderId="35" xfId="0" applyNumberFormat="1" applyFill="1" applyBorder="1" applyAlignment="1" applyProtection="1">
      <alignment horizontal="right" vertical="top"/>
      <protection locked="0" hidden="1"/>
    </xf>
    <xf numFmtId="0" fontId="67" fillId="37" borderId="257" xfId="7" applyBorder="1" applyAlignment="1">
      <alignment horizontal="center"/>
    </xf>
    <xf numFmtId="0" fontId="67" fillId="37" borderId="257" xfId="7" applyBorder="1"/>
    <xf numFmtId="44" fontId="67" fillId="37" borderId="257" xfId="2" applyFont="1" applyFill="1" applyBorder="1"/>
    <xf numFmtId="44" fontId="0" fillId="0" borderId="35" xfId="2" applyFont="1" applyBorder="1"/>
    <xf numFmtId="0" fontId="66" fillId="0" borderId="35" xfId="0" applyFont="1" applyBorder="1"/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44" fontId="0" fillId="0" borderId="0" xfId="2" applyFont="1"/>
    <xf numFmtId="0" fontId="86" fillId="0" borderId="35" xfId="0" applyFont="1" applyBorder="1"/>
    <xf numFmtId="0" fontId="86" fillId="0" borderId="35" xfId="0" applyFont="1" applyFill="1" applyBorder="1"/>
    <xf numFmtId="0" fontId="87" fillId="0" borderId="35" xfId="0" applyFont="1" applyFill="1" applyBorder="1"/>
    <xf numFmtId="0" fontId="0" fillId="0" borderId="35" xfId="0" applyBorder="1" applyAlignment="1">
      <alignment horizontal="left"/>
    </xf>
    <xf numFmtId="44" fontId="0" fillId="0" borderId="35" xfId="2" applyFont="1" applyBorder="1" applyAlignment="1">
      <alignment horizontal="center"/>
    </xf>
    <xf numFmtId="0" fontId="66" fillId="0" borderId="35" xfId="0" applyFont="1" applyBorder="1" applyAlignment="1">
      <alignment wrapText="1"/>
    </xf>
    <xf numFmtId="44" fontId="0" fillId="0" borderId="35" xfId="2" applyFont="1" applyBorder="1" applyAlignment="1">
      <alignment horizontal="right" vertical="center"/>
    </xf>
    <xf numFmtId="179" fontId="60" fillId="22" borderId="92" xfId="0" applyNumberFormat="1" applyFont="1" applyFill="1" applyBorder="1"/>
    <xf numFmtId="0" fontId="66" fillId="0" borderId="35" xfId="0" applyFont="1" applyFill="1" applyBorder="1"/>
    <xf numFmtId="0" fontId="0" fillId="2" borderId="0" xfId="0" applyFill="1" applyBorder="1" applyAlignment="1" applyProtection="1">
      <alignment horizontal="center" vertical="top" wrapText="1"/>
      <protection locked="0"/>
    </xf>
    <xf numFmtId="2" fontId="7" fillId="0" borderId="0" xfId="0" applyNumberFormat="1" applyFont="1" applyBorder="1" applyAlignment="1" applyProtection="1">
      <alignment horizontal="center" vertical="top" wrapText="1"/>
      <protection locked="0" hidden="1"/>
    </xf>
    <xf numFmtId="0" fontId="14" fillId="0" borderId="0" xfId="0" applyFont="1" applyBorder="1" applyAlignment="1" applyProtection="1">
      <alignment horizontal="justify" vertical="justify" wrapText="1"/>
      <protection hidden="1"/>
    </xf>
    <xf numFmtId="167" fontId="24" fillId="23" borderId="152" xfId="1" applyNumberFormat="1" applyFont="1" applyFill="1" applyBorder="1" applyAlignment="1" applyProtection="1">
      <alignment horizontal="right" vertical="top"/>
      <protection hidden="1"/>
    </xf>
    <xf numFmtId="167" fontId="24" fillId="23" borderId="58" xfId="1" applyNumberFormat="1" applyFont="1" applyFill="1" applyBorder="1" applyAlignment="1" applyProtection="1">
      <alignment horizontal="right" vertical="top"/>
      <protection hidden="1"/>
    </xf>
    <xf numFmtId="0" fontId="0" fillId="0" borderId="0" xfId="0"/>
    <xf numFmtId="1" fontId="8" fillId="0" borderId="250" xfId="0" applyNumberFormat="1" applyFont="1" applyBorder="1" applyAlignment="1" applyProtection="1">
      <alignment horizontal="center" vertical="top" wrapText="1"/>
      <protection locked="0" hidden="1"/>
    </xf>
    <xf numFmtId="179" fontId="60" fillId="0" borderId="0" xfId="0" applyNumberFormat="1" applyFont="1" applyFill="1" applyBorder="1"/>
    <xf numFmtId="181" fontId="0" fillId="0" borderId="35" xfId="2" applyNumberFormat="1" applyFont="1" applyBorder="1"/>
    <xf numFmtId="182" fontId="0" fillId="0" borderId="35" xfId="0" applyNumberFormat="1" applyBorder="1"/>
    <xf numFmtId="44" fontId="0" fillId="0" borderId="0" xfId="0" applyNumberFormat="1" applyProtection="1">
      <protection locked="0"/>
    </xf>
    <xf numFmtId="182" fontId="60" fillId="22" borderId="35" xfId="0" applyNumberFormat="1" applyFont="1" applyFill="1" applyBorder="1"/>
    <xf numFmtId="182" fontId="67" fillId="37" borderId="257" xfId="7" applyNumberFormat="1" applyBorder="1"/>
    <xf numFmtId="183" fontId="0" fillId="0" borderId="35" xfId="2" applyNumberFormat="1" applyFont="1" applyBorder="1"/>
    <xf numFmtId="183" fontId="60" fillId="22" borderId="35" xfId="2" applyNumberFormat="1" applyFont="1" applyFill="1" applyBorder="1"/>
    <xf numFmtId="183" fontId="67" fillId="37" borderId="257" xfId="2" applyNumberFormat="1" applyFont="1" applyFill="1" applyBorder="1"/>
    <xf numFmtId="183" fontId="0" fillId="0" borderId="35" xfId="2" applyNumberFormat="1" applyFont="1" applyBorder="1" applyAlignment="1">
      <alignment vertical="center"/>
    </xf>
    <xf numFmtId="167" fontId="24" fillId="38" borderId="58" xfId="1" applyNumberFormat="1" applyFont="1" applyFill="1" applyBorder="1" applyAlignment="1" applyProtection="1">
      <alignment horizontal="right" vertical="top"/>
      <protection hidden="1"/>
    </xf>
    <xf numFmtId="167" fontId="24" fillId="38" borderId="152" xfId="1" applyNumberFormat="1" applyFont="1" applyFill="1" applyBorder="1" applyAlignment="1" applyProtection="1">
      <alignment horizontal="right" vertical="top"/>
      <protection hidden="1"/>
    </xf>
    <xf numFmtId="178" fontId="24" fillId="38" borderId="58" xfId="1" applyNumberFormat="1" applyFont="1" applyFill="1" applyBorder="1" applyAlignment="1" applyProtection="1">
      <alignment horizontal="right" vertical="top"/>
      <protection hidden="1"/>
    </xf>
    <xf numFmtId="167" fontId="24" fillId="38" borderId="34" xfId="1" applyNumberFormat="1" applyFont="1" applyFill="1" applyBorder="1" applyAlignment="1" applyProtection="1">
      <alignment horizontal="right" vertical="top"/>
      <protection hidden="1"/>
    </xf>
    <xf numFmtId="0" fontId="75" fillId="0" borderId="0" xfId="0" applyFont="1" applyAlignment="1">
      <alignment horizontal="left"/>
    </xf>
    <xf numFmtId="0" fontId="0" fillId="0" borderId="0" xfId="0"/>
    <xf numFmtId="173" fontId="0" fillId="0" borderId="73" xfId="1" applyNumberFormat="1" applyFont="1" applyBorder="1" applyAlignment="1" applyProtection="1">
      <alignment vertical="top"/>
      <protection locked="0"/>
    </xf>
    <xf numFmtId="0" fontId="0" fillId="0" borderId="35" xfId="0" applyBorder="1" applyAlignment="1">
      <alignment horizontal="justify" vertical="center"/>
    </xf>
    <xf numFmtId="0" fontId="74" fillId="0" borderId="35" xfId="0" applyFont="1" applyBorder="1"/>
    <xf numFmtId="0" fontId="74" fillId="0" borderId="35" xfId="0" applyFont="1" applyBorder="1" applyAlignment="1">
      <alignment horizontal="center" vertical="center"/>
    </xf>
    <xf numFmtId="44" fontId="74" fillId="0" borderId="35" xfId="2" applyFont="1" applyBorder="1"/>
    <xf numFmtId="182" fontId="74" fillId="0" borderId="35" xfId="0" applyNumberFormat="1" applyFont="1" applyBorder="1"/>
    <xf numFmtId="0" fontId="89" fillId="37" borderId="257" xfId="7" applyFont="1" applyBorder="1"/>
    <xf numFmtId="44" fontId="89" fillId="37" borderId="257" xfId="2" applyFont="1" applyFill="1" applyBorder="1"/>
    <xf numFmtId="182" fontId="89" fillId="37" borderId="257" xfId="7" applyNumberFormat="1" applyFont="1" applyBorder="1"/>
    <xf numFmtId="183" fontId="74" fillId="0" borderId="35" xfId="2" applyNumberFormat="1" applyFont="1" applyBorder="1"/>
    <xf numFmtId="0" fontId="74" fillId="0" borderId="35" xfId="0" applyFont="1" applyFill="1" applyBorder="1"/>
    <xf numFmtId="0" fontId="70" fillId="0" borderId="35" xfId="0" applyFont="1" applyFill="1" applyBorder="1"/>
    <xf numFmtId="0" fontId="0" fillId="22" borderId="0" xfId="0" applyFill="1"/>
    <xf numFmtId="44" fontId="0" fillId="22" borderId="0" xfId="2" applyFont="1" applyFill="1"/>
    <xf numFmtId="179" fontId="60" fillId="22" borderId="0" xfId="0" applyNumberFormat="1" applyFont="1" applyFill="1" applyBorder="1"/>
    <xf numFmtId="0" fontId="74" fillId="0" borderId="35" xfId="0" applyFont="1" applyBorder="1" applyAlignment="1">
      <alignment wrapText="1"/>
    </xf>
    <xf numFmtId="0" fontId="47" fillId="17" borderId="247" xfId="0" applyFont="1" applyFill="1" applyBorder="1" applyAlignment="1" applyProtection="1">
      <alignment horizontal="justify" vertical="justify" wrapText="1"/>
      <protection hidden="1"/>
    </xf>
    <xf numFmtId="167" fontId="1" fillId="0" borderId="154" xfId="1" applyNumberFormat="1" applyFont="1" applyBorder="1" applyAlignment="1" applyProtection="1">
      <alignment horizontal="right" vertical="top"/>
      <protection hidden="1"/>
    </xf>
    <xf numFmtId="3" fontId="0" fillId="17" borderId="52" xfId="0" applyNumberFormat="1" applyFill="1" applyBorder="1" applyAlignment="1" applyProtection="1">
      <alignment horizontal="right" vertical="top"/>
      <protection locked="0" hidden="1"/>
    </xf>
    <xf numFmtId="167" fontId="0" fillId="17" borderId="52" xfId="0" applyNumberFormat="1" applyFill="1" applyBorder="1" applyAlignment="1" applyProtection="1">
      <alignment horizontal="right" vertical="top"/>
      <protection locked="0" hidden="1"/>
    </xf>
    <xf numFmtId="1" fontId="74" fillId="0" borderId="35" xfId="0" applyNumberFormat="1" applyFont="1" applyBorder="1" applyAlignment="1">
      <alignment horizontal="center" vertical="center"/>
    </xf>
    <xf numFmtId="167" fontId="24" fillId="25" borderId="57" xfId="1" applyNumberFormat="1" applyFont="1" applyFill="1" applyBorder="1" applyAlignment="1" applyProtection="1">
      <alignment horizontal="right" vertical="top"/>
      <protection hidden="1"/>
    </xf>
    <xf numFmtId="0" fontId="0" fillId="0" borderId="0" xfId="0" applyBorder="1" applyAlignment="1">
      <alignment vertical="top" wrapText="1"/>
    </xf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vertical="top"/>
    </xf>
    <xf numFmtId="0" fontId="0" fillId="17" borderId="136" xfId="0" applyFill="1" applyBorder="1" applyAlignment="1" applyProtection="1">
      <alignment horizontal="center" vertical="top" wrapText="1"/>
      <protection hidden="1"/>
    </xf>
    <xf numFmtId="0" fontId="0" fillId="17" borderId="136" xfId="0" applyFill="1" applyBorder="1" applyAlignment="1" applyProtection="1">
      <alignment horizontal="right" vertical="top" wrapText="1"/>
      <protection locked="0" hidden="1"/>
    </xf>
    <xf numFmtId="167" fontId="0" fillId="17" borderId="136" xfId="1" applyNumberFormat="1" applyFont="1" applyFill="1" applyBorder="1" applyAlignment="1" applyProtection="1">
      <alignment horizontal="right" vertical="top"/>
      <protection hidden="1"/>
    </xf>
    <xf numFmtId="0" fontId="0" fillId="24" borderId="0" xfId="0" applyFill="1" applyBorder="1"/>
    <xf numFmtId="44" fontId="0" fillId="24" borderId="0" xfId="2" applyFont="1" applyFill="1" applyBorder="1"/>
    <xf numFmtId="44" fontId="0" fillId="0" borderId="0" xfId="2" applyFont="1" applyBorder="1"/>
    <xf numFmtId="0" fontId="0" fillId="0" borderId="0" xfId="0" applyBorder="1" applyAlignment="1" applyProtection="1">
      <alignment vertical="top" wrapText="1"/>
      <protection hidden="1"/>
    </xf>
    <xf numFmtId="3" fontId="73" fillId="0" borderId="0" xfId="0" applyNumberFormat="1" applyFont="1" applyFill="1" applyBorder="1" applyAlignment="1" applyProtection="1">
      <alignment vertical="top" wrapText="1"/>
      <protection hidden="1"/>
    </xf>
    <xf numFmtId="44" fontId="0" fillId="0" borderId="0" xfId="0" applyNumberFormat="1" applyBorder="1" applyProtection="1">
      <protection locked="0"/>
    </xf>
    <xf numFmtId="180" fontId="0" fillId="0" borderId="0" xfId="0" applyNumberFormat="1" applyBorder="1" applyProtection="1">
      <protection locked="0"/>
    </xf>
    <xf numFmtId="0" fontId="8" fillId="7" borderId="187" xfId="0" applyFont="1" applyFill="1" applyBorder="1" applyAlignment="1" applyProtection="1">
      <alignment horizontal="center" vertical="center"/>
      <protection hidden="1"/>
    </xf>
    <xf numFmtId="0" fontId="8" fillId="7" borderId="183" xfId="0" applyFont="1" applyFill="1" applyBorder="1" applyAlignment="1" applyProtection="1">
      <alignment horizontal="center" vertical="center"/>
      <protection hidden="1"/>
    </xf>
    <xf numFmtId="167" fontId="8" fillId="7" borderId="186" xfId="1" applyNumberFormat="1" applyFont="1" applyFill="1" applyBorder="1" applyAlignment="1" applyProtection="1">
      <alignment horizontal="center" vertical="center" wrapText="1"/>
      <protection hidden="1"/>
    </xf>
    <xf numFmtId="0" fontId="0" fillId="0" borderId="153" xfId="0" applyBorder="1" applyAlignment="1">
      <alignment vertical="top"/>
    </xf>
    <xf numFmtId="43" fontId="0" fillId="0" borderId="154" xfId="1" applyFont="1" applyBorder="1" applyAlignment="1">
      <alignment vertical="top"/>
    </xf>
    <xf numFmtId="167" fontId="8" fillId="25" borderId="32" xfId="1" applyNumberFormat="1" applyFont="1" applyFill="1" applyBorder="1" applyAlignment="1" applyProtection="1">
      <alignment horizontal="left" vertical="top"/>
      <protection hidden="1"/>
    </xf>
    <xf numFmtId="0" fontId="14" fillId="10" borderId="56" xfId="0" applyFont="1" applyFill="1" applyBorder="1" applyAlignment="1" applyProtection="1">
      <alignment vertical="top" wrapText="1"/>
      <protection hidden="1"/>
    </xf>
    <xf numFmtId="0" fontId="7" fillId="0" borderId="175" xfId="0" applyFont="1" applyBorder="1" applyAlignment="1" applyProtection="1">
      <alignment horizontal="center" vertical="top"/>
      <protection locked="0" hidden="1"/>
    </xf>
    <xf numFmtId="167" fontId="0" fillId="0" borderId="188" xfId="1" applyNumberFormat="1" applyFont="1" applyBorder="1" applyAlignment="1" applyProtection="1">
      <alignment horizontal="right" vertical="top"/>
      <protection hidden="1"/>
    </xf>
    <xf numFmtId="0" fontId="7" fillId="0" borderId="175" xfId="0" applyFont="1" applyFill="1" applyBorder="1" applyAlignment="1" applyProtection="1">
      <alignment horizontal="center" vertical="top"/>
      <protection locked="0" hidden="1"/>
    </xf>
    <xf numFmtId="167" fontId="0" fillId="0" borderId="188" xfId="1" applyNumberFormat="1" applyFont="1" applyFill="1" applyBorder="1" applyAlignment="1" applyProtection="1">
      <alignment horizontal="right" vertical="top"/>
      <protection hidden="1"/>
    </xf>
    <xf numFmtId="0" fontId="0" fillId="0" borderId="153" xfId="0" applyBorder="1" applyAlignment="1" applyProtection="1">
      <alignment horizontal="center"/>
      <protection locked="0"/>
    </xf>
    <xf numFmtId="2" fontId="7" fillId="0" borderId="175" xfId="0" applyNumberFormat="1" applyFont="1" applyBorder="1" applyAlignment="1" applyProtection="1">
      <alignment horizontal="center" vertical="top"/>
      <protection locked="0" hidden="1"/>
    </xf>
    <xf numFmtId="167" fontId="0" fillId="0" borderId="188" xfId="1" applyNumberFormat="1" applyFont="1" applyBorder="1" applyAlignment="1" applyProtection="1">
      <alignment horizontal="right" vertical="center"/>
      <protection hidden="1"/>
    </xf>
    <xf numFmtId="2" fontId="7" fillId="0" borderId="175" xfId="0" applyNumberFormat="1" applyFont="1" applyFill="1" applyBorder="1" applyAlignment="1" applyProtection="1">
      <alignment horizontal="center" vertical="top"/>
      <protection locked="0" hidden="1"/>
    </xf>
    <xf numFmtId="175" fontId="7" fillId="0" borderId="175" xfId="0" applyNumberFormat="1" applyFont="1" applyBorder="1" applyAlignment="1" applyProtection="1">
      <alignment horizontal="center" vertical="top"/>
      <protection locked="0" hidden="1"/>
    </xf>
    <xf numFmtId="0" fontId="67" fillId="37" borderId="258" xfId="7" applyBorder="1" applyAlignment="1">
      <alignment horizontal="center"/>
    </xf>
    <xf numFmtId="0" fontId="67" fillId="37" borderId="259" xfId="7" applyBorder="1"/>
    <xf numFmtId="0" fontId="0" fillId="0" borderId="175" xfId="0" applyBorder="1" applyAlignment="1">
      <alignment horizontal="center" vertical="center"/>
    </xf>
    <xf numFmtId="182" fontId="74" fillId="0" borderId="188" xfId="0" applyNumberFormat="1" applyFont="1" applyBorder="1"/>
    <xf numFmtId="0" fontId="0" fillId="0" borderId="153" xfId="0" applyBorder="1" applyAlignment="1">
      <alignment horizontal="center" vertical="center"/>
    </xf>
    <xf numFmtId="182" fontId="0" fillId="0" borderId="188" xfId="0" applyNumberFormat="1" applyBorder="1"/>
    <xf numFmtId="183" fontId="0" fillId="0" borderId="188" xfId="2" applyNumberFormat="1" applyFont="1" applyBorder="1"/>
    <xf numFmtId="182" fontId="89" fillId="37" borderId="259" xfId="7" applyNumberFormat="1" applyFont="1" applyBorder="1"/>
    <xf numFmtId="183" fontId="74" fillId="0" borderId="188" xfId="2" applyNumberFormat="1" applyFont="1" applyBorder="1"/>
    <xf numFmtId="44" fontId="74" fillId="0" borderId="188" xfId="2" applyFont="1" applyBorder="1"/>
    <xf numFmtId="182" fontId="67" fillId="37" borderId="259" xfId="7" applyNumberFormat="1" applyBorder="1"/>
    <xf numFmtId="183" fontId="67" fillId="37" borderId="259" xfId="2" applyNumberFormat="1" applyFont="1" applyFill="1" applyBorder="1"/>
    <xf numFmtId="183" fontId="0" fillId="0" borderId="188" xfId="2" applyNumberFormat="1" applyFont="1" applyBorder="1" applyAlignment="1">
      <alignment vertical="center"/>
    </xf>
    <xf numFmtId="182" fontId="0" fillId="22" borderId="188" xfId="0" applyNumberFormat="1" applyFill="1" applyBorder="1"/>
    <xf numFmtId="0" fontId="0" fillId="24" borderId="153" xfId="0" applyFill="1" applyBorder="1"/>
    <xf numFmtId="179" fontId="60" fillId="24" borderId="154" xfId="0" applyNumberFormat="1" applyFont="1" applyFill="1" applyBorder="1"/>
    <xf numFmtId="0" fontId="0" fillId="0" borderId="175" xfId="0" applyBorder="1"/>
    <xf numFmtId="182" fontId="60" fillId="22" borderId="188" xfId="0" applyNumberFormat="1" applyFont="1" applyFill="1" applyBorder="1"/>
    <xf numFmtId="0" fontId="0" fillId="0" borderId="153" xfId="0" applyBorder="1"/>
    <xf numFmtId="179" fontId="60" fillId="0" borderId="154" xfId="0" applyNumberFormat="1" applyFont="1" applyFill="1" applyBorder="1"/>
    <xf numFmtId="2" fontId="7" fillId="0" borderId="175" xfId="0" applyNumberFormat="1" applyFont="1" applyBorder="1" applyAlignment="1" applyProtection="1">
      <alignment horizontal="center" vertical="top" wrapText="1"/>
      <protection locked="0" hidden="1"/>
    </xf>
    <xf numFmtId="2" fontId="7" fillId="0" borderId="153" xfId="0" applyNumberFormat="1" applyFont="1" applyBorder="1" applyAlignment="1" applyProtection="1">
      <alignment horizontal="center" vertical="top"/>
      <protection locked="0" hidden="1"/>
    </xf>
    <xf numFmtId="179" fontId="60" fillId="22" borderId="262" xfId="0" applyNumberFormat="1" applyFont="1" applyFill="1" applyBorder="1"/>
    <xf numFmtId="4" fontId="24" fillId="0" borderId="188" xfId="0" applyNumberFormat="1" applyFont="1" applyFill="1" applyBorder="1" applyAlignment="1" applyProtection="1">
      <alignment horizontal="right" vertical="top" wrapText="1"/>
      <protection hidden="1"/>
    </xf>
    <xf numFmtId="0" fontId="0" fillId="0" borderId="175" xfId="0" applyBorder="1" applyAlignment="1" applyProtection="1">
      <alignment horizontal="center" vertical="top" wrapText="1"/>
      <protection hidden="1"/>
    </xf>
    <xf numFmtId="0" fontId="0" fillId="0" borderId="51" xfId="0" applyBorder="1" applyAlignment="1" applyProtection="1">
      <alignment horizontal="center" vertical="top" wrapText="1"/>
      <protection hidden="1"/>
    </xf>
    <xf numFmtId="0" fontId="0" fillId="25" borderId="153" xfId="0" applyFill="1" applyBorder="1" applyProtection="1">
      <protection hidden="1"/>
    </xf>
    <xf numFmtId="0" fontId="0" fillId="0" borderId="196" xfId="0" applyBorder="1" applyAlignment="1" applyProtection="1">
      <alignment horizontal="center" vertical="top" wrapText="1"/>
      <protection hidden="1"/>
    </xf>
    <xf numFmtId="0" fontId="0" fillId="24" borderId="196" xfId="0" applyFill="1" applyBorder="1" applyAlignment="1" applyProtection="1">
      <alignment horizontal="center" vertical="top" wrapText="1"/>
      <protection hidden="1"/>
    </xf>
    <xf numFmtId="0" fontId="0" fillId="24" borderId="250" xfId="0" applyFill="1" applyBorder="1" applyAlignment="1" applyProtection="1">
      <alignment horizontal="center" vertical="top" wrapText="1"/>
      <protection hidden="1"/>
    </xf>
    <xf numFmtId="167" fontId="1" fillId="0" borderId="188" xfId="1" applyNumberFormat="1" applyFont="1" applyBorder="1" applyAlignment="1" applyProtection="1">
      <alignment horizontal="right" vertical="top"/>
      <protection hidden="1"/>
    </xf>
    <xf numFmtId="0" fontId="0" fillId="0" borderId="175" xfId="0" applyFill="1" applyBorder="1" applyAlignment="1" applyProtection="1">
      <alignment horizontal="center" vertical="top" wrapText="1"/>
      <protection hidden="1"/>
    </xf>
    <xf numFmtId="2" fontId="0" fillId="0" borderId="175" xfId="0" applyNumberFormat="1" applyBorder="1" applyAlignment="1" applyProtection="1">
      <alignment horizontal="center" vertical="top" wrapText="1"/>
      <protection hidden="1"/>
    </xf>
    <xf numFmtId="0" fontId="0" fillId="0" borderId="250" xfId="0" applyBorder="1" applyAlignment="1" applyProtection="1">
      <alignment horizontal="center" vertical="top" wrapText="1"/>
      <protection hidden="1"/>
    </xf>
    <xf numFmtId="0" fontId="60" fillId="24" borderId="250" xfId="0" applyFont="1" applyFill="1" applyBorder="1" applyAlignment="1" applyProtection="1">
      <alignment horizontal="center" vertical="top" wrapText="1"/>
      <protection hidden="1"/>
    </xf>
    <xf numFmtId="0" fontId="0" fillId="0" borderId="175" xfId="0" applyBorder="1" applyAlignment="1" applyProtection="1">
      <alignment horizontal="center" vertical="top"/>
      <protection hidden="1"/>
    </xf>
    <xf numFmtId="0" fontId="0" fillId="24" borderId="249" xfId="0" applyFill="1" applyBorder="1" applyAlignment="1" applyProtection="1">
      <alignment horizontal="center" vertical="top" wrapText="1"/>
      <protection hidden="1"/>
    </xf>
    <xf numFmtId="0" fontId="7" fillId="0" borderId="175" xfId="0" applyFont="1" applyBorder="1" applyAlignment="1" applyProtection="1">
      <alignment horizontal="center" vertical="top" wrapText="1"/>
      <protection locked="0" hidden="1"/>
    </xf>
    <xf numFmtId="0" fontId="0" fillId="0" borderId="51" xfId="0" applyFill="1" applyBorder="1" applyAlignment="1" applyProtection="1">
      <alignment horizontal="center" vertical="top" wrapText="1"/>
      <protection hidden="1"/>
    </xf>
    <xf numFmtId="0" fontId="0" fillId="0" borderId="153" xfId="0" applyFill="1" applyBorder="1" applyProtection="1">
      <protection hidden="1"/>
    </xf>
    <xf numFmtId="0" fontId="60" fillId="26" borderId="153" xfId="0" applyFont="1" applyFill="1" applyBorder="1" applyProtection="1">
      <protection hidden="1"/>
    </xf>
    <xf numFmtId="0" fontId="0" fillId="26" borderId="153" xfId="0" applyFill="1" applyBorder="1" applyProtection="1">
      <protection hidden="1"/>
    </xf>
    <xf numFmtId="0" fontId="0" fillId="25" borderId="189" xfId="0" applyFill="1" applyBorder="1" applyProtection="1">
      <protection hidden="1"/>
    </xf>
    <xf numFmtId="167" fontId="24" fillId="38" borderId="176" xfId="1" applyNumberFormat="1" applyFont="1" applyFill="1" applyBorder="1" applyAlignment="1" applyProtection="1">
      <alignment horizontal="right" vertical="top"/>
      <protection hidden="1"/>
    </xf>
    <xf numFmtId="166" fontId="80" fillId="0" borderId="188" xfId="1" applyNumberFormat="1" applyFont="1" applyBorder="1" applyAlignment="1" applyProtection="1">
      <alignment horizontal="right" vertical="top"/>
      <protection hidden="1"/>
    </xf>
    <xf numFmtId="166" fontId="0" fillId="0" borderId="188" xfId="1" applyNumberFormat="1" applyFont="1" applyBorder="1" applyAlignment="1" applyProtection="1">
      <alignment horizontal="right" vertical="top"/>
      <protection hidden="1"/>
    </xf>
    <xf numFmtId="0" fontId="0" fillId="0" borderId="153" xfId="0" applyBorder="1" applyProtection="1">
      <protection hidden="1"/>
    </xf>
    <xf numFmtId="0" fontId="0" fillId="0" borderId="150" xfId="0" applyBorder="1"/>
    <xf numFmtId="0" fontId="13" fillId="10" borderId="145" xfId="4" applyFont="1" applyFill="1" applyBorder="1" applyAlignment="1" applyProtection="1">
      <protection hidden="1"/>
    </xf>
    <xf numFmtId="0" fontId="0" fillId="10" borderId="57" xfId="0" applyFill="1" applyBorder="1" applyProtection="1">
      <protection hidden="1"/>
    </xf>
    <xf numFmtId="0" fontId="24" fillId="10" borderId="57" xfId="0" applyFont="1" applyFill="1" applyBorder="1" applyAlignment="1" applyProtection="1">
      <alignment horizontal="right"/>
      <protection hidden="1"/>
    </xf>
    <xf numFmtId="167" fontId="24" fillId="10" borderId="58" xfId="0" applyNumberFormat="1" applyFont="1" applyFill="1" applyBorder="1" applyAlignment="1" applyProtection="1">
      <alignment horizontal="right"/>
      <protection hidden="1"/>
    </xf>
    <xf numFmtId="0" fontId="14" fillId="0" borderId="52" xfId="0" applyFont="1" applyFill="1" applyBorder="1" applyAlignment="1" applyProtection="1">
      <alignment horizontal="left" vertical="top" wrapText="1"/>
      <protection hidden="1"/>
    </xf>
    <xf numFmtId="176" fontId="7" fillId="22" borderId="51" xfId="0" applyNumberFormat="1" applyFont="1" applyFill="1" applyBorder="1" applyAlignment="1" applyProtection="1">
      <alignment horizontal="center" vertical="top"/>
      <protection locked="0" hidden="1"/>
    </xf>
    <xf numFmtId="2" fontId="7" fillId="22" borderId="51" xfId="0" applyNumberFormat="1" applyFont="1" applyFill="1" applyBorder="1" applyAlignment="1" applyProtection="1">
      <alignment horizontal="center" vertical="top"/>
      <protection locked="0" hidden="1"/>
    </xf>
    <xf numFmtId="0" fontId="14" fillId="0" borderId="35" xfId="0" applyFont="1" applyFill="1" applyBorder="1" applyAlignment="1" applyProtection="1">
      <alignment vertical="top"/>
      <protection hidden="1"/>
    </xf>
    <xf numFmtId="3" fontId="0" fillId="0" borderId="136" xfId="0" applyNumberFormat="1" applyBorder="1" applyAlignment="1" applyProtection="1">
      <alignment horizontal="right" vertical="top" wrapText="1"/>
      <protection locked="0" hidden="1"/>
    </xf>
    <xf numFmtId="3" fontId="60" fillId="22" borderId="0" xfId="0" applyNumberFormat="1" applyFont="1" applyFill="1"/>
    <xf numFmtId="0" fontId="98" fillId="0" borderId="0" xfId="0" applyFont="1" applyBorder="1" applyAlignment="1" applyProtection="1">
      <alignment vertical="center"/>
      <protection locked="0"/>
    </xf>
    <xf numFmtId="0" fontId="98" fillId="0" borderId="0" xfId="0" applyFont="1" applyFill="1" applyAlignment="1" applyProtection="1">
      <alignment vertical="center"/>
      <protection locked="0"/>
    </xf>
    <xf numFmtId="0" fontId="99" fillId="0" borderId="0" xfId="0" applyFont="1" applyAlignment="1" applyProtection="1">
      <alignment vertical="center"/>
      <protection locked="0"/>
    </xf>
    <xf numFmtId="0" fontId="98" fillId="0" borderId="0" xfId="0" applyFont="1" applyAlignment="1" applyProtection="1">
      <alignment vertical="center"/>
      <protection locked="0"/>
    </xf>
    <xf numFmtId="44" fontId="99" fillId="0" borderId="0" xfId="2" applyFont="1" applyFill="1" applyBorder="1" applyAlignment="1" applyProtection="1">
      <alignment horizontal="right" vertical="center"/>
      <protection locked="0"/>
    </xf>
    <xf numFmtId="0" fontId="98" fillId="0" borderId="36" xfId="0" applyFont="1" applyFill="1" applyBorder="1" applyAlignment="1" applyProtection="1">
      <alignment horizontal="center" vertical="center"/>
      <protection locked="0"/>
    </xf>
    <xf numFmtId="0" fontId="99" fillId="0" borderId="0" xfId="0" applyFont="1" applyFill="1" applyBorder="1" applyAlignment="1" applyProtection="1">
      <alignment vertical="center"/>
      <protection locked="0"/>
    </xf>
    <xf numFmtId="0" fontId="98" fillId="2" borderId="44" xfId="0" applyFont="1" applyFill="1" applyBorder="1" applyAlignment="1" applyProtection="1">
      <alignment horizontal="center" vertical="center"/>
      <protection locked="0"/>
    </xf>
    <xf numFmtId="0" fontId="98" fillId="2" borderId="50" xfId="0" applyFont="1" applyFill="1" applyBorder="1" applyAlignment="1" applyProtection="1">
      <alignment horizontal="center" vertical="center"/>
      <protection locked="0"/>
    </xf>
    <xf numFmtId="167" fontId="98" fillId="0" borderId="0" xfId="0" applyNumberFormat="1" applyFont="1" applyAlignment="1" applyProtection="1">
      <alignment vertical="center"/>
      <protection locked="0"/>
    </xf>
    <xf numFmtId="43" fontId="98" fillId="0" borderId="0" xfId="0" applyNumberFormat="1" applyFont="1" applyAlignment="1" applyProtection="1">
      <alignment vertical="center"/>
      <protection locked="0"/>
    </xf>
    <xf numFmtId="0" fontId="98" fillId="2" borderId="69" xfId="0" applyFont="1" applyFill="1" applyBorder="1" applyAlignment="1" applyProtection="1">
      <alignment horizontal="center" vertical="center" wrapText="1"/>
      <protection locked="0"/>
    </xf>
    <xf numFmtId="0" fontId="98" fillId="2" borderId="66" xfId="0" applyFont="1" applyFill="1" applyBorder="1" applyAlignment="1" applyProtection="1">
      <alignment horizontal="center" vertical="center" wrapText="1"/>
      <protection locked="0"/>
    </xf>
    <xf numFmtId="0" fontId="98" fillId="0" borderId="53" xfId="0" applyFont="1" applyFill="1" applyBorder="1" applyAlignment="1" applyProtection="1">
      <alignment horizontal="center" vertical="center"/>
      <protection locked="0"/>
    </xf>
    <xf numFmtId="0" fontId="98" fillId="2" borderId="63" xfId="0" applyFont="1" applyFill="1" applyBorder="1" applyAlignment="1" applyProtection="1">
      <alignment horizontal="center" vertical="center" wrapText="1"/>
      <protection locked="0"/>
    </xf>
    <xf numFmtId="0" fontId="98" fillId="2" borderId="178" xfId="0" applyFont="1" applyFill="1" applyBorder="1" applyAlignment="1" applyProtection="1">
      <alignment horizontal="center" vertical="center" wrapText="1"/>
      <protection locked="0"/>
    </xf>
    <xf numFmtId="0" fontId="98" fillId="0" borderId="178" xfId="0" applyFont="1" applyFill="1" applyBorder="1" applyAlignment="1" applyProtection="1">
      <alignment horizontal="center" vertical="center" wrapText="1"/>
      <protection locked="0"/>
    </xf>
    <xf numFmtId="0" fontId="99" fillId="0" borderId="0" xfId="0" applyFont="1" applyFill="1" applyAlignment="1" applyProtection="1">
      <alignment vertical="center"/>
      <protection locked="0"/>
    </xf>
    <xf numFmtId="0" fontId="98" fillId="2" borderId="55" xfId="0" applyFont="1" applyFill="1" applyBorder="1" applyAlignment="1" applyProtection="1">
      <alignment horizontal="center" vertical="center"/>
      <protection locked="0"/>
    </xf>
    <xf numFmtId="0" fontId="45" fillId="10" borderId="35" xfId="0" applyFont="1" applyFill="1" applyBorder="1" applyAlignment="1" applyProtection="1">
      <alignment vertical="center" wrapText="1"/>
      <protection locked="0"/>
    </xf>
    <xf numFmtId="43" fontId="98" fillId="0" borderId="0" xfId="0" applyNumberFormat="1" applyFont="1" applyFill="1" applyAlignment="1" applyProtection="1">
      <alignment vertical="center"/>
      <protection locked="0"/>
    </xf>
    <xf numFmtId="0" fontId="99" fillId="0" borderId="0" xfId="0" applyFont="1" applyBorder="1" applyAlignment="1" applyProtection="1">
      <alignment vertical="center"/>
      <protection locked="0"/>
    </xf>
    <xf numFmtId="0" fontId="98" fillId="2" borderId="0" xfId="0" applyFont="1" applyFill="1" applyBorder="1" applyAlignment="1" applyProtection="1">
      <alignment horizontal="center" vertical="center" wrapText="1"/>
      <protection locked="0"/>
    </xf>
    <xf numFmtId="0" fontId="45" fillId="24" borderId="35" xfId="0" applyFont="1" applyFill="1" applyBorder="1" applyAlignment="1" applyProtection="1">
      <alignment vertical="center" wrapText="1"/>
      <protection locked="0"/>
    </xf>
    <xf numFmtId="44" fontId="98" fillId="0" borderId="0" xfId="2" applyFont="1" applyBorder="1" applyAlignment="1" applyProtection="1">
      <alignment horizontal="right" vertical="center" wrapText="1"/>
      <protection locked="0"/>
    </xf>
    <xf numFmtId="44" fontId="98" fillId="0" borderId="154" xfId="2" applyFont="1" applyBorder="1" applyAlignment="1" applyProtection="1">
      <alignment vertical="center" wrapText="1"/>
      <protection locked="0"/>
    </xf>
    <xf numFmtId="44" fontId="99" fillId="0" borderId="0" xfId="2" applyFont="1" applyFill="1" applyBorder="1" applyAlignment="1" applyProtection="1">
      <alignment horizontal="right" vertical="center" wrapText="1"/>
      <protection locked="0"/>
    </xf>
    <xf numFmtId="0" fontId="66" fillId="0" borderId="0" xfId="0" applyFont="1" applyBorder="1" applyProtection="1">
      <protection locked="0"/>
    </xf>
    <xf numFmtId="166" fontId="66" fillId="0" borderId="154" xfId="0" applyNumberFormat="1" applyFont="1" applyBorder="1" applyProtection="1">
      <protection locked="0"/>
    </xf>
    <xf numFmtId="44" fontId="98" fillId="0" borderId="35" xfId="2" applyFont="1" applyBorder="1" applyAlignment="1" applyProtection="1">
      <alignment horizontal="right" vertical="center"/>
      <protection locked="0"/>
    </xf>
    <xf numFmtId="44" fontId="98" fillId="0" borderId="35" xfId="2" applyFont="1" applyBorder="1" applyAlignment="1" applyProtection="1">
      <alignment vertical="center"/>
      <protection locked="0"/>
    </xf>
    <xf numFmtId="44" fontId="98" fillId="0" borderId="35" xfId="2" applyFont="1" applyFill="1" applyBorder="1" applyAlignment="1" applyProtection="1">
      <alignment horizontal="right" vertical="center"/>
      <protection locked="0"/>
    </xf>
    <xf numFmtId="0" fontId="23" fillId="10" borderId="13" xfId="0" applyFont="1" applyFill="1" applyBorder="1" applyAlignment="1" applyProtection="1">
      <alignment horizontal="left" vertical="top" wrapText="1"/>
      <protection hidden="1"/>
    </xf>
    <xf numFmtId="0" fontId="23" fillId="10" borderId="14" xfId="0" applyFont="1" applyFill="1" applyBorder="1" applyAlignment="1" applyProtection="1">
      <alignment horizontal="left" vertical="top" wrapText="1"/>
      <protection hidden="1"/>
    </xf>
    <xf numFmtId="0" fontId="23" fillId="10" borderId="103" xfId="0" applyFont="1" applyFill="1" applyBorder="1" applyAlignment="1" applyProtection="1">
      <alignment horizontal="left" vertical="top" wrapText="1"/>
      <protection hidden="1"/>
    </xf>
    <xf numFmtId="0" fontId="23" fillId="10" borderId="81" xfId="0" applyFont="1" applyFill="1" applyBorder="1" applyAlignment="1" applyProtection="1">
      <alignment horizontal="left" vertical="top" wrapText="1"/>
      <protection hidden="1"/>
    </xf>
    <xf numFmtId="0" fontId="0" fillId="0" borderId="97" xfId="0" applyBorder="1" applyAlignment="1">
      <alignment horizontal="left" vertical="top" wrapText="1"/>
    </xf>
    <xf numFmtId="0" fontId="0" fillId="0" borderId="23" xfId="0" applyBorder="1" applyAlignment="1">
      <alignment horizontal="left" vertical="top" wrapText="1"/>
    </xf>
    <xf numFmtId="0" fontId="0" fillId="0" borderId="79" xfId="0" applyBorder="1" applyAlignment="1">
      <alignment horizontal="left" vertical="top" wrapText="1"/>
    </xf>
    <xf numFmtId="0" fontId="0" fillId="0" borderId="98" xfId="0" applyBorder="1" applyAlignment="1">
      <alignment horizontal="left" vertical="top" wrapText="1"/>
    </xf>
    <xf numFmtId="0" fontId="0" fillId="0" borderId="28" xfId="0" applyBorder="1" applyAlignment="1">
      <alignment horizontal="left" vertical="top" wrapText="1"/>
    </xf>
    <xf numFmtId="0" fontId="0" fillId="0" borderId="29" xfId="0" applyBorder="1" applyAlignment="1">
      <alignment horizontal="left" vertical="top" wrapText="1"/>
    </xf>
    <xf numFmtId="169" fontId="14" fillId="0" borderId="27" xfId="0" applyNumberFormat="1" applyFont="1" applyBorder="1" applyAlignment="1">
      <alignment horizontal="center" vertical="center"/>
    </xf>
    <xf numFmtId="169" fontId="14" fillId="0" borderId="99" xfId="0" applyNumberFormat="1" applyFont="1" applyBorder="1" applyAlignment="1">
      <alignment horizontal="center" vertical="center"/>
    </xf>
    <xf numFmtId="0" fontId="6" fillId="15" borderId="0" xfId="0" applyFont="1" applyFill="1" applyAlignment="1">
      <alignment horizontal="right" vertical="center" wrapText="1"/>
    </xf>
    <xf numFmtId="0" fontId="6" fillId="15" borderId="0" xfId="0" applyFont="1" applyFill="1" applyAlignment="1">
      <alignment horizontal="right" vertical="center"/>
    </xf>
    <xf numFmtId="0" fontId="7" fillId="4" borderId="0" xfId="0" applyFont="1" applyFill="1" applyBorder="1" applyAlignment="1">
      <alignment horizontal="right" vertical="center"/>
    </xf>
    <xf numFmtId="0" fontId="7" fillId="4" borderId="18" xfId="0" applyFont="1" applyFill="1" applyBorder="1" applyAlignment="1">
      <alignment horizontal="right" vertical="center"/>
    </xf>
    <xf numFmtId="166" fontId="23" fillId="4" borderId="79" xfId="1" applyNumberFormat="1" applyFont="1" applyFill="1" applyBorder="1" applyAlignment="1">
      <alignment horizontal="center" vertical="center"/>
    </xf>
    <xf numFmtId="166" fontId="23" fillId="4" borderId="90" xfId="1" applyNumberFormat="1" applyFont="1" applyFill="1" applyBorder="1" applyAlignment="1">
      <alignment horizontal="center" vertical="center"/>
    </xf>
    <xf numFmtId="0" fontId="29" fillId="2" borderId="22" xfId="0" applyFont="1" applyFill="1" applyBorder="1" applyAlignment="1">
      <alignment horizontal="center" vertical="center" wrapText="1"/>
    </xf>
    <xf numFmtId="0" fontId="29" fillId="2" borderId="78" xfId="0" applyFont="1" applyFill="1" applyBorder="1" applyAlignment="1">
      <alignment horizontal="center" vertical="center" wrapText="1"/>
    </xf>
    <xf numFmtId="166" fontId="30" fillId="2" borderId="93" xfId="1" applyNumberFormat="1" applyFont="1" applyFill="1" applyBorder="1" applyAlignment="1" applyProtection="1">
      <alignment horizontal="center" vertical="center"/>
      <protection locked="0"/>
    </xf>
    <xf numFmtId="166" fontId="30" fillId="2" borderId="94" xfId="1" applyNumberFormat="1" applyFont="1" applyFill="1" applyBorder="1" applyAlignment="1" applyProtection="1">
      <alignment horizontal="center" vertical="center"/>
      <protection locked="0"/>
    </xf>
    <xf numFmtId="167" fontId="13" fillId="4" borderId="0" xfId="4" applyNumberFormat="1" applyFill="1" applyBorder="1" applyAlignment="1" applyProtection="1">
      <alignment horizontal="center" vertical="top"/>
    </xf>
    <xf numFmtId="0" fontId="20" fillId="0" borderId="13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0" borderId="15" xfId="0" applyFont="1" applyFill="1" applyBorder="1" applyAlignment="1">
      <alignment horizontal="center" vertical="center" wrapText="1"/>
    </xf>
    <xf numFmtId="0" fontId="20" fillId="0" borderId="14" xfId="0" applyFont="1" applyFill="1" applyBorder="1" applyAlignment="1">
      <alignment horizontal="center" vertical="center" wrapText="1"/>
    </xf>
    <xf numFmtId="0" fontId="20" fillId="0" borderId="16" xfId="0" applyFont="1" applyFill="1" applyBorder="1" applyAlignment="1">
      <alignment horizontal="center" vertical="center" wrapText="1"/>
    </xf>
    <xf numFmtId="0" fontId="20" fillId="0" borderId="19" xfId="0" applyFont="1" applyFill="1" applyBorder="1" applyAlignment="1">
      <alignment horizontal="center" vertical="center" wrapText="1"/>
    </xf>
    <xf numFmtId="0" fontId="20" fillId="0" borderId="18" xfId="0" applyFont="1" applyFill="1" applyBorder="1" applyAlignment="1">
      <alignment horizontal="center" vertical="center" wrapText="1"/>
    </xf>
    <xf numFmtId="0" fontId="20" fillId="0" borderId="20" xfId="0" applyFont="1" applyFill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/>
    </xf>
    <xf numFmtId="0" fontId="20" fillId="0" borderId="18" xfId="0" applyFont="1" applyBorder="1" applyAlignment="1">
      <alignment horizontal="center" vertical="center"/>
    </xf>
    <xf numFmtId="167" fontId="3" fillId="4" borderId="0" xfId="0" applyNumberFormat="1" applyFont="1" applyFill="1" applyBorder="1" applyAlignment="1">
      <alignment horizontal="center"/>
    </xf>
    <xf numFmtId="0" fontId="20" fillId="0" borderId="142" xfId="0" applyFont="1" applyBorder="1" applyAlignment="1">
      <alignment horizontal="center" vertical="center"/>
    </xf>
    <xf numFmtId="0" fontId="20" fillId="0" borderId="14" xfId="0" applyFont="1" applyFill="1" applyBorder="1" applyAlignment="1">
      <alignment horizontal="center" vertical="center"/>
    </xf>
    <xf numFmtId="0" fontId="20" fillId="0" borderId="16" xfId="0" applyFont="1" applyFill="1" applyBorder="1" applyAlignment="1">
      <alignment horizontal="center" vertical="center"/>
    </xf>
    <xf numFmtId="0" fontId="20" fillId="0" borderId="18" xfId="0" applyFont="1" applyFill="1" applyBorder="1" applyAlignment="1">
      <alignment horizontal="center" vertical="center"/>
    </xf>
    <xf numFmtId="0" fontId="20" fillId="0" borderId="20" xfId="0" applyFont="1" applyFill="1" applyBorder="1" applyAlignment="1">
      <alignment horizontal="center" vertical="center"/>
    </xf>
    <xf numFmtId="0" fontId="20" fillId="0" borderId="108" xfId="0" applyFont="1" applyBorder="1" applyAlignment="1">
      <alignment horizontal="center" vertical="center"/>
    </xf>
    <xf numFmtId="0" fontId="20" fillId="0" borderId="79" xfId="0" applyFont="1" applyBorder="1" applyAlignment="1">
      <alignment horizontal="center" vertical="center"/>
    </xf>
    <xf numFmtId="0" fontId="40" fillId="0" borderId="97" xfId="0" applyFont="1" applyBorder="1" applyAlignment="1">
      <alignment vertical="top" wrapText="1"/>
    </xf>
    <xf numFmtId="0" fontId="40" fillId="0" borderId="23" xfId="0" applyFont="1" applyBorder="1" applyAlignment="1">
      <alignment vertical="top" wrapText="1"/>
    </xf>
    <xf numFmtId="0" fontId="40" fillId="0" borderId="24" xfId="0" applyFont="1" applyBorder="1" applyAlignment="1">
      <alignment vertical="top" wrapText="1"/>
    </xf>
    <xf numFmtId="0" fontId="40" fillId="0" borderId="98" xfId="0" applyFont="1" applyBorder="1" applyAlignment="1">
      <alignment vertical="top" wrapText="1"/>
    </xf>
    <xf numFmtId="0" fontId="40" fillId="0" borderId="28" xfId="0" applyFont="1" applyBorder="1" applyAlignment="1">
      <alignment vertical="top" wrapText="1"/>
    </xf>
    <xf numFmtId="0" fontId="40" fillId="0" borderId="29" xfId="0" applyFont="1" applyBorder="1" applyAlignment="1">
      <alignment vertical="top" wrapText="1"/>
    </xf>
    <xf numFmtId="43" fontId="3" fillId="0" borderId="30" xfId="1" applyFont="1" applyFill="1" applyBorder="1" applyAlignment="1">
      <alignment horizontal="center" vertical="top"/>
    </xf>
    <xf numFmtId="43" fontId="3" fillId="0" borderId="31" xfId="1" applyFont="1" applyFill="1" applyBorder="1" applyAlignment="1">
      <alignment horizontal="center" vertical="top"/>
    </xf>
    <xf numFmtId="0" fontId="20" fillId="0" borderId="78" xfId="1" applyNumberFormat="1" applyFont="1" applyFill="1" applyBorder="1" applyAlignment="1" applyProtection="1">
      <alignment horizontal="center" vertical="center"/>
      <protection locked="0" hidden="1"/>
    </xf>
    <xf numFmtId="0" fontId="20" fillId="0" borderId="0" xfId="1" applyNumberFormat="1" applyFont="1" applyFill="1" applyBorder="1" applyAlignment="1" applyProtection="1">
      <alignment horizontal="center" vertical="center"/>
      <protection locked="0" hidden="1"/>
    </xf>
    <xf numFmtId="0" fontId="20" fillId="0" borderId="79" xfId="1" applyNumberFormat="1" applyFont="1" applyFill="1" applyBorder="1" applyAlignment="1" applyProtection="1">
      <alignment horizontal="center" vertical="center"/>
      <protection locked="0" hidden="1"/>
    </xf>
    <xf numFmtId="3" fontId="7" fillId="0" borderId="78" xfId="1" applyNumberFormat="1" applyFont="1" applyFill="1" applyBorder="1" applyAlignment="1" applyProtection="1">
      <alignment horizontal="left" vertical="center"/>
      <protection hidden="1"/>
    </xf>
    <xf numFmtId="3" fontId="7" fillId="0" borderId="0" xfId="1" applyNumberFormat="1" applyFont="1" applyFill="1" applyBorder="1" applyAlignment="1" applyProtection="1">
      <alignment horizontal="left" vertical="center"/>
      <protection hidden="1"/>
    </xf>
    <xf numFmtId="3" fontId="7" fillId="0" borderId="79" xfId="1" applyNumberFormat="1" applyFont="1" applyFill="1" applyBorder="1" applyAlignment="1" applyProtection="1">
      <alignment horizontal="left" vertical="center"/>
      <protection hidden="1"/>
    </xf>
    <xf numFmtId="167" fontId="7" fillId="0" borderId="19" xfId="1" applyNumberFormat="1" applyFont="1" applyFill="1" applyBorder="1" applyAlignment="1" applyProtection="1">
      <alignment horizontal="center" vertical="center"/>
      <protection hidden="1"/>
    </xf>
    <xf numFmtId="167" fontId="7" fillId="0" borderId="18" xfId="1" applyNumberFormat="1" applyFont="1" applyFill="1" applyBorder="1" applyAlignment="1" applyProtection="1">
      <alignment horizontal="center" vertical="center"/>
      <protection hidden="1"/>
    </xf>
    <xf numFmtId="167" fontId="7" fillId="0" borderId="90" xfId="1" applyNumberFormat="1" applyFont="1" applyFill="1" applyBorder="1" applyAlignment="1" applyProtection="1">
      <alignment horizontal="center" vertical="center"/>
      <protection hidden="1"/>
    </xf>
    <xf numFmtId="167" fontId="7" fillId="0" borderId="19" xfId="1" applyNumberFormat="1" applyFont="1" applyFill="1" applyBorder="1" applyAlignment="1" applyProtection="1">
      <alignment horizontal="left" vertical="center"/>
      <protection hidden="1"/>
    </xf>
    <xf numFmtId="167" fontId="7" fillId="0" borderId="18" xfId="1" applyNumberFormat="1" applyFont="1" applyFill="1" applyBorder="1" applyAlignment="1" applyProtection="1">
      <alignment horizontal="left" vertical="center"/>
      <protection hidden="1"/>
    </xf>
    <xf numFmtId="167" fontId="7" fillId="0" borderId="90" xfId="1" applyNumberFormat="1" applyFont="1" applyFill="1" applyBorder="1" applyAlignment="1" applyProtection="1">
      <alignment horizontal="left" vertical="center"/>
      <protection hidden="1"/>
    </xf>
    <xf numFmtId="167" fontId="7" fillId="0" borderId="22" xfId="1" applyNumberFormat="1" applyFont="1" applyFill="1" applyBorder="1" applyAlignment="1" applyProtection="1">
      <alignment horizontal="center"/>
      <protection hidden="1"/>
    </xf>
    <xf numFmtId="167" fontId="7" fillId="0" borderId="23" xfId="1" applyNumberFormat="1" applyFont="1" applyFill="1" applyBorder="1" applyAlignment="1" applyProtection="1">
      <alignment horizontal="center"/>
      <protection hidden="1"/>
    </xf>
    <xf numFmtId="167" fontId="7" fillId="0" borderId="24" xfId="1" applyNumberFormat="1" applyFont="1" applyFill="1" applyBorder="1" applyAlignment="1" applyProtection="1">
      <alignment horizontal="center"/>
      <protection hidden="1"/>
    </xf>
    <xf numFmtId="167" fontId="7" fillId="0" borderId="78" xfId="1" applyNumberFormat="1" applyFont="1" applyFill="1" applyBorder="1" applyAlignment="1" applyProtection="1">
      <alignment horizontal="center"/>
      <protection hidden="1"/>
    </xf>
    <xf numFmtId="167" fontId="7" fillId="0" borderId="0" xfId="1" applyNumberFormat="1" applyFont="1" applyFill="1" applyBorder="1" applyAlignment="1" applyProtection="1">
      <alignment horizontal="center"/>
      <protection hidden="1"/>
    </xf>
    <xf numFmtId="167" fontId="7" fillId="0" borderId="79" xfId="1" applyNumberFormat="1" applyFont="1" applyFill="1" applyBorder="1" applyAlignment="1" applyProtection="1">
      <alignment horizontal="center"/>
      <protection hidden="1"/>
    </xf>
    <xf numFmtId="167" fontId="7" fillId="0" borderId="19" xfId="1" applyNumberFormat="1" applyFont="1" applyFill="1" applyBorder="1" applyAlignment="1" applyProtection="1">
      <alignment horizontal="center"/>
      <protection hidden="1"/>
    </xf>
    <xf numFmtId="167" fontId="7" fillId="0" borderId="18" xfId="1" applyNumberFormat="1" applyFont="1" applyFill="1" applyBorder="1" applyAlignment="1" applyProtection="1">
      <alignment horizontal="center"/>
      <protection hidden="1"/>
    </xf>
    <xf numFmtId="167" fontId="7" fillId="0" borderId="90" xfId="1" applyNumberFormat="1" applyFont="1" applyFill="1" applyBorder="1" applyAlignment="1" applyProtection="1">
      <alignment horizontal="center"/>
      <protection hidden="1"/>
    </xf>
    <xf numFmtId="10" fontId="44" fillId="0" borderId="56" xfId="3" applyNumberFormat="1" applyFont="1" applyBorder="1" applyAlignment="1" applyProtection="1">
      <alignment horizontal="right" vertical="top" wrapText="1"/>
      <protection hidden="1"/>
    </xf>
    <xf numFmtId="10" fontId="44" fillId="0" borderId="57" xfId="3" applyNumberFormat="1" applyFont="1" applyBorder="1" applyAlignment="1" applyProtection="1">
      <alignment horizontal="right" vertical="top" wrapText="1"/>
      <protection hidden="1"/>
    </xf>
    <xf numFmtId="10" fontId="44" fillId="0" borderId="58" xfId="3" applyNumberFormat="1" applyFont="1" applyBorder="1" applyAlignment="1" applyProtection="1">
      <alignment horizontal="right" vertical="top" wrapText="1"/>
      <protection hidden="1"/>
    </xf>
    <xf numFmtId="0" fontId="17" fillId="0" borderId="22" xfId="0" applyFont="1" applyFill="1" applyBorder="1" applyAlignment="1" applyProtection="1">
      <alignment horizontal="center"/>
      <protection hidden="1"/>
    </xf>
    <xf numFmtId="0" fontId="17" fillId="0" borderId="24" xfId="0" applyFont="1" applyFill="1" applyBorder="1" applyAlignment="1" applyProtection="1">
      <alignment horizontal="center"/>
      <protection hidden="1"/>
    </xf>
    <xf numFmtId="0" fontId="17" fillId="0" borderId="78" xfId="0" applyFont="1" applyFill="1" applyBorder="1" applyAlignment="1" applyProtection="1">
      <alignment horizontal="center"/>
      <protection hidden="1"/>
    </xf>
    <xf numFmtId="0" fontId="17" fillId="0" borderId="79" xfId="0" applyFont="1" applyFill="1" applyBorder="1" applyAlignment="1" applyProtection="1">
      <alignment horizontal="center"/>
      <protection hidden="1"/>
    </xf>
    <xf numFmtId="0" fontId="17" fillId="0" borderId="19" xfId="0" applyFont="1" applyFill="1" applyBorder="1" applyAlignment="1" applyProtection="1">
      <alignment horizontal="center"/>
      <protection hidden="1"/>
    </xf>
    <xf numFmtId="0" fontId="17" fillId="0" borderId="90" xfId="0" applyFont="1" applyFill="1" applyBorder="1" applyAlignment="1" applyProtection="1">
      <alignment horizontal="center"/>
      <protection hidden="1"/>
    </xf>
    <xf numFmtId="167" fontId="7" fillId="0" borderId="22" xfId="1" applyNumberFormat="1" applyFont="1" applyFill="1" applyBorder="1" applyAlignment="1" applyProtection="1">
      <alignment horizontal="center" vertical="center"/>
      <protection hidden="1"/>
    </xf>
    <xf numFmtId="167" fontId="7" fillId="0" borderId="23" xfId="1" applyNumberFormat="1" applyFont="1" applyFill="1" applyBorder="1" applyAlignment="1" applyProtection="1">
      <alignment horizontal="center" vertical="center"/>
      <protection hidden="1"/>
    </xf>
    <xf numFmtId="167" fontId="7" fillId="0" borderId="24" xfId="1" applyNumberFormat="1" applyFont="1" applyFill="1" applyBorder="1" applyAlignment="1" applyProtection="1">
      <alignment horizontal="center" vertical="center"/>
      <protection hidden="1"/>
    </xf>
    <xf numFmtId="0" fontId="7" fillId="0" borderId="22" xfId="0" applyFont="1" applyFill="1" applyBorder="1" applyAlignment="1" applyProtection="1">
      <alignment horizontal="left" vertical="center"/>
      <protection hidden="1"/>
    </xf>
    <xf numFmtId="0" fontId="7" fillId="0" borderId="23" xfId="0" applyFont="1" applyFill="1" applyBorder="1" applyAlignment="1" applyProtection="1">
      <alignment horizontal="left" vertical="center"/>
      <protection hidden="1"/>
    </xf>
    <xf numFmtId="0" fontId="7" fillId="0" borderId="24" xfId="0" applyFont="1" applyFill="1" applyBorder="1" applyAlignment="1" applyProtection="1">
      <alignment horizontal="left" vertical="center"/>
      <protection hidden="1"/>
    </xf>
    <xf numFmtId="167" fontId="44" fillId="0" borderId="37" xfId="3" applyNumberFormat="1" applyFont="1" applyBorder="1" applyAlignment="1" applyProtection="1">
      <alignment horizontal="center" vertical="top" wrapText="1"/>
      <protection hidden="1"/>
    </xf>
    <xf numFmtId="9" fontId="44" fillId="0" borderId="38" xfId="3" applyFont="1" applyBorder="1" applyAlignment="1" applyProtection="1">
      <alignment horizontal="center" vertical="top" wrapText="1"/>
      <protection hidden="1"/>
    </xf>
    <xf numFmtId="9" fontId="44" fillId="0" borderId="39" xfId="3" applyFont="1" applyBorder="1" applyAlignment="1" applyProtection="1">
      <alignment horizontal="center" vertical="top" wrapText="1"/>
      <protection hidden="1"/>
    </xf>
    <xf numFmtId="9" fontId="44" fillId="0" borderId="57" xfId="3" applyFont="1" applyFill="1" applyBorder="1" applyAlignment="1" applyProtection="1">
      <alignment horizontal="center" vertical="top" wrapText="1"/>
      <protection hidden="1"/>
    </xf>
    <xf numFmtId="0" fontId="0" fillId="0" borderId="58" xfId="0" applyBorder="1" applyProtection="1">
      <protection hidden="1"/>
    </xf>
    <xf numFmtId="9" fontId="44" fillId="0" borderId="32" xfId="3" applyFont="1" applyBorder="1" applyAlignment="1" applyProtection="1">
      <alignment horizontal="center" vertical="top" wrapText="1"/>
      <protection hidden="1"/>
    </xf>
    <xf numFmtId="9" fontId="44" fillId="0" borderId="33" xfId="3" applyFont="1" applyBorder="1" applyAlignment="1" applyProtection="1">
      <alignment horizontal="center" vertical="top" wrapText="1"/>
      <protection hidden="1"/>
    </xf>
    <xf numFmtId="9" fontId="44" fillId="0" borderId="34" xfId="3" applyFont="1" applyBorder="1" applyAlignment="1" applyProtection="1">
      <alignment horizontal="center" vertical="top" wrapText="1"/>
      <protection hidden="1"/>
    </xf>
    <xf numFmtId="3" fontId="44" fillId="0" borderId="72" xfId="1" applyNumberFormat="1" applyFont="1" applyBorder="1" applyAlignment="1" applyProtection="1">
      <alignment horizontal="center" vertical="top" wrapText="1"/>
      <protection hidden="1"/>
    </xf>
    <xf numFmtId="0" fontId="0" fillId="0" borderId="176" xfId="0" applyBorder="1" applyProtection="1">
      <protection hidden="1"/>
    </xf>
    <xf numFmtId="167" fontId="44" fillId="0" borderId="5" xfId="1" applyNumberFormat="1" applyFont="1" applyBorder="1" applyAlignment="1" applyProtection="1">
      <alignment horizontal="right" vertical="center"/>
      <protection hidden="1"/>
    </xf>
    <xf numFmtId="167" fontId="44" fillId="0" borderId="72" xfId="1" applyNumberFormat="1" applyFont="1" applyBorder="1" applyAlignment="1" applyProtection="1">
      <alignment horizontal="right" vertical="center"/>
      <protection hidden="1"/>
    </xf>
    <xf numFmtId="167" fontId="44" fillId="0" borderId="176" xfId="1" applyNumberFormat="1" applyFont="1" applyBorder="1" applyAlignment="1" applyProtection="1">
      <alignment horizontal="right" vertical="center"/>
      <protection hidden="1"/>
    </xf>
    <xf numFmtId="9" fontId="26" fillId="0" borderId="32" xfId="3" applyFont="1" applyBorder="1" applyAlignment="1" applyProtection="1">
      <alignment horizontal="center" vertical="top" wrapText="1"/>
      <protection hidden="1"/>
    </xf>
    <xf numFmtId="9" fontId="26" fillId="0" borderId="33" xfId="3" applyFont="1" applyBorder="1" applyAlignment="1" applyProtection="1">
      <alignment horizontal="center" vertical="top" wrapText="1"/>
      <protection hidden="1"/>
    </xf>
    <xf numFmtId="9" fontId="26" fillId="0" borderId="34" xfId="3" applyFont="1" applyBorder="1" applyAlignment="1" applyProtection="1">
      <alignment horizontal="center" vertical="top" wrapText="1"/>
      <protection hidden="1"/>
    </xf>
    <xf numFmtId="3" fontId="44" fillId="0" borderId="32" xfId="3" applyNumberFormat="1" applyFont="1" applyBorder="1" applyAlignment="1" applyProtection="1">
      <alignment horizontal="center" vertical="top" wrapText="1"/>
      <protection hidden="1"/>
    </xf>
    <xf numFmtId="3" fontId="44" fillId="0" borderId="33" xfId="3" applyNumberFormat="1" applyFont="1" applyBorder="1" applyAlignment="1" applyProtection="1">
      <alignment horizontal="center" vertical="top" wrapText="1"/>
      <protection hidden="1"/>
    </xf>
    <xf numFmtId="3" fontId="44" fillId="0" borderId="34" xfId="3" applyNumberFormat="1" applyFont="1" applyBorder="1" applyAlignment="1" applyProtection="1">
      <alignment horizontal="center" vertical="top" wrapText="1"/>
      <protection hidden="1"/>
    </xf>
    <xf numFmtId="9" fontId="44" fillId="0" borderId="56" xfId="3" applyFont="1" applyBorder="1" applyAlignment="1" applyProtection="1">
      <alignment horizontal="right" vertical="top" wrapText="1"/>
      <protection hidden="1"/>
    </xf>
    <xf numFmtId="9" fontId="44" fillId="0" borderId="57" xfId="3" applyFont="1" applyBorder="1" applyAlignment="1" applyProtection="1">
      <alignment horizontal="right" vertical="top" wrapText="1"/>
      <protection hidden="1"/>
    </xf>
    <xf numFmtId="9" fontId="44" fillId="0" borderId="58" xfId="3" applyFont="1" applyBorder="1" applyAlignment="1" applyProtection="1">
      <alignment horizontal="right" vertical="top" wrapText="1"/>
      <protection hidden="1"/>
    </xf>
    <xf numFmtId="3" fontId="26" fillId="0" borderId="32" xfId="3" applyNumberFormat="1" applyFont="1" applyBorder="1" applyAlignment="1" applyProtection="1">
      <alignment horizontal="center" vertical="top" wrapText="1"/>
      <protection hidden="1"/>
    </xf>
    <xf numFmtId="3" fontId="26" fillId="0" borderId="33" xfId="3" applyNumberFormat="1" applyFont="1" applyBorder="1" applyAlignment="1" applyProtection="1">
      <alignment horizontal="center" vertical="top" wrapText="1"/>
      <protection hidden="1"/>
    </xf>
    <xf numFmtId="3" fontId="26" fillId="0" borderId="34" xfId="3" applyNumberFormat="1" applyFont="1" applyBorder="1" applyAlignment="1" applyProtection="1">
      <alignment horizontal="center" vertical="top" wrapText="1"/>
      <protection hidden="1"/>
    </xf>
    <xf numFmtId="167" fontId="44" fillId="0" borderId="189" xfId="1" applyNumberFormat="1" applyFont="1" applyBorder="1" applyAlignment="1" applyProtection="1">
      <alignment horizontal="center" vertical="top" wrapText="1"/>
      <protection hidden="1"/>
    </xf>
    <xf numFmtId="167" fontId="44" fillId="0" borderId="72" xfId="1" applyNumberFormat="1" applyFont="1" applyBorder="1" applyAlignment="1" applyProtection="1">
      <alignment horizontal="center" vertical="top" wrapText="1"/>
      <protection hidden="1"/>
    </xf>
    <xf numFmtId="167" fontId="44" fillId="0" borderId="176" xfId="1" applyNumberFormat="1" applyFont="1" applyBorder="1" applyAlignment="1" applyProtection="1">
      <alignment horizontal="center" vertical="top" wrapText="1"/>
      <protection hidden="1"/>
    </xf>
    <xf numFmtId="167" fontId="44" fillId="0" borderId="5" xfId="3" applyNumberFormat="1" applyFont="1" applyBorder="1" applyAlignment="1" applyProtection="1">
      <alignment horizontal="right" vertical="top" wrapText="1"/>
      <protection hidden="1"/>
    </xf>
    <xf numFmtId="167" fontId="44" fillId="0" borderId="72" xfId="3" applyNumberFormat="1" applyFont="1" applyBorder="1" applyAlignment="1" applyProtection="1">
      <alignment horizontal="right" vertical="top" wrapText="1"/>
      <protection hidden="1"/>
    </xf>
    <xf numFmtId="167" fontId="44" fillId="0" borderId="176" xfId="3" applyNumberFormat="1" applyFont="1" applyBorder="1" applyAlignment="1" applyProtection="1">
      <alignment horizontal="right" vertical="top" wrapText="1"/>
      <protection hidden="1"/>
    </xf>
    <xf numFmtId="167" fontId="44" fillId="0" borderId="5" xfId="1" applyNumberFormat="1" applyFont="1" applyBorder="1" applyAlignment="1" applyProtection="1">
      <alignment horizontal="center" vertical="top" wrapText="1"/>
      <protection hidden="1"/>
    </xf>
    <xf numFmtId="0" fontId="0" fillId="0" borderId="73" xfId="0" applyBorder="1" applyProtection="1">
      <protection hidden="1"/>
    </xf>
    <xf numFmtId="167" fontId="44" fillId="0" borderId="37" xfId="1" applyNumberFormat="1" applyFont="1" applyBorder="1" applyAlignment="1" applyProtection="1">
      <alignment horizontal="center" vertical="top" wrapText="1"/>
      <protection hidden="1"/>
    </xf>
    <xf numFmtId="167" fontId="44" fillId="0" borderId="38" xfId="1" applyNumberFormat="1" applyFont="1" applyBorder="1" applyAlignment="1" applyProtection="1">
      <alignment horizontal="center" vertical="top" wrapText="1"/>
      <protection hidden="1"/>
    </xf>
    <xf numFmtId="167" fontId="44" fillId="0" borderId="39" xfId="1" applyNumberFormat="1" applyFont="1" applyBorder="1" applyAlignment="1" applyProtection="1">
      <alignment horizontal="center" vertical="top" wrapText="1"/>
      <protection hidden="1"/>
    </xf>
    <xf numFmtId="167" fontId="44" fillId="0" borderId="180" xfId="1" applyNumberFormat="1" applyFont="1" applyFill="1" applyBorder="1" applyAlignment="1" applyProtection="1">
      <alignment horizontal="center" vertical="top" wrapText="1"/>
      <protection locked="0" hidden="1"/>
    </xf>
    <xf numFmtId="167" fontId="44" fillId="0" borderId="181" xfId="1" applyNumberFormat="1" applyFont="1" applyFill="1" applyBorder="1" applyAlignment="1" applyProtection="1">
      <alignment horizontal="center" vertical="top" wrapText="1"/>
      <protection locked="0" hidden="1"/>
    </xf>
    <xf numFmtId="167" fontId="44" fillId="0" borderId="182" xfId="1" applyNumberFormat="1" applyFont="1" applyFill="1" applyBorder="1" applyAlignment="1" applyProtection="1">
      <alignment horizontal="center" vertical="top" wrapText="1"/>
      <protection locked="0" hidden="1"/>
    </xf>
    <xf numFmtId="167" fontId="44" fillId="0" borderId="184" xfId="1" applyNumberFormat="1" applyFont="1" applyBorder="1" applyAlignment="1" applyProtection="1">
      <alignment horizontal="center" vertical="top" wrapText="1"/>
      <protection hidden="1"/>
    </xf>
    <xf numFmtId="0" fontId="0" fillId="0" borderId="185" xfId="0" applyBorder="1" applyProtection="1">
      <protection hidden="1"/>
    </xf>
    <xf numFmtId="166" fontId="44" fillId="0" borderId="131" xfId="1" applyNumberFormat="1" applyFont="1" applyBorder="1" applyAlignment="1" applyProtection="1">
      <alignment horizontal="center" vertical="top" wrapText="1"/>
      <protection locked="0" hidden="1"/>
    </xf>
    <xf numFmtId="166" fontId="44" fillId="0" borderId="179" xfId="1" applyNumberFormat="1" applyFont="1" applyBorder="1" applyAlignment="1" applyProtection="1">
      <alignment horizontal="center" vertical="top" wrapText="1"/>
      <protection locked="0" hidden="1"/>
    </xf>
    <xf numFmtId="10" fontId="44" fillId="0" borderId="47" xfId="3" applyNumberFormat="1" applyFont="1" applyBorder="1" applyAlignment="1" applyProtection="1">
      <alignment horizontal="right" vertical="top" wrapText="1"/>
      <protection locked="0" hidden="1"/>
    </xf>
    <xf numFmtId="10" fontId="44" fillId="0" borderId="177" xfId="3" applyNumberFormat="1" applyFont="1" applyBorder="1" applyAlignment="1" applyProtection="1">
      <alignment horizontal="right" vertical="top" wrapText="1"/>
      <protection locked="0" hidden="1"/>
    </xf>
    <xf numFmtId="167" fontId="44" fillId="0" borderId="72" xfId="1" applyNumberFormat="1" applyFont="1" applyBorder="1" applyAlignment="1" applyProtection="1">
      <alignment horizontal="center" vertical="top" wrapText="1"/>
      <protection locked="0" hidden="1"/>
    </xf>
    <xf numFmtId="167" fontId="44" fillId="0" borderId="176" xfId="1" applyNumberFormat="1" applyFont="1" applyBorder="1" applyAlignment="1" applyProtection="1">
      <alignment horizontal="center" vertical="top" wrapText="1"/>
      <protection locked="0" hidden="1"/>
    </xf>
    <xf numFmtId="0" fontId="47" fillId="0" borderId="56" xfId="1" applyNumberFormat="1" applyFont="1" applyBorder="1" applyAlignment="1" applyProtection="1">
      <alignment horizontal="left" vertical="center" wrapText="1"/>
      <protection hidden="1"/>
    </xf>
    <xf numFmtId="0" fontId="47" fillId="0" borderId="146" xfId="1" applyNumberFormat="1" applyFont="1" applyBorder="1" applyAlignment="1" applyProtection="1">
      <alignment horizontal="left" vertical="center" wrapText="1"/>
      <protection hidden="1"/>
    </xf>
    <xf numFmtId="0" fontId="47" fillId="0" borderId="148" xfId="1" applyNumberFormat="1" applyFont="1" applyBorder="1" applyAlignment="1" applyProtection="1">
      <alignment horizontal="right" vertical="center" wrapText="1"/>
      <protection hidden="1"/>
    </xf>
    <xf numFmtId="0" fontId="47" fillId="0" borderId="58" xfId="1" applyNumberFormat="1" applyFont="1" applyBorder="1" applyAlignment="1" applyProtection="1">
      <alignment horizontal="right" vertical="center" wrapText="1"/>
      <protection hidden="1"/>
    </xf>
    <xf numFmtId="0" fontId="7" fillId="0" borderId="155" xfId="0" applyFont="1" applyFill="1" applyBorder="1" applyAlignment="1" applyProtection="1">
      <alignment horizontal="center" vertical="top"/>
      <protection hidden="1"/>
    </xf>
    <xf numFmtId="0" fontId="7" fillId="0" borderId="170" xfId="0" applyFont="1" applyFill="1" applyBorder="1" applyAlignment="1" applyProtection="1">
      <alignment horizontal="center" vertical="top"/>
      <protection hidden="1"/>
    </xf>
    <xf numFmtId="0" fontId="14" fillId="0" borderId="156" xfId="0" applyFont="1" applyFill="1" applyBorder="1" applyAlignment="1" applyProtection="1">
      <alignment horizontal="left" vertical="top" wrapText="1"/>
      <protection hidden="1"/>
    </xf>
    <xf numFmtId="0" fontId="14" fillId="0" borderId="1" xfId="0" applyFont="1" applyFill="1" applyBorder="1" applyAlignment="1" applyProtection="1">
      <alignment horizontal="left" vertical="top" wrapText="1"/>
      <protection hidden="1"/>
    </xf>
    <xf numFmtId="167" fontId="14" fillId="0" borderId="156" xfId="1" applyNumberFormat="1" applyFont="1" applyFill="1" applyBorder="1" applyAlignment="1" applyProtection="1">
      <alignment horizontal="center" vertical="top" wrapText="1"/>
      <protection hidden="1"/>
    </xf>
    <xf numFmtId="167" fontId="14" fillId="0" borderId="1" xfId="1" applyNumberFormat="1" applyFont="1" applyFill="1" applyBorder="1" applyAlignment="1" applyProtection="1">
      <alignment horizontal="center" vertical="top" wrapText="1"/>
      <protection hidden="1"/>
    </xf>
    <xf numFmtId="167" fontId="44" fillId="0" borderId="157" xfId="1" applyNumberFormat="1" applyFont="1" applyBorder="1" applyAlignment="1" applyProtection="1">
      <alignment horizontal="center" vertical="top" wrapText="1"/>
      <protection hidden="1"/>
    </xf>
    <xf numFmtId="167" fontId="44" fillId="0" borderId="158" xfId="1" applyNumberFormat="1" applyFont="1" applyBorder="1" applyAlignment="1" applyProtection="1">
      <alignment horizontal="center" vertical="top" wrapText="1"/>
      <protection hidden="1"/>
    </xf>
    <xf numFmtId="167" fontId="44" fillId="0" borderId="78" xfId="1" applyNumberFormat="1" applyFont="1" applyBorder="1" applyAlignment="1" applyProtection="1">
      <alignment horizontal="center" vertical="top" wrapText="1"/>
      <protection hidden="1"/>
    </xf>
    <xf numFmtId="167" fontId="44" fillId="0" borderId="79" xfId="1" applyNumberFormat="1" applyFont="1" applyBorder="1" applyAlignment="1" applyProtection="1">
      <alignment horizontal="center" vertical="top" wrapText="1"/>
      <protection hidden="1"/>
    </xf>
    <xf numFmtId="10" fontId="14" fillId="0" borderId="159" xfId="3" applyNumberFormat="1" applyFont="1" applyFill="1" applyBorder="1" applyAlignment="1" applyProtection="1">
      <alignment horizontal="center" vertical="top" wrapText="1"/>
      <protection hidden="1"/>
    </xf>
    <xf numFmtId="10" fontId="14" fillId="0" borderId="174" xfId="3" applyNumberFormat="1" applyFont="1" applyFill="1" applyBorder="1" applyAlignment="1" applyProtection="1">
      <alignment horizontal="center" vertical="top" wrapText="1"/>
      <protection hidden="1"/>
    </xf>
    <xf numFmtId="15" fontId="40" fillId="0" borderId="32" xfId="1" applyNumberFormat="1" applyFont="1" applyFill="1" applyBorder="1" applyAlignment="1" applyProtection="1">
      <alignment horizontal="center"/>
      <protection hidden="1"/>
    </xf>
    <xf numFmtId="15" fontId="40" fillId="0" borderId="33" xfId="1" applyNumberFormat="1" applyFont="1" applyFill="1" applyBorder="1" applyAlignment="1" applyProtection="1">
      <alignment horizontal="center"/>
      <protection hidden="1"/>
    </xf>
    <xf numFmtId="15" fontId="40" fillId="0" borderId="34" xfId="1" applyNumberFormat="1" applyFont="1" applyFill="1" applyBorder="1" applyAlignment="1" applyProtection="1">
      <alignment horizontal="center"/>
      <protection hidden="1"/>
    </xf>
    <xf numFmtId="167" fontId="45" fillId="0" borderId="37" xfId="1" applyNumberFormat="1" applyFont="1" applyBorder="1" applyAlignment="1" applyProtection="1">
      <alignment horizontal="center" vertical="center" wrapText="1"/>
      <protection hidden="1"/>
    </xf>
    <xf numFmtId="167" fontId="45" fillId="0" borderId="38" xfId="1" applyNumberFormat="1" applyFont="1" applyBorder="1" applyAlignment="1" applyProtection="1">
      <alignment horizontal="center" vertical="center" wrapText="1"/>
      <protection hidden="1"/>
    </xf>
    <xf numFmtId="167" fontId="45" fillId="0" borderId="39" xfId="1" applyNumberFormat="1" applyFont="1" applyBorder="1" applyAlignment="1" applyProtection="1">
      <alignment horizontal="center" vertical="center" wrapText="1"/>
      <protection hidden="1"/>
    </xf>
    <xf numFmtId="15" fontId="40" fillId="0" borderId="32" xfId="1" applyNumberFormat="1" applyFont="1" applyFill="1" applyBorder="1" applyAlignment="1" applyProtection="1">
      <alignment horizontal="center"/>
      <protection locked="0"/>
    </xf>
    <xf numFmtId="15" fontId="40" fillId="0" borderId="33" xfId="1" applyNumberFormat="1" applyFont="1" applyFill="1" applyBorder="1" applyAlignment="1" applyProtection="1">
      <alignment horizontal="center"/>
      <protection locked="0"/>
    </xf>
    <xf numFmtId="15" fontId="40" fillId="0" borderId="34" xfId="1" applyNumberFormat="1" applyFont="1" applyFill="1" applyBorder="1" applyAlignment="1" applyProtection="1">
      <alignment horizontal="center"/>
      <protection locked="0"/>
    </xf>
    <xf numFmtId="167" fontId="45" fillId="0" borderId="157" xfId="1" applyNumberFormat="1" applyFont="1" applyBorder="1" applyAlignment="1" applyProtection="1">
      <alignment horizontal="center" vertical="center" wrapText="1"/>
      <protection hidden="1"/>
    </xf>
    <xf numFmtId="167" fontId="45" fillId="0" borderId="158" xfId="1" applyNumberFormat="1" applyFont="1" applyBorder="1" applyAlignment="1" applyProtection="1">
      <alignment horizontal="center" vertical="center" wrapText="1"/>
      <protection hidden="1"/>
    </xf>
    <xf numFmtId="167" fontId="45" fillId="0" borderId="162" xfId="1" applyNumberFormat="1" applyFont="1" applyBorder="1" applyAlignment="1" applyProtection="1">
      <alignment horizontal="center" vertical="center" wrapText="1"/>
      <protection hidden="1"/>
    </xf>
    <xf numFmtId="167" fontId="45" fillId="0" borderId="163" xfId="1" applyNumberFormat="1" applyFont="1" applyBorder="1" applyAlignment="1" applyProtection="1">
      <alignment horizontal="center" vertical="center" wrapText="1"/>
      <protection hidden="1"/>
    </xf>
    <xf numFmtId="167" fontId="45" fillId="0" borderId="159" xfId="1" applyNumberFormat="1" applyFont="1" applyBorder="1" applyAlignment="1" applyProtection="1">
      <alignment horizontal="center" vertical="center" wrapText="1"/>
      <protection hidden="1"/>
    </xf>
    <xf numFmtId="167" fontId="45" fillId="0" borderId="164" xfId="1" applyNumberFormat="1" applyFont="1" applyBorder="1" applyAlignment="1" applyProtection="1">
      <alignment horizontal="center" vertical="center" wrapText="1"/>
      <protection hidden="1"/>
    </xf>
    <xf numFmtId="167" fontId="1" fillId="0" borderId="153" xfId="1" applyNumberFormat="1" applyFill="1" applyBorder="1" applyAlignment="1" applyProtection="1">
      <alignment horizontal="center"/>
      <protection hidden="1"/>
    </xf>
    <xf numFmtId="167" fontId="1" fillId="0" borderId="0" xfId="1" applyNumberFormat="1" applyFill="1" applyBorder="1" applyAlignment="1" applyProtection="1">
      <alignment horizontal="center"/>
      <protection hidden="1"/>
    </xf>
    <xf numFmtId="167" fontId="1" fillId="0" borderId="154" xfId="1" applyNumberFormat="1" applyFill="1" applyBorder="1" applyAlignment="1" applyProtection="1">
      <alignment horizontal="center"/>
      <protection hidden="1"/>
    </xf>
    <xf numFmtId="167" fontId="1" fillId="0" borderId="150" xfId="1" applyNumberFormat="1" applyFill="1" applyBorder="1" applyAlignment="1" applyProtection="1">
      <alignment horizontal="center"/>
      <protection hidden="1"/>
    </xf>
    <xf numFmtId="167" fontId="1" fillId="0" borderId="151" xfId="1" applyNumberFormat="1" applyFill="1" applyBorder="1" applyAlignment="1" applyProtection="1">
      <alignment horizontal="center"/>
      <protection hidden="1"/>
    </xf>
    <xf numFmtId="167" fontId="1" fillId="0" borderId="152" xfId="1" applyNumberFormat="1" applyFill="1" applyBorder="1" applyAlignment="1" applyProtection="1">
      <alignment horizontal="center"/>
      <protection hidden="1"/>
    </xf>
    <xf numFmtId="169" fontId="1" fillId="0" borderId="56" xfId="1" applyNumberFormat="1" applyFill="1" applyBorder="1" applyAlignment="1" applyProtection="1">
      <alignment horizontal="center"/>
      <protection hidden="1"/>
    </xf>
    <xf numFmtId="169" fontId="1" fillId="0" borderId="57" xfId="1" applyNumberFormat="1" applyFill="1" applyBorder="1" applyAlignment="1" applyProtection="1">
      <alignment horizontal="center"/>
      <protection hidden="1"/>
    </xf>
    <xf numFmtId="169" fontId="1" fillId="0" borderId="58" xfId="1" applyNumberFormat="1" applyFill="1" applyBorder="1" applyAlignment="1" applyProtection="1">
      <alignment horizontal="center"/>
      <protection hidden="1"/>
    </xf>
    <xf numFmtId="15" fontId="1" fillId="0" borderId="56" xfId="1" applyNumberFormat="1" applyFill="1" applyBorder="1" applyAlignment="1" applyProtection="1">
      <alignment horizontal="center"/>
      <protection hidden="1"/>
    </xf>
    <xf numFmtId="15" fontId="1" fillId="0" borderId="57" xfId="1" applyNumberFormat="1" applyFill="1" applyBorder="1" applyAlignment="1" applyProtection="1">
      <alignment horizontal="center"/>
      <protection hidden="1"/>
    </xf>
    <xf numFmtId="15" fontId="1" fillId="0" borderId="58" xfId="1" applyNumberFormat="1" applyFill="1" applyBorder="1" applyAlignment="1" applyProtection="1">
      <alignment horizontal="center"/>
      <protection hidden="1"/>
    </xf>
    <xf numFmtId="0" fontId="36" fillId="0" borderId="155" xfId="0" applyFont="1" applyBorder="1" applyAlignment="1" applyProtection="1">
      <alignment horizontal="center" vertical="center"/>
      <protection hidden="1"/>
    </xf>
    <xf numFmtId="0" fontId="36" fillId="0" borderId="160" xfId="0" applyFont="1" applyBorder="1" applyAlignment="1" applyProtection="1">
      <alignment horizontal="center" vertical="center"/>
      <protection hidden="1"/>
    </xf>
    <xf numFmtId="0" fontId="45" fillId="0" borderId="156" xfId="0" applyFont="1" applyBorder="1" applyAlignment="1" applyProtection="1">
      <alignment horizontal="center" vertical="center"/>
      <protection hidden="1"/>
    </xf>
    <xf numFmtId="0" fontId="45" fillId="0" borderId="161" xfId="0" applyFont="1" applyBorder="1" applyAlignment="1" applyProtection="1">
      <alignment horizontal="center" vertical="center"/>
      <protection hidden="1"/>
    </xf>
    <xf numFmtId="167" fontId="47" fillId="0" borderId="156" xfId="1" applyNumberFormat="1" applyFont="1" applyBorder="1" applyAlignment="1" applyProtection="1">
      <alignment horizontal="center" wrapText="1"/>
      <protection hidden="1"/>
    </xf>
    <xf numFmtId="167" fontId="47" fillId="0" borderId="161" xfId="1" applyNumberFormat="1" applyFont="1" applyBorder="1" applyAlignment="1" applyProtection="1">
      <alignment horizontal="center" wrapText="1"/>
      <protection hidden="1"/>
    </xf>
    <xf numFmtId="167" fontId="47" fillId="0" borderId="156" xfId="1" applyNumberFormat="1" applyFont="1" applyBorder="1" applyAlignment="1" applyProtection="1">
      <alignment horizontal="right" vertical="center" textRotation="90" wrapText="1"/>
      <protection hidden="1"/>
    </xf>
    <xf numFmtId="167" fontId="47" fillId="0" borderId="161" xfId="1" applyNumberFormat="1" applyFont="1" applyBorder="1" applyAlignment="1" applyProtection="1">
      <alignment horizontal="right" vertical="center" textRotation="90" wrapText="1"/>
      <protection hidden="1"/>
    </xf>
    <xf numFmtId="167" fontId="45" fillId="0" borderId="156" xfId="1" applyNumberFormat="1" applyFont="1" applyBorder="1" applyAlignment="1" applyProtection="1">
      <alignment horizontal="center" vertical="center" wrapText="1"/>
      <protection hidden="1"/>
    </xf>
    <xf numFmtId="167" fontId="45" fillId="0" borderId="161" xfId="1" applyNumberFormat="1" applyFont="1" applyBorder="1" applyAlignment="1" applyProtection="1">
      <alignment horizontal="center" vertical="center" wrapText="1"/>
      <protection hidden="1"/>
    </xf>
    <xf numFmtId="167" fontId="8" fillId="0" borderId="153" xfId="1" applyNumberFormat="1" applyFont="1" applyFill="1" applyBorder="1" applyAlignment="1" applyProtection="1">
      <alignment horizontal="center" vertical="top"/>
      <protection hidden="1"/>
    </xf>
    <xf numFmtId="167" fontId="8" fillId="0" borderId="150" xfId="1" applyNumberFormat="1" applyFont="1" applyFill="1" applyBorder="1" applyAlignment="1" applyProtection="1">
      <alignment horizontal="center" vertical="top"/>
      <protection hidden="1"/>
    </xf>
    <xf numFmtId="0" fontId="0" fillId="0" borderId="4" xfId="0" applyFill="1" applyBorder="1" applyAlignment="1" applyProtection="1">
      <alignment horizontal="center" vertical="top" wrapText="1"/>
      <protection hidden="1"/>
    </xf>
    <xf numFmtId="0" fontId="0" fillId="0" borderId="149" xfId="0" applyFill="1" applyBorder="1" applyAlignment="1" applyProtection="1">
      <alignment horizontal="center" vertical="top" wrapText="1"/>
      <protection hidden="1"/>
    </xf>
    <xf numFmtId="0" fontId="0" fillId="0" borderId="151" xfId="0" applyFill="1" applyBorder="1" applyAlignment="1" applyProtection="1">
      <alignment horizontal="center" vertical="top" wrapText="1"/>
      <protection hidden="1"/>
    </xf>
    <xf numFmtId="0" fontId="0" fillId="0" borderId="152" xfId="0" applyFill="1" applyBorder="1" applyAlignment="1" applyProtection="1">
      <alignment horizontal="center" vertical="top" wrapText="1"/>
      <protection hidden="1"/>
    </xf>
    <xf numFmtId="167" fontId="7" fillId="0" borderId="37" xfId="1" applyNumberFormat="1" applyFont="1" applyFill="1" applyBorder="1" applyAlignment="1" applyProtection="1">
      <alignment horizontal="center"/>
      <protection hidden="1"/>
    </xf>
    <xf numFmtId="167" fontId="1" fillId="0" borderId="38" xfId="1" applyNumberFormat="1" applyFill="1" applyBorder="1" applyAlignment="1" applyProtection="1">
      <alignment horizontal="center"/>
      <protection hidden="1"/>
    </xf>
    <xf numFmtId="167" fontId="1" fillId="0" borderId="39" xfId="1" applyNumberFormat="1" applyFill="1" applyBorder="1" applyAlignment="1" applyProtection="1">
      <alignment horizontal="center"/>
      <protection hidden="1"/>
    </xf>
    <xf numFmtId="167" fontId="50" fillId="0" borderId="36" xfId="1" applyNumberFormat="1" applyFont="1" applyFill="1" applyBorder="1" applyAlignment="1" applyProtection="1">
      <alignment horizontal="center"/>
      <protection hidden="1"/>
    </xf>
    <xf numFmtId="167" fontId="50" fillId="0" borderId="4" xfId="1" applyNumberFormat="1" applyFont="1" applyFill="1" applyBorder="1" applyAlignment="1" applyProtection="1">
      <alignment horizontal="center"/>
      <protection hidden="1"/>
    </xf>
    <xf numFmtId="167" fontId="50" fillId="0" borderId="149" xfId="1" applyNumberFormat="1" applyFont="1" applyFill="1" applyBorder="1" applyAlignment="1" applyProtection="1">
      <alignment horizontal="center"/>
      <protection hidden="1"/>
    </xf>
    <xf numFmtId="0" fontId="51" fillId="0" borderId="150" xfId="1" applyNumberFormat="1" applyFont="1" applyFill="1" applyBorder="1" applyAlignment="1" applyProtection="1">
      <alignment horizontal="right"/>
      <protection hidden="1"/>
    </xf>
    <xf numFmtId="0" fontId="51" fillId="0" borderId="151" xfId="1" applyNumberFormat="1" applyFont="1" applyFill="1" applyBorder="1" applyAlignment="1" applyProtection="1">
      <alignment horizontal="right"/>
      <protection hidden="1"/>
    </xf>
    <xf numFmtId="167" fontId="21" fillId="0" borderId="151" xfId="1" applyNumberFormat="1" applyFont="1" applyFill="1" applyBorder="1" applyAlignment="1" applyProtection="1">
      <alignment horizontal="left"/>
      <protection hidden="1"/>
    </xf>
    <xf numFmtId="167" fontId="21" fillId="0" borderId="152" xfId="1" applyNumberFormat="1" applyFont="1" applyFill="1" applyBorder="1" applyAlignment="1" applyProtection="1">
      <alignment horizontal="left"/>
      <protection hidden="1"/>
    </xf>
    <xf numFmtId="167" fontId="47" fillId="0" borderId="56" xfId="1" applyNumberFormat="1" applyFont="1" applyBorder="1" applyAlignment="1" applyProtection="1">
      <alignment horizontal="left" vertical="center" wrapText="1"/>
      <protection hidden="1"/>
    </xf>
    <xf numFmtId="0" fontId="47" fillId="0" borderId="57" xfId="1" applyNumberFormat="1" applyFont="1" applyBorder="1" applyAlignment="1" applyProtection="1">
      <alignment horizontal="left" vertical="center" wrapText="1"/>
      <protection hidden="1"/>
    </xf>
    <xf numFmtId="167" fontId="47" fillId="0" borderId="148" xfId="1" applyNumberFormat="1" applyFont="1" applyBorder="1" applyAlignment="1" applyProtection="1">
      <alignment horizontal="center" vertical="center" wrapText="1"/>
      <protection hidden="1"/>
    </xf>
    <xf numFmtId="0" fontId="47" fillId="0" borderId="57" xfId="1" applyNumberFormat="1" applyFont="1" applyBorder="1" applyAlignment="1" applyProtection="1">
      <alignment horizontal="center" vertical="center" wrapText="1"/>
      <protection hidden="1"/>
    </xf>
    <xf numFmtId="0" fontId="47" fillId="0" borderId="58" xfId="1" applyNumberFormat="1" applyFont="1" applyBorder="1" applyAlignment="1" applyProtection="1">
      <alignment horizontal="center" vertical="center" wrapText="1"/>
      <protection hidden="1"/>
    </xf>
    <xf numFmtId="0" fontId="49" fillId="8" borderId="36" xfId="0" applyFont="1" applyFill="1" applyBorder="1" applyAlignment="1" applyProtection="1">
      <alignment horizontal="center" vertical="center" wrapText="1"/>
      <protection hidden="1"/>
    </xf>
    <xf numFmtId="0" fontId="49" fillId="8" borderId="4" xfId="0" applyFont="1" applyFill="1" applyBorder="1" applyAlignment="1" applyProtection="1">
      <alignment horizontal="center" vertical="center" wrapText="1"/>
      <protection hidden="1"/>
    </xf>
    <xf numFmtId="0" fontId="49" fillId="8" borderId="149" xfId="0" applyFont="1" applyFill="1" applyBorder="1" applyAlignment="1" applyProtection="1">
      <alignment horizontal="center" vertical="center" wrapText="1"/>
      <protection hidden="1"/>
    </xf>
    <xf numFmtId="0" fontId="49" fillId="8" borderId="150" xfId="0" applyFont="1" applyFill="1" applyBorder="1" applyAlignment="1" applyProtection="1">
      <alignment horizontal="center" vertical="center" wrapText="1"/>
      <protection hidden="1"/>
    </xf>
    <xf numFmtId="0" fontId="49" fillId="8" borderId="151" xfId="0" applyFont="1" applyFill="1" applyBorder="1" applyAlignment="1" applyProtection="1">
      <alignment horizontal="center" vertical="center" wrapText="1"/>
      <protection hidden="1"/>
    </xf>
    <xf numFmtId="0" fontId="49" fillId="8" borderId="152" xfId="0" applyFont="1" applyFill="1" applyBorder="1" applyAlignment="1" applyProtection="1">
      <alignment horizontal="center" vertical="center" wrapText="1"/>
      <protection hidden="1"/>
    </xf>
    <xf numFmtId="167" fontId="21" fillId="0" borderId="36" xfId="1" applyNumberFormat="1" applyFont="1" applyFill="1" applyBorder="1" applyAlignment="1" applyProtection="1">
      <alignment horizontal="center"/>
      <protection hidden="1"/>
    </xf>
    <xf numFmtId="167" fontId="21" fillId="0" borderId="4" xfId="1" applyNumberFormat="1" applyFont="1" applyFill="1" applyBorder="1" applyAlignment="1" applyProtection="1">
      <alignment horizontal="center"/>
      <protection hidden="1"/>
    </xf>
    <xf numFmtId="167" fontId="21" fillId="0" borderId="149" xfId="1" applyNumberFormat="1" applyFont="1" applyFill="1" applyBorder="1" applyAlignment="1" applyProtection="1">
      <alignment horizontal="center"/>
      <protection hidden="1"/>
    </xf>
    <xf numFmtId="0" fontId="47" fillId="0" borderId="57" xfId="1" applyNumberFormat="1" applyFont="1" applyBorder="1" applyAlignment="1" applyProtection="1">
      <alignment horizontal="right" vertical="center" wrapText="1"/>
      <protection hidden="1"/>
    </xf>
    <xf numFmtId="0" fontId="47" fillId="0" borderId="148" xfId="1" applyNumberFormat="1" applyFont="1" applyBorder="1" applyAlignment="1" applyProtection="1">
      <alignment horizontal="center" vertical="center" wrapText="1"/>
      <protection hidden="1"/>
    </xf>
    <xf numFmtId="0" fontId="47" fillId="0" borderId="56" xfId="1" applyNumberFormat="1" applyFont="1" applyBorder="1" applyAlignment="1" applyProtection="1">
      <alignment horizontal="center" vertical="center" wrapText="1"/>
      <protection hidden="1"/>
    </xf>
    <xf numFmtId="0" fontId="47" fillId="0" borderId="146" xfId="1" applyNumberFormat="1" applyFont="1" applyBorder="1" applyAlignment="1" applyProtection="1">
      <alignment horizontal="center" vertical="center" wrapText="1"/>
      <protection hidden="1"/>
    </xf>
    <xf numFmtId="0" fontId="0" fillId="0" borderId="146" xfId="0" applyBorder="1" applyAlignment="1">
      <alignment horizontal="left" vertical="center" wrapText="1"/>
    </xf>
    <xf numFmtId="0" fontId="0" fillId="0" borderId="57" xfId="0" applyBorder="1" applyAlignment="1">
      <alignment horizontal="right" vertical="center" wrapText="1"/>
    </xf>
    <xf numFmtId="0" fontId="0" fillId="0" borderId="58" xfId="0" applyBorder="1" applyAlignment="1">
      <alignment horizontal="right" vertical="center" wrapText="1"/>
    </xf>
    <xf numFmtId="167" fontId="22" fillId="2" borderId="37" xfId="1" applyNumberFormat="1" applyFont="1" applyFill="1" applyBorder="1" applyAlignment="1" applyProtection="1">
      <alignment horizontal="center" vertical="center" wrapText="1"/>
      <protection hidden="1"/>
    </xf>
    <xf numFmtId="167" fontId="22" fillId="2" borderId="38" xfId="1" applyNumberFormat="1" applyFont="1" applyFill="1" applyBorder="1" applyAlignment="1" applyProtection="1">
      <alignment horizontal="center" vertical="center" wrapText="1"/>
      <protection hidden="1"/>
    </xf>
    <xf numFmtId="167" fontId="22" fillId="2" borderId="39" xfId="1" applyNumberFormat="1" applyFont="1" applyFill="1" applyBorder="1" applyAlignment="1" applyProtection="1">
      <alignment horizontal="center" vertical="center" wrapText="1"/>
      <protection hidden="1"/>
    </xf>
    <xf numFmtId="167" fontId="22" fillId="2" borderId="22" xfId="1" applyNumberFormat="1" applyFont="1" applyFill="1" applyBorder="1" applyAlignment="1" applyProtection="1">
      <alignment horizontal="center" vertical="center" wrapText="1"/>
      <protection hidden="1"/>
    </xf>
    <xf numFmtId="167" fontId="22" fillId="2" borderId="24" xfId="1" applyNumberFormat="1" applyFont="1" applyFill="1" applyBorder="1" applyAlignment="1" applyProtection="1">
      <alignment horizontal="center" vertical="center" wrapText="1"/>
      <protection hidden="1"/>
    </xf>
    <xf numFmtId="0" fontId="47" fillId="0" borderId="145" xfId="1" applyNumberFormat="1" applyFont="1" applyBorder="1" applyAlignment="1" applyProtection="1">
      <alignment horizontal="left" vertical="center" wrapText="1"/>
      <protection hidden="1"/>
    </xf>
    <xf numFmtId="167" fontId="14" fillId="2" borderId="0" xfId="1" applyNumberFormat="1" applyFont="1" applyFill="1" applyAlignment="1" applyProtection="1">
      <alignment horizontal="center" vertical="center" wrapText="1"/>
      <protection hidden="1"/>
    </xf>
    <xf numFmtId="0" fontId="61" fillId="0" borderId="0" xfId="5" applyFont="1" applyAlignment="1">
      <alignment horizontal="center"/>
    </xf>
    <xf numFmtId="0" fontId="20" fillId="0" borderId="32" xfId="0" applyFont="1" applyFill="1" applyBorder="1" applyAlignment="1" applyProtection="1">
      <alignment horizontal="center" vertical="center" wrapText="1"/>
      <protection hidden="1"/>
    </xf>
    <xf numFmtId="0" fontId="20" fillId="0" borderId="33" xfId="0" applyFont="1" applyFill="1" applyBorder="1" applyAlignment="1" applyProtection="1">
      <alignment horizontal="center" vertical="center" wrapText="1"/>
      <protection hidden="1"/>
    </xf>
    <xf numFmtId="0" fontId="20" fillId="0" borderId="34" xfId="0" applyFont="1" applyFill="1" applyBorder="1" applyAlignment="1" applyProtection="1">
      <alignment horizontal="center" vertical="center" wrapText="1"/>
      <protection hidden="1"/>
    </xf>
    <xf numFmtId="167" fontId="24" fillId="25" borderId="57" xfId="1" applyNumberFormat="1" applyFont="1" applyFill="1" applyBorder="1" applyAlignment="1" applyProtection="1">
      <alignment horizontal="right" vertical="top"/>
      <protection hidden="1"/>
    </xf>
    <xf numFmtId="0" fontId="6" fillId="3" borderId="0" xfId="0" applyFont="1" applyFill="1" applyBorder="1" applyAlignment="1" applyProtection="1">
      <alignment horizontal="center" vertical="top" wrapText="1"/>
      <protection hidden="1"/>
    </xf>
    <xf numFmtId="0" fontId="6" fillId="3" borderId="0" xfId="0" applyFont="1" applyFill="1" applyBorder="1" applyAlignment="1" applyProtection="1">
      <alignment horizontal="center"/>
      <protection hidden="1"/>
    </xf>
    <xf numFmtId="0" fontId="20" fillId="0" borderId="13" xfId="0" applyFont="1" applyFill="1" applyBorder="1" applyAlignment="1" applyProtection="1">
      <alignment horizontal="center" vertical="center"/>
      <protection locked="0"/>
    </xf>
    <xf numFmtId="0" fontId="20" fillId="0" borderId="14" xfId="0" applyFont="1" applyFill="1" applyBorder="1" applyAlignment="1" applyProtection="1">
      <alignment horizontal="center" vertical="center"/>
      <protection locked="0"/>
    </xf>
    <xf numFmtId="0" fontId="20" fillId="0" borderId="15" xfId="0" applyFont="1" applyFill="1" applyBorder="1" applyAlignment="1" applyProtection="1">
      <alignment horizontal="center" vertical="center" wrapText="1"/>
      <protection locked="0"/>
    </xf>
    <xf numFmtId="0" fontId="20" fillId="0" borderId="14" xfId="0" applyFont="1" applyFill="1" applyBorder="1" applyAlignment="1" applyProtection="1">
      <alignment horizontal="center" vertical="center" wrapText="1"/>
      <protection locked="0"/>
    </xf>
    <xf numFmtId="0" fontId="20" fillId="0" borderId="16" xfId="0" applyFont="1" applyFill="1" applyBorder="1" applyAlignment="1" applyProtection="1">
      <alignment horizontal="center" vertical="center" wrapText="1"/>
      <protection locked="0"/>
    </xf>
    <xf numFmtId="0" fontId="21" fillId="0" borderId="17" xfId="0" applyFont="1" applyFill="1" applyBorder="1" applyAlignment="1" applyProtection="1">
      <alignment horizontal="center" vertical="center"/>
      <protection locked="0"/>
    </xf>
    <xf numFmtId="0" fontId="21" fillId="0" borderId="18" xfId="0" applyFont="1" applyFill="1" applyBorder="1" applyAlignment="1" applyProtection="1">
      <alignment horizontal="center" vertical="center"/>
      <protection locked="0"/>
    </xf>
    <xf numFmtId="0" fontId="20" fillId="0" borderId="19" xfId="0" applyFont="1" applyFill="1" applyBorder="1" applyAlignment="1" applyProtection="1">
      <alignment horizontal="center" vertical="center" wrapText="1"/>
      <protection locked="0"/>
    </xf>
    <xf numFmtId="0" fontId="20" fillId="0" borderId="18" xfId="0" applyFont="1" applyFill="1" applyBorder="1" applyAlignment="1" applyProtection="1">
      <alignment horizontal="center" vertical="center" wrapText="1"/>
      <protection locked="0"/>
    </xf>
    <xf numFmtId="0" fontId="20" fillId="0" borderId="20" xfId="0" applyFont="1" applyFill="1" applyBorder="1" applyAlignment="1" applyProtection="1">
      <alignment horizontal="center" vertical="center" wrapText="1"/>
      <protection locked="0"/>
    </xf>
    <xf numFmtId="0" fontId="7" fillId="0" borderId="21" xfId="0" applyFont="1" applyBorder="1" applyAlignment="1" applyProtection="1">
      <alignment horizontal="center" vertical="top" wrapText="1"/>
      <protection locked="0"/>
    </xf>
    <xf numFmtId="0" fontId="7" fillId="0" borderId="26" xfId="0" applyFont="1" applyBorder="1" applyAlignment="1" applyProtection="1">
      <alignment horizontal="center" vertical="top" wrapText="1"/>
      <protection locked="0"/>
    </xf>
    <xf numFmtId="0" fontId="0" fillId="0" borderId="22" xfId="0" applyBorder="1" applyAlignment="1" applyProtection="1">
      <alignment horizontal="left" vertical="top" wrapText="1"/>
      <protection locked="0"/>
    </xf>
    <xf numFmtId="0" fontId="0" fillId="0" borderId="23" xfId="0" applyBorder="1" applyAlignment="1" applyProtection="1">
      <alignment horizontal="left" vertical="top" wrapText="1"/>
      <protection locked="0"/>
    </xf>
    <xf numFmtId="0" fontId="0" fillId="0" borderId="24" xfId="0" applyBorder="1" applyAlignment="1" applyProtection="1">
      <alignment horizontal="left" vertical="top" wrapText="1"/>
      <protection locked="0"/>
    </xf>
    <xf numFmtId="0" fontId="0" fillId="0" borderId="27" xfId="0" applyBorder="1" applyAlignment="1" applyProtection="1">
      <alignment horizontal="left" vertical="top" wrapText="1"/>
      <protection locked="0"/>
    </xf>
    <xf numFmtId="0" fontId="0" fillId="0" borderId="28" xfId="0" applyBorder="1" applyAlignment="1" applyProtection="1">
      <alignment horizontal="left" vertical="top" wrapText="1"/>
      <protection locked="0"/>
    </xf>
    <xf numFmtId="0" fontId="0" fillId="0" borderId="29" xfId="0" applyBorder="1" applyAlignment="1" applyProtection="1">
      <alignment horizontal="left" vertical="top" wrapText="1"/>
      <protection locked="0"/>
    </xf>
    <xf numFmtId="169" fontId="22" fillId="0" borderId="30" xfId="1" applyNumberFormat="1" applyFont="1" applyBorder="1" applyAlignment="1" applyProtection="1">
      <alignment horizontal="center" vertical="top"/>
      <protection locked="0"/>
    </xf>
    <xf numFmtId="169" fontId="22" fillId="0" borderId="31" xfId="1" applyNumberFormat="1" applyFont="1" applyBorder="1" applyAlignment="1" applyProtection="1">
      <alignment horizontal="center" vertical="top"/>
      <protection locked="0"/>
    </xf>
    <xf numFmtId="0" fontId="84" fillId="0" borderId="35" xfId="0" applyFont="1" applyFill="1" applyBorder="1" applyAlignment="1" applyProtection="1">
      <alignment horizontal="center" vertical="top" wrapText="1"/>
      <protection hidden="1"/>
    </xf>
    <xf numFmtId="0" fontId="84" fillId="22" borderId="35" xfId="0" applyFont="1" applyFill="1" applyBorder="1" applyAlignment="1" applyProtection="1">
      <alignment horizontal="left" vertical="top" wrapText="1"/>
      <protection hidden="1"/>
    </xf>
    <xf numFmtId="0" fontId="78" fillId="0" borderId="0" xfId="0" applyFont="1" applyAlignment="1">
      <alignment horizontal="center" wrapText="1"/>
    </xf>
    <xf numFmtId="0" fontId="21" fillId="0" borderId="17" xfId="0" applyFont="1" applyFill="1" applyBorder="1" applyAlignment="1" applyProtection="1">
      <alignment horizontal="center" vertical="center" wrapText="1"/>
      <protection locked="0"/>
    </xf>
    <xf numFmtId="0" fontId="21" fillId="0" borderId="18" xfId="0" applyFont="1" applyFill="1" applyBorder="1" applyAlignment="1" applyProtection="1">
      <alignment horizontal="center" vertical="center" wrapText="1"/>
      <protection locked="0"/>
    </xf>
    <xf numFmtId="0" fontId="21" fillId="0" borderId="90" xfId="0" applyFont="1" applyFill="1" applyBorder="1" applyAlignment="1" applyProtection="1">
      <alignment horizontal="center" vertical="center" wrapText="1"/>
      <protection locked="0"/>
    </xf>
    <xf numFmtId="0" fontId="0" fillId="0" borderId="22" xfId="0" applyBorder="1" applyAlignment="1" applyProtection="1">
      <alignment horizontal="center" vertical="top" wrapText="1"/>
      <protection locked="0"/>
    </xf>
    <xf numFmtId="0" fontId="0" fillId="0" borderId="23" xfId="0" applyBorder="1" applyAlignment="1" applyProtection="1">
      <alignment horizontal="center" vertical="top" wrapText="1"/>
      <protection locked="0"/>
    </xf>
    <xf numFmtId="0" fontId="0" fillId="0" borderId="24" xfId="0" applyBorder="1" applyAlignment="1" applyProtection="1">
      <alignment horizontal="center" vertical="top" wrapText="1"/>
      <protection locked="0"/>
    </xf>
    <xf numFmtId="0" fontId="0" fillId="0" borderId="27" xfId="0" applyBorder="1" applyAlignment="1" applyProtection="1">
      <alignment horizontal="center" vertical="top" wrapText="1"/>
      <protection locked="0"/>
    </xf>
    <xf numFmtId="0" fontId="0" fillId="0" borderId="28" xfId="0" applyBorder="1" applyAlignment="1" applyProtection="1">
      <alignment horizontal="center" vertical="top" wrapText="1"/>
      <protection locked="0"/>
    </xf>
    <xf numFmtId="0" fontId="0" fillId="0" borderId="29" xfId="0" applyBorder="1" applyAlignment="1" applyProtection="1">
      <alignment horizontal="center" vertical="top" wrapText="1"/>
      <protection locked="0"/>
    </xf>
    <xf numFmtId="0" fontId="75" fillId="0" borderId="0" xfId="0" applyFont="1" applyAlignment="1">
      <alignment horizontal="left"/>
    </xf>
    <xf numFmtId="167" fontId="75" fillId="0" borderId="0" xfId="1" applyNumberFormat="1" applyFont="1" applyBorder="1" applyAlignment="1" applyProtection="1">
      <alignment horizontal="left" vertical="top" wrapText="1"/>
      <protection hidden="1"/>
    </xf>
    <xf numFmtId="0" fontId="75" fillId="0" borderId="0" xfId="0" applyFont="1" applyAlignment="1">
      <alignment horizontal="left" wrapText="1"/>
    </xf>
    <xf numFmtId="0" fontId="88" fillId="37" borderId="254" xfId="7" applyFont="1" applyBorder="1" applyAlignment="1">
      <alignment horizontal="center"/>
    </xf>
    <xf numFmtId="0" fontId="88" fillId="37" borderId="255" xfId="7" applyFont="1" applyBorder="1" applyAlignment="1">
      <alignment horizontal="center"/>
    </xf>
    <xf numFmtId="0" fontId="88" fillId="37" borderId="256" xfId="7" applyFont="1" applyBorder="1" applyAlignment="1">
      <alignment horizontal="center"/>
    </xf>
    <xf numFmtId="0" fontId="88" fillId="37" borderId="260" xfId="7" applyFont="1" applyBorder="1" applyAlignment="1">
      <alignment horizontal="center"/>
    </xf>
    <xf numFmtId="0" fontId="88" fillId="37" borderId="261" xfId="7" applyFont="1" applyBorder="1" applyAlignment="1">
      <alignment horizontal="center"/>
    </xf>
    <xf numFmtId="167" fontId="24" fillId="30" borderId="57" xfId="1" applyNumberFormat="1" applyFont="1" applyFill="1" applyBorder="1" applyAlignment="1" applyProtection="1">
      <alignment horizontal="right" vertical="top"/>
      <protection hidden="1"/>
    </xf>
    <xf numFmtId="0" fontId="0" fillId="0" borderId="203" xfId="0" applyBorder="1" applyAlignment="1">
      <alignment horizontal="center"/>
    </xf>
    <xf numFmtId="0" fontId="60" fillId="0" borderId="0" xfId="0" applyFont="1" applyAlignment="1">
      <alignment horizontal="center"/>
    </xf>
    <xf numFmtId="0" fontId="65" fillId="0" borderId="0" xfId="0" applyFont="1" applyAlignment="1">
      <alignment horizontal="center"/>
    </xf>
    <xf numFmtId="0" fontId="8" fillId="0" borderId="0" xfId="5" applyFont="1" applyAlignment="1">
      <alignment horizontal="center"/>
    </xf>
    <xf numFmtId="0" fontId="99" fillId="0" borderId="0" xfId="0" applyNumberFormat="1" applyFont="1" applyAlignment="1" applyProtection="1">
      <alignment vertical="center"/>
      <protection locked="0"/>
    </xf>
    <xf numFmtId="0" fontId="98" fillId="0" borderId="35" xfId="0" applyFont="1" applyBorder="1" applyAlignment="1" applyProtection="1">
      <alignment vertical="center"/>
    </xf>
    <xf numFmtId="0" fontId="98" fillId="0" borderId="35" xfId="0" applyFont="1" applyBorder="1" applyAlignment="1" applyProtection="1">
      <alignment vertical="center" wrapText="1"/>
    </xf>
    <xf numFmtId="0" fontId="98" fillId="0" borderId="35" xfId="0" applyFont="1" applyBorder="1" applyAlignment="1" applyProtection="1">
      <alignment horizontal="center" vertical="center"/>
    </xf>
    <xf numFmtId="2" fontId="98" fillId="0" borderId="35" xfId="0" applyNumberFormat="1" applyFont="1" applyBorder="1" applyAlignment="1" applyProtection="1">
      <alignment horizontal="right" vertical="center"/>
    </xf>
    <xf numFmtId="0" fontId="98" fillId="0" borderId="0" xfId="0" applyFont="1" applyAlignment="1" applyProtection="1">
      <alignment vertical="center"/>
    </xf>
    <xf numFmtId="0" fontId="97" fillId="0" borderId="35" xfId="0" applyFont="1" applyBorder="1" applyAlignment="1" applyProtection="1">
      <alignment horizontal="center"/>
    </xf>
    <xf numFmtId="0" fontId="45" fillId="10" borderId="35" xfId="0" applyFont="1" applyFill="1" applyBorder="1" applyAlignment="1" applyProtection="1">
      <alignment vertical="center"/>
    </xf>
    <xf numFmtId="0" fontId="98" fillId="0" borderId="35" xfId="0" applyFont="1" applyBorder="1" applyAlignment="1" applyProtection="1">
      <alignment horizontal="justify" vertical="center" wrapText="1"/>
    </xf>
    <xf numFmtId="0" fontId="47" fillId="0" borderId="35" xfId="0" applyFont="1" applyBorder="1" applyAlignment="1" applyProtection="1">
      <alignment horizontal="justify" vertical="center" wrapText="1"/>
    </xf>
    <xf numFmtId="0" fontId="45" fillId="10" borderId="35" xfId="0" applyFont="1" applyFill="1" applyBorder="1" applyAlignment="1" applyProtection="1">
      <alignment vertical="center" wrapText="1"/>
    </xf>
    <xf numFmtId="0" fontId="101" fillId="37" borderId="35" xfId="7" applyFont="1" applyBorder="1" applyAlignment="1" applyProtection="1">
      <alignment horizontal="center" vertical="center" wrapText="1"/>
    </xf>
    <xf numFmtId="0" fontId="101" fillId="37" borderId="35" xfId="7" applyFont="1" applyBorder="1" applyAlignment="1" applyProtection="1">
      <alignment vertical="center" wrapText="1"/>
    </xf>
    <xf numFmtId="2" fontId="101" fillId="37" borderId="35" xfId="7" applyNumberFormat="1" applyFont="1" applyBorder="1" applyAlignment="1" applyProtection="1">
      <alignment horizontal="right" vertical="center" wrapText="1"/>
    </xf>
    <xf numFmtId="0" fontId="98" fillId="0" borderId="35" xfId="0" applyFont="1" applyBorder="1" applyAlignment="1" applyProtection="1">
      <alignment horizontal="center" vertical="center" wrapText="1"/>
    </xf>
    <xf numFmtId="0" fontId="98" fillId="0" borderId="35" xfId="0" applyFont="1" applyFill="1" applyBorder="1" applyAlignment="1" applyProtection="1">
      <alignment vertical="center" wrapText="1"/>
    </xf>
    <xf numFmtId="0" fontId="98" fillId="0" borderId="35" xfId="0" applyFont="1" applyFill="1" applyBorder="1" applyAlignment="1" applyProtection="1">
      <alignment horizontal="center" vertical="center" wrapText="1"/>
    </xf>
    <xf numFmtId="2" fontId="98" fillId="0" borderId="35" xfId="0" applyNumberFormat="1" applyFont="1" applyFill="1" applyBorder="1" applyAlignment="1" applyProtection="1">
      <alignment horizontal="right" vertical="center" wrapText="1"/>
    </xf>
    <xf numFmtId="0" fontId="98" fillId="0" borderId="35" xfId="0" applyFont="1" applyBorder="1" applyAlignment="1" applyProtection="1">
      <alignment horizontal="left" vertical="center" wrapText="1"/>
    </xf>
    <xf numFmtId="2" fontId="98" fillId="0" borderId="35" xfId="0" applyNumberFormat="1" applyFont="1" applyBorder="1" applyAlignment="1" applyProtection="1">
      <alignment horizontal="right" vertical="center" wrapText="1"/>
    </xf>
    <xf numFmtId="0" fontId="98" fillId="24" borderId="35" xfId="0" applyFont="1" applyFill="1" applyBorder="1" applyAlignment="1" applyProtection="1">
      <alignment horizontal="center" vertical="center" wrapText="1"/>
    </xf>
    <xf numFmtId="0" fontId="98" fillId="24" borderId="35" xfId="0" applyFont="1" applyFill="1" applyBorder="1" applyAlignment="1" applyProtection="1">
      <alignment vertical="center" wrapText="1"/>
    </xf>
    <xf numFmtId="2" fontId="98" fillId="24" borderId="35" xfId="0" applyNumberFormat="1" applyFont="1" applyFill="1" applyBorder="1" applyAlignment="1" applyProtection="1">
      <alignment horizontal="right" vertical="center" wrapText="1"/>
    </xf>
    <xf numFmtId="0" fontId="103" fillId="0" borderId="35" xfId="0" applyFont="1" applyBorder="1" applyAlignment="1" applyProtection="1">
      <alignment vertical="center" wrapText="1"/>
    </xf>
    <xf numFmtId="0" fontId="98" fillId="0" borderId="35" xfId="0" applyFont="1" applyFill="1" applyBorder="1" applyAlignment="1" applyProtection="1">
      <alignment horizontal="center" vertical="center"/>
    </xf>
    <xf numFmtId="0" fontId="103" fillId="24" borderId="35" xfId="0" applyFont="1" applyFill="1" applyBorder="1" applyAlignment="1" applyProtection="1">
      <alignment vertical="center" wrapText="1"/>
    </xf>
    <xf numFmtId="0" fontId="103" fillId="24" borderId="35" xfId="0" applyFont="1" applyFill="1" applyBorder="1" applyAlignment="1" applyProtection="1">
      <alignment horizontal="center" vertical="center" wrapText="1"/>
    </xf>
    <xf numFmtId="2" fontId="103" fillId="24" borderId="35" xfId="0" applyNumberFormat="1" applyFont="1" applyFill="1" applyBorder="1" applyAlignment="1" applyProtection="1">
      <alignment horizontal="right" vertical="center" wrapText="1"/>
    </xf>
    <xf numFmtId="0" fontId="45" fillId="37" borderId="35" xfId="7" applyFont="1" applyBorder="1" applyAlignment="1" applyProtection="1">
      <alignment horizontal="center" vertical="center" wrapText="1"/>
    </xf>
    <xf numFmtId="2" fontId="45" fillId="37" borderId="35" xfId="7" applyNumberFormat="1" applyFont="1" applyBorder="1" applyAlignment="1" applyProtection="1">
      <alignment horizontal="right" vertical="center" wrapText="1"/>
    </xf>
    <xf numFmtId="0" fontId="47" fillId="0" borderId="35" xfId="0" applyFont="1" applyFill="1" applyBorder="1" applyAlignment="1" applyProtection="1">
      <alignment horizontal="center" vertical="center" wrapText="1"/>
    </xf>
    <xf numFmtId="0" fontId="98" fillId="17" borderId="35" xfId="0" applyFont="1" applyFill="1" applyBorder="1" applyAlignment="1" applyProtection="1">
      <alignment horizontal="left" vertical="center" wrapText="1"/>
    </xf>
    <xf numFmtId="0" fontId="47" fillId="17" borderId="35" xfId="0" applyFont="1" applyFill="1" applyBorder="1" applyAlignment="1" applyProtection="1">
      <alignment horizontal="left" vertical="center" wrapText="1"/>
    </xf>
    <xf numFmtId="0" fontId="47" fillId="24" borderId="35" xfId="0" applyFont="1" applyFill="1" applyBorder="1" applyAlignment="1" applyProtection="1">
      <alignment horizontal="left" vertical="center" wrapText="1"/>
    </xf>
    <xf numFmtId="0" fontId="47" fillId="24" borderId="35" xfId="0" applyFont="1" applyFill="1" applyBorder="1" applyAlignment="1" applyProtection="1">
      <alignment horizontal="center" vertical="center" wrapText="1"/>
    </xf>
    <xf numFmtId="2" fontId="47" fillId="24" borderId="35" xfId="0" applyNumberFormat="1" applyFont="1" applyFill="1" applyBorder="1" applyAlignment="1" applyProtection="1">
      <alignment horizontal="right" vertical="center" wrapText="1"/>
    </xf>
    <xf numFmtId="0" fontId="47" fillId="0" borderId="35" xfId="5" applyFont="1" applyBorder="1" applyAlignment="1" applyProtection="1">
      <alignment vertical="center" wrapText="1"/>
    </xf>
    <xf numFmtId="0" fontId="47" fillId="24" borderId="35" xfId="5" applyFont="1" applyFill="1" applyBorder="1" applyAlignment="1" applyProtection="1">
      <alignment vertical="center" wrapText="1"/>
    </xf>
    <xf numFmtId="2" fontId="47" fillId="24" borderId="35" xfId="5" applyNumberFormat="1" applyFont="1" applyFill="1" applyBorder="1" applyAlignment="1" applyProtection="1">
      <alignment horizontal="right" vertical="center" wrapText="1"/>
    </xf>
    <xf numFmtId="0" fontId="47" fillId="0" borderId="35" xfId="0" applyFont="1" applyBorder="1" applyAlignment="1" applyProtection="1">
      <alignment horizontal="left" vertical="center" wrapText="1"/>
    </xf>
    <xf numFmtId="0" fontId="45" fillId="0" borderId="35" xfId="0" applyFont="1" applyFill="1" applyBorder="1" applyAlignment="1" applyProtection="1">
      <alignment vertical="center" wrapText="1"/>
    </xf>
    <xf numFmtId="0" fontId="47" fillId="0" borderId="35" xfId="0" applyFont="1" applyFill="1" applyBorder="1" applyAlignment="1" applyProtection="1">
      <alignment vertical="center" wrapText="1"/>
    </xf>
    <xf numFmtId="0" fontId="45" fillId="24" borderId="35" xfId="0" applyFont="1" applyFill="1" applyBorder="1" applyAlignment="1" applyProtection="1">
      <alignment vertical="center" wrapText="1"/>
    </xf>
    <xf numFmtId="0" fontId="98" fillId="0" borderId="0" xfId="0" applyFont="1" applyBorder="1" applyAlignment="1" applyProtection="1">
      <alignment horizontal="center" vertical="center" wrapText="1"/>
    </xf>
    <xf numFmtId="2" fontId="98" fillId="0" borderId="0" xfId="0" applyNumberFormat="1" applyFont="1" applyBorder="1" applyAlignment="1" applyProtection="1">
      <alignment horizontal="right" vertical="center" wrapText="1"/>
    </xf>
    <xf numFmtId="0" fontId="98" fillId="0" borderId="0" xfId="0" applyFont="1" applyBorder="1" applyAlignment="1" applyProtection="1">
      <alignment vertical="center" wrapText="1"/>
    </xf>
    <xf numFmtId="0" fontId="98" fillId="0" borderId="0" xfId="0" applyFont="1" applyFill="1" applyBorder="1" applyAlignment="1" applyProtection="1">
      <alignment vertical="center" wrapText="1"/>
    </xf>
    <xf numFmtId="0" fontId="66" fillId="0" borderId="0" xfId="0" applyFont="1" applyAlignment="1" applyProtection="1">
      <alignment vertical="top"/>
    </xf>
    <xf numFmtId="0" fontId="66" fillId="0" borderId="0" xfId="0" applyFont="1" applyAlignment="1" applyProtection="1">
      <alignment vertical="top" wrapText="1"/>
    </xf>
    <xf numFmtId="0" fontId="66" fillId="0" borderId="0" xfId="0" applyFont="1" applyAlignment="1" applyProtection="1">
      <alignment horizontal="center" vertical="top"/>
    </xf>
    <xf numFmtId="0" fontId="66" fillId="0" borderId="0" xfId="0" applyFont="1" applyAlignment="1" applyProtection="1">
      <alignment horizontal="right" vertical="top"/>
    </xf>
    <xf numFmtId="0" fontId="36" fillId="10" borderId="38" xfId="0" applyFont="1" applyFill="1" applyBorder="1" applyAlignment="1" applyProtection="1">
      <alignment vertical="top"/>
    </xf>
    <xf numFmtId="0" fontId="66" fillId="0" borderId="0" xfId="0" applyFont="1" applyBorder="1" applyProtection="1"/>
    <xf numFmtId="0" fontId="66" fillId="0" borderId="0" xfId="0" applyFont="1" applyProtection="1"/>
    <xf numFmtId="0" fontId="98" fillId="0" borderId="0" xfId="0" applyFont="1" applyAlignment="1" applyProtection="1">
      <alignment vertical="center" wrapText="1"/>
    </xf>
    <xf numFmtId="0" fontId="98" fillId="0" borderId="0" xfId="0" applyFont="1" applyAlignment="1" applyProtection="1">
      <alignment horizontal="left" vertical="center" wrapText="1"/>
    </xf>
    <xf numFmtId="0" fontId="98" fillId="0" borderId="0" xfId="0" applyFont="1" applyAlignment="1" applyProtection="1">
      <alignment horizontal="center" vertical="center" wrapText="1"/>
    </xf>
    <xf numFmtId="2" fontId="98" fillId="0" borderId="0" xfId="0" applyNumberFormat="1" applyFont="1" applyAlignment="1" applyProtection="1">
      <alignment horizontal="right" vertical="center" wrapText="1"/>
    </xf>
    <xf numFmtId="0" fontId="98" fillId="0" borderId="0" xfId="0" applyFont="1" applyAlignment="1" applyProtection="1">
      <alignment horizontal="center" vertical="center"/>
    </xf>
    <xf numFmtId="2" fontId="98" fillId="0" borderId="0" xfId="0" applyNumberFormat="1" applyFont="1" applyAlignment="1" applyProtection="1">
      <alignment horizontal="right" vertical="center"/>
    </xf>
    <xf numFmtId="0" fontId="94" fillId="2" borderId="0" xfId="0" applyFont="1" applyFill="1" applyBorder="1" applyAlignment="1" applyProtection="1">
      <alignment horizontal="center" vertical="center"/>
      <protection locked="0"/>
    </xf>
    <xf numFmtId="44" fontId="47" fillId="0" borderId="0" xfId="2" applyFont="1" applyFill="1" applyAlignment="1" applyProtection="1">
      <alignment horizontal="right" vertical="center"/>
      <protection locked="0"/>
    </xf>
    <xf numFmtId="0" fontId="94" fillId="0" borderId="0" xfId="0" applyFont="1" applyFill="1" applyBorder="1" applyAlignment="1" applyProtection="1">
      <alignment horizontal="center" vertical="center"/>
      <protection locked="0"/>
    </xf>
    <xf numFmtId="0" fontId="17" fillId="0" borderId="0" xfId="5" applyNumberFormat="1" applyFont="1" applyFill="1" applyAlignment="1" applyProtection="1">
      <alignment vertical="center"/>
      <protection locked="0"/>
    </xf>
    <xf numFmtId="0" fontId="93" fillId="0" borderId="0" xfId="5" applyNumberFormat="1" applyFont="1" applyFill="1" applyAlignment="1" applyProtection="1">
      <alignment vertical="center"/>
      <protection locked="0"/>
    </xf>
    <xf numFmtId="0" fontId="93" fillId="0" borderId="0" xfId="5" applyNumberFormat="1" applyFont="1" applyFill="1" applyBorder="1" applyAlignment="1" applyProtection="1">
      <alignment vertical="center"/>
      <protection locked="0"/>
    </xf>
    <xf numFmtId="0" fontId="98" fillId="0" borderId="0" xfId="0" applyFont="1" applyFill="1" applyBorder="1" applyAlignment="1" applyProtection="1">
      <alignment vertical="center"/>
      <protection locked="0"/>
    </xf>
    <xf numFmtId="44" fontId="47" fillId="0" borderId="35" xfId="2" applyFont="1" applyFill="1" applyBorder="1" applyAlignment="1" applyProtection="1">
      <alignment horizontal="right" vertical="center"/>
      <protection locked="0"/>
    </xf>
    <xf numFmtId="0" fontId="98" fillId="2" borderId="0" xfId="0" applyFont="1" applyFill="1" applyBorder="1" applyAlignment="1" applyProtection="1">
      <alignment vertical="center"/>
      <protection locked="0"/>
    </xf>
    <xf numFmtId="44" fontId="45" fillId="24" borderId="35" xfId="2" applyFont="1" applyFill="1" applyBorder="1" applyAlignment="1" applyProtection="1">
      <alignment horizontal="center" vertical="center" wrapText="1"/>
      <protection locked="0"/>
    </xf>
    <xf numFmtId="44" fontId="47" fillId="0" borderId="35" xfId="2" applyFont="1" applyFill="1" applyBorder="1" applyAlignment="1" applyProtection="1">
      <alignment horizontal="right" vertical="center" wrapText="1"/>
      <protection locked="0"/>
    </xf>
    <xf numFmtId="44" fontId="101" fillId="37" borderId="35" xfId="2" applyFont="1" applyFill="1" applyBorder="1" applyAlignment="1" applyProtection="1">
      <alignment horizontal="right" vertical="center" wrapText="1"/>
      <protection locked="0"/>
    </xf>
    <xf numFmtId="44" fontId="101" fillId="37" borderId="35" xfId="2" applyFont="1" applyFill="1" applyBorder="1" applyAlignment="1" applyProtection="1">
      <alignment vertical="center" wrapText="1"/>
      <protection locked="0"/>
    </xf>
    <xf numFmtId="44" fontId="101" fillId="0" borderId="0" xfId="2" applyFont="1" applyFill="1" applyBorder="1" applyAlignment="1" applyProtection="1">
      <alignment horizontal="right" vertical="center" wrapText="1"/>
      <protection locked="0"/>
    </xf>
    <xf numFmtId="44" fontId="98" fillId="0" borderId="35" xfId="2" applyFont="1" applyFill="1" applyBorder="1" applyAlignment="1" applyProtection="1">
      <alignment horizontal="right" vertical="center" wrapText="1"/>
      <protection locked="0"/>
    </xf>
    <xf numFmtId="44" fontId="98" fillId="0" borderId="35" xfId="2" applyFont="1" applyBorder="1" applyAlignment="1" applyProtection="1">
      <alignment horizontal="right" vertical="center" wrapText="1"/>
      <protection locked="0"/>
    </xf>
    <xf numFmtId="44" fontId="98" fillId="0" borderId="35" xfId="2" applyFont="1" applyBorder="1" applyAlignment="1" applyProtection="1">
      <alignment vertical="center" wrapText="1"/>
      <protection locked="0"/>
    </xf>
    <xf numFmtId="44" fontId="98" fillId="24" borderId="35" xfId="2" applyFont="1" applyFill="1" applyBorder="1" applyAlignment="1" applyProtection="1">
      <alignment horizontal="right" vertical="center" wrapText="1"/>
      <protection locked="0"/>
    </xf>
    <xf numFmtId="44" fontId="103" fillId="24" borderId="35" xfId="2" applyFont="1" applyFill="1" applyBorder="1" applyAlignment="1" applyProtection="1">
      <alignment vertical="center" wrapText="1"/>
      <protection locked="0"/>
    </xf>
    <xf numFmtId="44" fontId="98" fillId="0" borderId="35" xfId="2" applyFont="1" applyFill="1" applyBorder="1" applyAlignment="1" applyProtection="1">
      <alignment vertical="center" wrapText="1"/>
      <protection locked="0"/>
    </xf>
    <xf numFmtId="44" fontId="103" fillId="24" borderId="35" xfId="2" applyFont="1" applyFill="1" applyBorder="1" applyAlignment="1" applyProtection="1">
      <alignment horizontal="right" vertical="center" wrapText="1"/>
      <protection locked="0"/>
    </xf>
    <xf numFmtId="0" fontId="47" fillId="2" borderId="0" xfId="0" applyFont="1" applyFill="1" applyBorder="1" applyAlignment="1" applyProtection="1">
      <alignment horizontal="center" vertical="center"/>
      <protection locked="0"/>
    </xf>
    <xf numFmtId="44" fontId="45" fillId="37" borderId="35" xfId="2" applyFont="1" applyFill="1" applyBorder="1" applyAlignment="1" applyProtection="1">
      <alignment horizontal="right" vertical="center" wrapText="1"/>
      <protection locked="0"/>
    </xf>
    <xf numFmtId="44" fontId="45" fillId="37" borderId="35" xfId="2" applyFont="1" applyFill="1" applyBorder="1" applyAlignment="1" applyProtection="1">
      <alignment horizontal="center" vertical="center" wrapText="1"/>
      <protection locked="0"/>
    </xf>
    <xf numFmtId="44" fontId="103" fillId="39" borderId="35" xfId="2" applyFont="1" applyFill="1" applyBorder="1" applyAlignment="1" applyProtection="1">
      <alignment vertical="center" wrapText="1"/>
      <protection locked="0"/>
    </xf>
    <xf numFmtId="44" fontId="98" fillId="24" borderId="35" xfId="2" applyFont="1" applyFill="1" applyBorder="1" applyAlignment="1" applyProtection="1">
      <alignment vertical="center" wrapText="1"/>
      <protection locked="0"/>
    </xf>
    <xf numFmtId="44" fontId="47" fillId="24" borderId="35" xfId="2" applyFont="1" applyFill="1" applyBorder="1" applyAlignment="1" applyProtection="1">
      <alignment horizontal="right" vertical="center" wrapText="1"/>
      <protection locked="0"/>
    </xf>
    <xf numFmtId="43" fontId="98" fillId="0" borderId="0" xfId="1" applyFont="1" applyAlignment="1" applyProtection="1">
      <alignment vertical="center"/>
      <protection locked="0"/>
    </xf>
    <xf numFmtId="173" fontId="98" fillId="0" borderId="0" xfId="1" applyNumberFormat="1" applyFont="1" applyAlignment="1" applyProtection="1">
      <alignment vertical="center"/>
      <protection locked="0"/>
    </xf>
    <xf numFmtId="170" fontId="47" fillId="0" borderId="0" xfId="3" applyNumberFormat="1" applyFont="1" applyFill="1" applyAlignment="1" applyProtection="1">
      <alignment vertical="center"/>
      <protection locked="0"/>
    </xf>
    <xf numFmtId="167" fontId="98" fillId="0" borderId="0" xfId="0" applyNumberFormat="1" applyFont="1" applyFill="1" applyAlignment="1" applyProtection="1">
      <alignment vertical="center"/>
      <protection locked="0"/>
    </xf>
    <xf numFmtId="44" fontId="98" fillId="0" borderId="0" xfId="2" applyFont="1" applyBorder="1" applyAlignment="1" applyProtection="1">
      <alignment vertical="center" wrapText="1"/>
      <protection locked="0"/>
    </xf>
    <xf numFmtId="185" fontId="98" fillId="0" borderId="0" xfId="0" applyNumberFormat="1" applyFont="1" applyFill="1" applyAlignment="1" applyProtection="1">
      <alignment vertical="center"/>
      <protection locked="0"/>
    </xf>
    <xf numFmtId="0" fontId="66" fillId="0" borderId="0" xfId="0" applyFont="1" applyAlignment="1" applyProtection="1">
      <alignment vertical="top"/>
      <protection locked="0"/>
    </xf>
    <xf numFmtId="166" fontId="66" fillId="0" borderId="0" xfId="1" applyNumberFormat="1" applyFont="1" applyAlignment="1" applyProtection="1">
      <alignment vertical="top"/>
      <protection locked="0"/>
    </xf>
    <xf numFmtId="0" fontId="47" fillId="0" borderId="0" xfId="0" applyFont="1" applyFill="1" applyAlignment="1" applyProtection="1">
      <alignment vertical="center"/>
      <protection locked="0"/>
    </xf>
    <xf numFmtId="0" fontId="47" fillId="0" borderId="0" xfId="0" applyFont="1" applyAlignment="1" applyProtection="1">
      <alignment vertical="center"/>
      <protection locked="0"/>
    </xf>
    <xf numFmtId="44" fontId="47" fillId="0" borderId="0" xfId="2" applyFont="1" applyFill="1" applyBorder="1" applyAlignment="1" applyProtection="1">
      <alignment horizontal="right" vertical="center" wrapText="1"/>
      <protection locked="0"/>
    </xf>
    <xf numFmtId="44" fontId="45" fillId="0" borderId="0" xfId="2" applyFont="1" applyFill="1" applyBorder="1" applyAlignment="1" applyProtection="1">
      <alignment horizontal="right" vertical="center" wrapText="1"/>
      <protection locked="0"/>
    </xf>
    <xf numFmtId="173" fontId="47" fillId="0" borderId="0" xfId="0" applyNumberFormat="1" applyFont="1" applyFill="1" applyAlignment="1" applyProtection="1">
      <alignment vertical="center"/>
      <protection locked="0"/>
    </xf>
    <xf numFmtId="0" fontId="47" fillId="0" borderId="0" xfId="0" applyFont="1" applyFill="1" applyBorder="1" applyAlignment="1" applyProtection="1">
      <alignment vertical="center"/>
      <protection locked="0"/>
    </xf>
    <xf numFmtId="0" fontId="66" fillId="0" borderId="0" xfId="0" applyFont="1" applyProtection="1">
      <protection locked="0"/>
    </xf>
    <xf numFmtId="43" fontId="47" fillId="0" borderId="0" xfId="1" applyFont="1" applyFill="1" applyAlignment="1" applyProtection="1">
      <alignment vertical="center"/>
      <protection locked="0"/>
    </xf>
    <xf numFmtId="0" fontId="98" fillId="0" borderId="0" xfId="0" applyFont="1" applyAlignment="1" applyProtection="1">
      <alignment vertical="center" wrapText="1"/>
      <protection locked="0"/>
    </xf>
    <xf numFmtId="44" fontId="98" fillId="0" borderId="0" xfId="2" applyFont="1" applyAlignment="1" applyProtection="1">
      <alignment vertical="center" wrapText="1"/>
      <protection locked="0"/>
    </xf>
    <xf numFmtId="44" fontId="98" fillId="0" borderId="0" xfId="2" applyFont="1" applyAlignment="1" applyProtection="1">
      <alignment horizontal="right" vertical="center" wrapText="1"/>
      <protection locked="0"/>
    </xf>
    <xf numFmtId="44" fontId="103" fillId="0" borderId="0" xfId="2" applyFont="1" applyAlignment="1" applyProtection="1">
      <alignment vertical="center" wrapText="1"/>
      <protection locked="0"/>
    </xf>
    <xf numFmtId="44" fontId="103" fillId="0" borderId="0" xfId="2" applyFont="1" applyFill="1" applyAlignment="1" applyProtection="1">
      <alignment vertical="center"/>
      <protection locked="0"/>
    </xf>
    <xf numFmtId="44" fontId="98" fillId="0" borderId="0" xfId="2" applyFont="1" applyFill="1" applyAlignment="1" applyProtection="1">
      <alignment vertical="center" wrapText="1"/>
      <protection locked="0"/>
    </xf>
    <xf numFmtId="44" fontId="98" fillId="0" borderId="0" xfId="2" applyFont="1" applyAlignment="1" applyProtection="1">
      <alignment horizontal="right" vertical="center"/>
      <protection locked="0"/>
    </xf>
    <xf numFmtId="44" fontId="98" fillId="0" borderId="0" xfId="2" applyFont="1" applyAlignment="1" applyProtection="1">
      <alignment vertical="center"/>
      <protection locked="0"/>
    </xf>
    <xf numFmtId="44" fontId="47" fillId="0" borderId="0" xfId="2" applyFont="1" applyFill="1" applyBorder="1" applyAlignment="1" applyProtection="1">
      <alignment horizontal="right" vertical="center"/>
      <protection locked="0"/>
    </xf>
    <xf numFmtId="44" fontId="45" fillId="4" borderId="0" xfId="2" applyFont="1" applyFill="1" applyBorder="1" applyAlignment="1" applyProtection="1">
      <alignment vertical="center"/>
      <protection locked="0"/>
    </xf>
    <xf numFmtId="167" fontId="99" fillId="0" borderId="7" xfId="1" applyNumberFormat="1" applyFont="1" applyBorder="1" applyAlignment="1" applyProtection="1">
      <alignment horizontal="right" vertical="center"/>
      <protection locked="0"/>
    </xf>
    <xf numFmtId="166" fontId="98" fillId="0" borderId="179" xfId="1" applyNumberFormat="1" applyFont="1" applyBorder="1" applyAlignment="1" applyProtection="1">
      <alignment horizontal="right" vertical="center"/>
      <protection locked="0"/>
    </xf>
    <xf numFmtId="167" fontId="98" fillId="0" borderId="7" xfId="1" applyNumberFormat="1" applyFont="1" applyBorder="1" applyAlignment="1" applyProtection="1">
      <alignment horizontal="right" vertical="center"/>
      <protection locked="0"/>
    </xf>
    <xf numFmtId="166" fontId="98" fillId="0" borderId="10" xfId="1" applyNumberFormat="1" applyFont="1" applyBorder="1" applyAlignment="1" applyProtection="1">
      <alignment horizontal="right" vertical="center"/>
      <protection locked="0"/>
    </xf>
    <xf numFmtId="166" fontId="98" fillId="0" borderId="11" xfId="1" applyNumberFormat="1" applyFont="1" applyBorder="1" applyAlignment="1" applyProtection="1">
      <alignment horizontal="right" vertical="center"/>
      <protection locked="0"/>
    </xf>
    <xf numFmtId="44" fontId="47" fillId="4" borderId="0" xfId="2" applyFont="1" applyFill="1" applyBorder="1" applyAlignment="1" applyProtection="1">
      <alignment horizontal="right" vertical="center"/>
      <protection locked="0"/>
    </xf>
    <xf numFmtId="0" fontId="97" fillId="19" borderId="0" xfId="0" applyFont="1" applyFill="1" applyBorder="1" applyAlignment="1" applyProtection="1">
      <alignment horizontal="center" vertical="center"/>
      <protection locked="0"/>
    </xf>
    <xf numFmtId="44" fontId="47" fillId="19" borderId="0" xfId="2" applyFont="1" applyFill="1" applyBorder="1" applyAlignment="1" applyProtection="1">
      <alignment horizontal="right" vertical="center"/>
      <protection locked="0"/>
    </xf>
    <xf numFmtId="0" fontId="99" fillId="0" borderId="0" xfId="0" applyFont="1" applyFill="1" applyBorder="1" applyAlignment="1" applyProtection="1">
      <alignment horizontal="center" vertical="center"/>
      <protection locked="0"/>
    </xf>
    <xf numFmtId="44" fontId="45" fillId="40" borderId="35" xfId="2" applyFont="1" applyFill="1" applyBorder="1" applyAlignment="1" applyProtection="1">
      <alignment horizontal="right" vertical="center"/>
      <protection locked="0"/>
    </xf>
    <xf numFmtId="44" fontId="45" fillId="40" borderId="35" xfId="2" applyFont="1" applyFill="1" applyBorder="1" applyAlignment="1" applyProtection="1">
      <alignment horizontal="center" vertical="center" wrapText="1"/>
      <protection locked="0"/>
    </xf>
    <xf numFmtId="44" fontId="101" fillId="0" borderId="0" xfId="2" applyFont="1" applyFill="1" applyBorder="1" applyAlignment="1" applyProtection="1">
      <alignment horizontal="right" vertical="center"/>
      <protection locked="0"/>
    </xf>
    <xf numFmtId="44" fontId="45" fillId="10" borderId="35" xfId="2" applyFont="1" applyFill="1" applyBorder="1" applyAlignment="1" applyProtection="1">
      <alignment horizontal="right" vertical="center" wrapText="1"/>
      <protection locked="0"/>
    </xf>
    <xf numFmtId="44" fontId="45" fillId="38" borderId="35" xfId="2" applyFont="1" applyFill="1" applyBorder="1" applyAlignment="1" applyProtection="1">
      <alignment horizontal="right" vertical="center"/>
      <protection locked="0"/>
    </xf>
    <xf numFmtId="44" fontId="45" fillId="0" borderId="35" xfId="2" applyFont="1" applyFill="1" applyBorder="1" applyAlignment="1" applyProtection="1">
      <alignment horizontal="right" vertical="center"/>
      <protection locked="0"/>
    </xf>
    <xf numFmtId="44" fontId="45" fillId="10" borderId="35" xfId="2" applyFont="1" applyFill="1" applyBorder="1" applyAlignment="1" applyProtection="1">
      <alignment horizontal="right" vertical="center"/>
      <protection locked="0"/>
    </xf>
    <xf numFmtId="44" fontId="45" fillId="25" borderId="35" xfId="2" applyFont="1" applyFill="1" applyBorder="1" applyAlignment="1" applyProtection="1">
      <alignment horizontal="right" vertical="center"/>
      <protection locked="0"/>
    </xf>
    <xf numFmtId="44" fontId="45" fillId="24" borderId="35" xfId="2" applyFont="1" applyFill="1" applyBorder="1" applyAlignment="1" applyProtection="1">
      <alignment horizontal="right" vertical="center"/>
      <protection locked="0"/>
    </xf>
    <xf numFmtId="44" fontId="47" fillId="0" borderId="35" xfId="2" applyFont="1" applyBorder="1" applyAlignment="1" applyProtection="1">
      <alignment horizontal="right" vertical="center" wrapText="1"/>
      <protection locked="0"/>
    </xf>
    <xf numFmtId="44" fontId="98" fillId="17" borderId="35" xfId="2" applyFont="1" applyFill="1" applyBorder="1" applyAlignment="1" applyProtection="1">
      <alignment horizontal="right" vertical="center"/>
      <protection locked="0"/>
    </xf>
    <xf numFmtId="44" fontId="45" fillId="38" borderId="35" xfId="2" applyFont="1" applyFill="1" applyBorder="1" applyAlignment="1" applyProtection="1">
      <alignment horizontal="right" vertical="center" wrapText="1"/>
      <protection locked="0"/>
    </xf>
    <xf numFmtId="44" fontId="45" fillId="24" borderId="35" xfId="2" applyFont="1" applyFill="1" applyBorder="1" applyAlignment="1" applyProtection="1">
      <alignment horizontal="right" vertical="center" wrapText="1"/>
      <protection locked="0"/>
    </xf>
    <xf numFmtId="44" fontId="45" fillId="0" borderId="35" xfId="2" applyFont="1" applyFill="1" applyBorder="1" applyAlignment="1" applyProtection="1">
      <alignment horizontal="right" vertical="center" wrapText="1"/>
      <protection locked="0"/>
    </xf>
    <xf numFmtId="44" fontId="45" fillId="25" borderId="35" xfId="2" applyFont="1" applyFill="1" applyBorder="1" applyAlignment="1" applyProtection="1">
      <alignment horizontal="right" vertical="center" wrapText="1"/>
      <protection locked="0"/>
    </xf>
    <xf numFmtId="167" fontId="45" fillId="17" borderId="35" xfId="1" applyNumberFormat="1" applyFont="1" applyFill="1" applyBorder="1" applyAlignment="1" applyProtection="1">
      <alignment horizontal="center" vertical="center" wrapText="1"/>
      <protection locked="0"/>
    </xf>
    <xf numFmtId="44" fontId="45" fillId="17" borderId="35" xfId="2" applyFont="1" applyFill="1" applyBorder="1" applyAlignment="1" applyProtection="1">
      <alignment horizontal="right" vertical="center" wrapText="1"/>
      <protection locked="0"/>
    </xf>
    <xf numFmtId="167" fontId="101" fillId="0" borderId="0" xfId="1" applyNumberFormat="1" applyFont="1" applyFill="1" applyBorder="1" applyAlignment="1" applyProtection="1">
      <alignment horizontal="center" vertical="center" wrapText="1"/>
      <protection locked="0"/>
    </xf>
    <xf numFmtId="44" fontId="45" fillId="26" borderId="35" xfId="2" applyFont="1" applyFill="1" applyBorder="1" applyAlignment="1" applyProtection="1">
      <alignment horizontal="right" vertical="center" wrapText="1"/>
      <protection locked="0"/>
    </xf>
    <xf numFmtId="44" fontId="45" fillId="10" borderId="39" xfId="2" applyFont="1" applyFill="1" applyBorder="1" applyAlignment="1" applyProtection="1">
      <alignment horizontal="right" vertical="center" wrapText="1"/>
      <protection locked="0"/>
    </xf>
    <xf numFmtId="44" fontId="98" fillId="14" borderId="72" xfId="2" applyFont="1" applyFill="1" applyBorder="1" applyAlignment="1" applyProtection="1">
      <alignment horizontal="right" vertical="center" wrapText="1"/>
      <protection locked="0"/>
    </xf>
    <xf numFmtId="44" fontId="98" fillId="14" borderId="176" xfId="2" applyFont="1" applyFill="1" applyBorder="1" applyAlignment="1" applyProtection="1">
      <alignment vertical="center" wrapText="1"/>
      <protection locked="0"/>
    </xf>
    <xf numFmtId="44" fontId="45" fillId="0" borderId="46" xfId="2" applyFont="1" applyBorder="1" applyAlignment="1" applyProtection="1">
      <alignment vertical="center" wrapText="1"/>
      <protection locked="0"/>
    </xf>
    <xf numFmtId="9" fontId="98" fillId="0" borderId="82" xfId="3" applyFont="1" applyBorder="1" applyAlignment="1" applyProtection="1">
      <alignment horizontal="right" vertical="center" wrapText="1"/>
      <protection locked="0"/>
    </xf>
    <xf numFmtId="44" fontId="98" fillId="0" borderId="230" xfId="2" applyFont="1" applyBorder="1" applyAlignment="1" applyProtection="1">
      <alignment vertical="center" wrapText="1"/>
      <protection locked="0"/>
    </xf>
    <xf numFmtId="9" fontId="98" fillId="0" borderId="232" xfId="3" applyFont="1" applyBorder="1" applyAlignment="1" applyProtection="1">
      <alignment horizontal="right" vertical="center" wrapText="1"/>
      <protection locked="0"/>
    </xf>
    <xf numFmtId="44" fontId="98" fillId="0" borderId="231" xfId="2" applyFont="1" applyBorder="1" applyAlignment="1" applyProtection="1">
      <alignment vertical="center" wrapText="1"/>
      <protection locked="0"/>
    </xf>
    <xf numFmtId="170" fontId="98" fillId="0" borderId="232" xfId="3" applyNumberFormat="1" applyFont="1" applyBorder="1" applyAlignment="1" applyProtection="1">
      <alignment horizontal="right" vertical="center" wrapText="1"/>
      <protection locked="0"/>
    </xf>
    <xf numFmtId="170" fontId="45" fillId="0" borderId="88" xfId="3" applyNumberFormat="1" applyFont="1" applyBorder="1" applyAlignment="1" applyProtection="1">
      <alignment horizontal="right" vertical="center" wrapText="1"/>
      <protection locked="0"/>
    </xf>
    <xf numFmtId="44" fontId="45" fillId="0" borderId="231" xfId="2" applyFont="1" applyBorder="1" applyAlignment="1" applyProtection="1">
      <alignment vertical="center" wrapText="1"/>
      <protection locked="0"/>
    </xf>
    <xf numFmtId="9" fontId="45" fillId="0" borderId="88" xfId="3" applyFont="1" applyBorder="1" applyAlignment="1" applyProtection="1">
      <alignment horizontal="right" vertical="center" wrapText="1"/>
      <protection locked="0"/>
    </xf>
    <xf numFmtId="44" fontId="45" fillId="0" borderId="233" xfId="2" applyFont="1" applyBorder="1" applyAlignment="1" applyProtection="1">
      <alignment vertical="center" wrapText="1"/>
      <protection locked="0"/>
    </xf>
    <xf numFmtId="44" fontId="45" fillId="10" borderId="58" xfId="2" applyFont="1" applyFill="1" applyBorder="1" applyAlignment="1" applyProtection="1">
      <alignment horizontal="right" vertical="center" wrapText="1"/>
      <protection locked="0"/>
    </xf>
    <xf numFmtId="0" fontId="45" fillId="10" borderId="0" xfId="0" applyFont="1" applyFill="1" applyBorder="1" applyAlignment="1" applyProtection="1">
      <alignment horizontal="center" vertical="center" wrapText="1"/>
      <protection locked="0"/>
    </xf>
    <xf numFmtId="44" fontId="45" fillId="10" borderId="0" xfId="2" applyFont="1" applyFill="1" applyBorder="1" applyAlignment="1" applyProtection="1">
      <alignment horizontal="right" vertical="center" wrapText="1"/>
      <protection locked="0"/>
    </xf>
    <xf numFmtId="0" fontId="36" fillId="7" borderId="35" xfId="0" applyFont="1" applyFill="1" applyBorder="1" applyAlignment="1" applyProtection="1">
      <alignment horizontal="center" vertical="center"/>
      <protection locked="0"/>
    </xf>
    <xf numFmtId="166" fontId="36" fillId="7" borderId="35" xfId="1" applyNumberFormat="1" applyFont="1" applyFill="1" applyBorder="1" applyAlignment="1" applyProtection="1">
      <alignment horizontal="center" vertical="center" wrapText="1"/>
      <protection locked="0"/>
    </xf>
    <xf numFmtId="0" fontId="36" fillId="10" borderId="38" xfId="0" applyFont="1" applyFill="1" applyBorder="1" applyAlignment="1" applyProtection="1">
      <alignment vertical="top" wrapText="1"/>
      <protection locked="0"/>
    </xf>
    <xf numFmtId="166" fontId="36" fillId="10" borderId="39" xfId="0" applyNumberFormat="1" applyFont="1" applyFill="1" applyBorder="1" applyAlignment="1" applyProtection="1">
      <alignment horizontal="right" vertical="top" wrapText="1"/>
      <protection locked="0"/>
    </xf>
    <xf numFmtId="167" fontId="66" fillId="0" borderId="238" xfId="1" applyNumberFormat="1" applyFont="1" applyBorder="1" applyAlignment="1" applyProtection="1">
      <alignment horizontal="right" vertical="top"/>
      <protection locked="0"/>
    </xf>
    <xf numFmtId="166" fontId="66" fillId="0" borderId="46" xfId="1" applyNumberFormat="1" applyFont="1" applyBorder="1" applyAlignment="1" applyProtection="1">
      <alignment horizontal="right" vertical="top"/>
      <protection locked="0"/>
    </xf>
    <xf numFmtId="167" fontId="66" fillId="0" borderId="136" xfId="1" applyNumberFormat="1" applyFont="1" applyBorder="1" applyAlignment="1" applyProtection="1">
      <alignment horizontal="right" vertical="top"/>
      <protection locked="0"/>
    </xf>
    <xf numFmtId="166" fontId="66" fillId="0" borderId="179" xfId="1" applyNumberFormat="1" applyFont="1" applyBorder="1" applyAlignment="1" applyProtection="1">
      <alignment horizontal="right" vertical="top"/>
      <protection locked="0"/>
    </xf>
    <xf numFmtId="167" fontId="66" fillId="0" borderId="35" xfId="1" applyNumberFormat="1" applyFont="1" applyFill="1" applyBorder="1" applyAlignment="1" applyProtection="1">
      <alignment horizontal="right" vertical="top" wrapText="1"/>
      <protection locked="0"/>
    </xf>
    <xf numFmtId="167" fontId="66" fillId="0" borderId="52" xfId="1" applyNumberFormat="1" applyFont="1" applyFill="1" applyBorder="1" applyAlignment="1" applyProtection="1">
      <alignment horizontal="right" vertical="top" wrapText="1"/>
      <protection locked="0"/>
    </xf>
    <xf numFmtId="166" fontId="66" fillId="0" borderId="230" xfId="1" applyNumberFormat="1" applyFont="1" applyFill="1" applyBorder="1" applyAlignment="1" applyProtection="1">
      <alignment horizontal="right" vertical="top" wrapText="1"/>
      <protection locked="0"/>
    </xf>
    <xf numFmtId="167" fontId="66" fillId="0" borderId="35" xfId="1" applyNumberFormat="1" applyFont="1" applyBorder="1" applyAlignment="1" applyProtection="1">
      <alignment horizontal="right" vertical="top" wrapText="1"/>
      <protection locked="0"/>
    </xf>
    <xf numFmtId="167" fontId="36" fillId="25" borderId="151" xfId="1" applyNumberFormat="1" applyFont="1" applyFill="1" applyBorder="1" applyAlignment="1" applyProtection="1">
      <alignment horizontal="right" vertical="top"/>
      <protection locked="0"/>
    </xf>
    <xf numFmtId="166" fontId="36" fillId="25" borderId="152" xfId="1" applyNumberFormat="1" applyFont="1" applyFill="1" applyBorder="1" applyAlignment="1" applyProtection="1">
      <alignment horizontal="right" vertical="top"/>
      <protection locked="0"/>
    </xf>
    <xf numFmtId="0" fontId="36" fillId="10" borderId="38" xfId="0" applyFont="1" applyFill="1" applyBorder="1" applyAlignment="1" applyProtection="1">
      <alignment horizontal="right" vertical="center"/>
      <protection locked="0"/>
    </xf>
    <xf numFmtId="166" fontId="36" fillId="10" borderId="39" xfId="1" applyNumberFormat="1" applyFont="1" applyFill="1" applyBorder="1" applyAlignment="1" applyProtection="1">
      <alignment horizontal="right" vertical="center"/>
      <protection locked="0"/>
    </xf>
    <xf numFmtId="0" fontId="66" fillId="14" borderId="72" xfId="0" applyFont="1" applyFill="1" applyBorder="1" applyAlignment="1" applyProtection="1">
      <alignment vertical="top"/>
      <protection locked="0"/>
    </xf>
    <xf numFmtId="166" fontId="66" fillId="14" borderId="176" xfId="1" applyNumberFormat="1" applyFont="1" applyFill="1" applyBorder="1" applyAlignment="1" applyProtection="1">
      <alignment vertical="top"/>
      <protection locked="0"/>
    </xf>
    <xf numFmtId="0" fontId="36" fillId="0" borderId="77" xfId="0" applyFont="1" applyBorder="1" applyAlignment="1" applyProtection="1">
      <alignment horizontal="right"/>
      <protection locked="0"/>
    </xf>
    <xf numFmtId="166" fontId="36" fillId="0" borderId="46" xfId="1" applyNumberFormat="1" applyFont="1" applyBorder="1" applyAlignment="1" applyProtection="1">
      <alignment vertical="top"/>
      <protection locked="0"/>
    </xf>
    <xf numFmtId="10" fontId="66" fillId="0" borderId="82" xfId="0" applyNumberFormat="1" applyFont="1" applyBorder="1" applyAlignment="1" applyProtection="1">
      <alignment horizontal="center"/>
      <protection locked="0"/>
    </xf>
    <xf numFmtId="166" fontId="66" fillId="0" borderId="230" xfId="1" applyNumberFormat="1" applyFont="1" applyBorder="1" applyProtection="1">
      <protection locked="0"/>
    </xf>
    <xf numFmtId="0" fontId="36" fillId="10" borderId="57" xfId="0" applyFont="1" applyFill="1" applyBorder="1" applyAlignment="1" applyProtection="1">
      <alignment horizontal="right"/>
      <protection locked="0"/>
    </xf>
    <xf numFmtId="166" fontId="36" fillId="10" borderId="58" xfId="0" applyNumberFormat="1" applyFont="1" applyFill="1" applyBorder="1" applyAlignment="1" applyProtection="1">
      <alignment horizontal="right"/>
      <protection locked="0"/>
    </xf>
    <xf numFmtId="167" fontId="45" fillId="25" borderId="35" xfId="1" applyNumberFormat="1" applyFont="1" applyFill="1" applyBorder="1" applyAlignment="1" applyProtection="1">
      <alignment vertical="center"/>
      <protection locked="0"/>
    </xf>
    <xf numFmtId="167" fontId="45" fillId="25" borderId="35" xfId="1" applyNumberFormat="1" applyFont="1" applyFill="1" applyBorder="1" applyAlignment="1" applyProtection="1">
      <alignment vertical="center" wrapText="1"/>
      <protection locked="0"/>
    </xf>
    <xf numFmtId="167" fontId="45" fillId="10" borderId="35" xfId="1" applyNumberFormat="1" applyFont="1" applyFill="1" applyBorder="1" applyAlignment="1" applyProtection="1">
      <alignment vertical="center" wrapText="1"/>
      <protection locked="0"/>
    </xf>
    <xf numFmtId="0" fontId="47" fillId="24" borderId="35" xfId="0" applyFont="1" applyFill="1" applyBorder="1" applyAlignment="1" applyProtection="1">
      <alignment vertical="center" wrapText="1"/>
      <protection locked="0"/>
    </xf>
    <xf numFmtId="0" fontId="45" fillId="10" borderId="38" xfId="0" applyFont="1" applyFill="1" applyBorder="1" applyAlignment="1" applyProtection="1">
      <alignment vertical="center" wrapText="1"/>
      <protection locked="0"/>
    </xf>
    <xf numFmtId="0" fontId="45" fillId="0" borderId="77" xfId="0" applyFont="1" applyBorder="1" applyAlignment="1" applyProtection="1">
      <alignment vertical="center" wrapText="1"/>
      <protection locked="0"/>
    </xf>
    <xf numFmtId="0" fontId="45" fillId="10" borderId="57" xfId="0" applyFont="1" applyFill="1" applyBorder="1" applyAlignment="1" applyProtection="1">
      <alignment vertical="center" wrapText="1"/>
      <protection locked="0"/>
    </xf>
    <xf numFmtId="0" fontId="36" fillId="26" borderId="263" xfId="0" applyFont="1" applyFill="1" applyBorder="1" applyAlignment="1" applyProtection="1">
      <alignment vertical="justify"/>
      <protection locked="0"/>
    </xf>
    <xf numFmtId="0" fontId="36" fillId="26" borderId="265" xfId="0" applyFont="1" applyFill="1" applyBorder="1" applyAlignment="1" applyProtection="1">
      <alignment vertical="justify"/>
      <protection locked="0"/>
    </xf>
    <xf numFmtId="0" fontId="36" fillId="0" borderId="72" xfId="0" applyFont="1" applyBorder="1" applyAlignment="1" applyProtection="1">
      <alignment vertical="justify" wrapText="1"/>
      <protection locked="0"/>
    </xf>
    <xf numFmtId="0" fontId="36" fillId="0" borderId="176" xfId="0" applyFont="1" applyBorder="1" applyAlignment="1" applyProtection="1">
      <alignment vertical="justify" wrapText="1"/>
      <protection locked="0"/>
    </xf>
    <xf numFmtId="0" fontId="66" fillId="0" borderId="4" xfId="0" applyFont="1" applyBorder="1" applyAlignment="1" applyProtection="1">
      <alignment vertical="top" wrapText="1"/>
      <protection locked="0"/>
    </xf>
    <xf numFmtId="0" fontId="66" fillId="0" borderId="149" xfId="0" applyFont="1" applyBorder="1" applyAlignment="1" applyProtection="1">
      <alignment vertical="top" wrapText="1"/>
      <protection locked="0"/>
    </xf>
    <xf numFmtId="0" fontId="45" fillId="10" borderId="72" xfId="0" applyFont="1" applyFill="1" applyBorder="1" applyAlignment="1" applyProtection="1">
      <alignment vertical="center" wrapText="1"/>
      <protection locked="0"/>
    </xf>
    <xf numFmtId="0" fontId="45" fillId="10" borderId="73" xfId="0" applyFont="1" applyFill="1" applyBorder="1" applyAlignment="1" applyProtection="1">
      <alignment vertical="center" wrapText="1"/>
      <protection locked="0"/>
    </xf>
    <xf numFmtId="0" fontId="45" fillId="10" borderId="33" xfId="0" applyFont="1" applyFill="1" applyBorder="1" applyAlignment="1" applyProtection="1">
      <alignment vertical="center" wrapText="1"/>
      <protection locked="0"/>
    </xf>
    <xf numFmtId="0" fontId="45" fillId="10" borderId="34" xfId="0" applyFont="1" applyFill="1" applyBorder="1" applyAlignment="1" applyProtection="1">
      <alignment vertical="center" wrapText="1"/>
      <protection locked="0"/>
    </xf>
    <xf numFmtId="0" fontId="97" fillId="3" borderId="0" xfId="0" applyFont="1" applyFill="1" applyBorder="1" applyAlignment="1" applyProtection="1">
      <alignment vertical="center" wrapText="1"/>
      <protection locked="0"/>
    </xf>
    <xf numFmtId="0" fontId="97" fillId="3" borderId="0" xfId="0" applyFont="1" applyFill="1" applyBorder="1" applyAlignment="1" applyProtection="1">
      <alignment vertical="center"/>
      <protection locked="0"/>
    </xf>
    <xf numFmtId="0" fontId="45" fillId="0" borderId="0" xfId="0" applyFont="1" applyFill="1" applyBorder="1" applyAlignment="1" applyProtection="1">
      <alignment vertical="center" wrapText="1"/>
      <protection locked="0"/>
    </xf>
    <xf numFmtId="0" fontId="45" fillId="0" borderId="79" xfId="0" applyFont="1" applyFill="1" applyBorder="1" applyAlignment="1" applyProtection="1">
      <alignment vertical="center" wrapText="1"/>
      <protection locked="0"/>
    </xf>
    <xf numFmtId="0" fontId="47" fillId="0" borderId="0" xfId="0" applyFont="1" applyBorder="1" applyAlignment="1" applyProtection="1">
      <alignment vertical="center" wrapText="1"/>
      <protection locked="0"/>
    </xf>
    <xf numFmtId="0" fontId="47" fillId="3" borderId="0" xfId="0" applyFont="1" applyFill="1" applyBorder="1" applyAlignment="1" applyProtection="1">
      <alignment horizontal="center" vertical="center"/>
    </xf>
    <xf numFmtId="0" fontId="95" fillId="3" borderId="0" xfId="0" applyFont="1" applyFill="1" applyBorder="1" applyAlignment="1" applyProtection="1">
      <alignment horizontal="left" vertical="center"/>
    </xf>
    <xf numFmtId="0" fontId="96" fillId="3" borderId="0" xfId="0" applyFont="1" applyFill="1" applyBorder="1" applyAlignment="1" applyProtection="1">
      <alignment horizontal="center" vertical="center"/>
    </xf>
    <xf numFmtId="0" fontId="97" fillId="3" borderId="0" xfId="0" applyFont="1" applyFill="1" applyBorder="1" applyAlignment="1" applyProtection="1">
      <alignment vertical="center" wrapText="1"/>
    </xf>
    <xf numFmtId="0" fontId="98" fillId="3" borderId="0" xfId="0" quotePrefix="1" applyFont="1" applyFill="1" applyBorder="1" applyAlignment="1" applyProtection="1">
      <alignment horizontal="center" vertical="center"/>
    </xf>
    <xf numFmtId="0" fontId="100" fillId="3" borderId="0" xfId="0" applyFont="1" applyFill="1" applyBorder="1" applyAlignment="1" applyProtection="1">
      <alignment horizontal="left" vertical="center"/>
    </xf>
    <xf numFmtId="0" fontId="98" fillId="3" borderId="0" xfId="0" applyFont="1" applyFill="1" applyBorder="1" applyAlignment="1" applyProtection="1">
      <alignment horizontal="center" vertical="center"/>
    </xf>
    <xf numFmtId="0" fontId="97" fillId="3" borderId="0" xfId="0" applyFont="1" applyFill="1" applyBorder="1" applyAlignment="1" applyProtection="1">
      <alignment vertical="center"/>
    </xf>
    <xf numFmtId="0" fontId="98" fillId="19" borderId="0" xfId="0" quotePrefix="1" applyFont="1" applyFill="1" applyBorder="1" applyAlignment="1" applyProtection="1">
      <alignment horizontal="center" vertical="center"/>
    </xf>
    <xf numFmtId="0" fontId="100" fillId="19" borderId="0" xfId="0" applyFont="1" applyFill="1" applyBorder="1" applyAlignment="1" applyProtection="1">
      <alignment horizontal="left" vertical="center"/>
    </xf>
    <xf numFmtId="0" fontId="98" fillId="19" borderId="0" xfId="0" applyFont="1" applyFill="1" applyBorder="1" applyAlignment="1" applyProtection="1">
      <alignment horizontal="center" vertical="center"/>
    </xf>
    <xf numFmtId="0" fontId="97" fillId="19" borderId="0" xfId="0" applyFont="1" applyFill="1" applyBorder="1" applyAlignment="1" applyProtection="1">
      <alignment horizontal="center" vertical="center"/>
    </xf>
    <xf numFmtId="0" fontId="45" fillId="10" borderId="32" xfId="0" applyFont="1" applyFill="1" applyBorder="1" applyAlignment="1" applyProtection="1">
      <alignment vertical="center" wrapText="1"/>
    </xf>
    <xf numFmtId="0" fontId="45" fillId="10" borderId="33" xfId="0" applyFont="1" applyFill="1" applyBorder="1" applyAlignment="1" applyProtection="1">
      <alignment vertical="center"/>
    </xf>
    <xf numFmtId="0" fontId="45" fillId="10" borderId="33" xfId="0" applyFont="1" applyFill="1" applyBorder="1" applyAlignment="1" applyProtection="1">
      <alignment vertical="center" wrapText="1"/>
    </xf>
    <xf numFmtId="0" fontId="45" fillId="0" borderId="78" xfId="0" applyFont="1" applyFill="1" applyBorder="1" applyAlignment="1" applyProtection="1">
      <alignment vertical="center" wrapText="1"/>
    </xf>
    <xf numFmtId="0" fontId="45" fillId="0" borderId="0" xfId="0" applyFont="1" applyFill="1" applyBorder="1" applyAlignment="1" applyProtection="1">
      <alignment vertical="center" wrapText="1"/>
    </xf>
    <xf numFmtId="0" fontId="17" fillId="24" borderId="5" xfId="5" applyNumberFormat="1" applyFont="1" applyFill="1" applyBorder="1" applyAlignment="1" applyProtection="1">
      <alignment vertical="center"/>
    </xf>
    <xf numFmtId="0" fontId="45" fillId="10" borderId="5" xfId="0" applyFont="1" applyFill="1" applyBorder="1" applyAlignment="1" applyProtection="1">
      <alignment horizontal="center" vertical="center" wrapText="1"/>
    </xf>
    <xf numFmtId="0" fontId="45" fillId="10" borderId="72" xfId="0" applyFont="1" applyFill="1" applyBorder="1" applyAlignment="1" applyProtection="1">
      <alignment vertical="center" wrapText="1"/>
    </xf>
    <xf numFmtId="0" fontId="45" fillId="40" borderId="35" xfId="0" applyFont="1" applyFill="1" applyBorder="1" applyAlignment="1" applyProtection="1">
      <alignment horizontal="center" vertical="center"/>
    </xf>
    <xf numFmtId="2" fontId="45" fillId="40" borderId="35" xfId="0" applyNumberFormat="1" applyFont="1" applyFill="1" applyBorder="1" applyAlignment="1" applyProtection="1">
      <alignment horizontal="right" vertical="center"/>
    </xf>
    <xf numFmtId="0" fontId="45" fillId="10" borderId="35" xfId="0" applyFont="1" applyFill="1" applyBorder="1" applyAlignment="1" applyProtection="1">
      <alignment horizontal="center" vertical="center" wrapText="1"/>
    </xf>
    <xf numFmtId="0" fontId="45" fillId="10" borderId="35" xfId="0" applyFont="1" applyFill="1" applyBorder="1" applyAlignment="1" applyProtection="1">
      <alignment horizontal="left" vertical="center" wrapText="1"/>
    </xf>
    <xf numFmtId="2" fontId="45" fillId="10" borderId="35" xfId="0" applyNumberFormat="1" applyFont="1" applyFill="1" applyBorder="1" applyAlignment="1" applyProtection="1">
      <alignment horizontal="right" vertical="center" wrapText="1"/>
    </xf>
    <xf numFmtId="0" fontId="47" fillId="0" borderId="35" xfId="0" applyFont="1" applyBorder="1" applyAlignment="1" applyProtection="1">
      <alignment horizontal="center" vertical="center"/>
    </xf>
    <xf numFmtId="0" fontId="47" fillId="0" borderId="35" xfId="0" applyFont="1" applyBorder="1" applyAlignment="1" applyProtection="1">
      <alignment vertical="center" wrapText="1"/>
    </xf>
    <xf numFmtId="167" fontId="45" fillId="25" borderId="35" xfId="1" applyNumberFormat="1" applyFont="1" applyFill="1" applyBorder="1" applyAlignment="1" applyProtection="1">
      <alignment horizontal="left" vertical="center"/>
    </xf>
    <xf numFmtId="167" fontId="45" fillId="25" borderId="35" xfId="1" applyNumberFormat="1" applyFont="1" applyFill="1" applyBorder="1" applyAlignment="1" applyProtection="1">
      <alignment vertical="center"/>
    </xf>
    <xf numFmtId="167" fontId="45" fillId="0" borderId="35" xfId="1" applyNumberFormat="1" applyFont="1" applyFill="1" applyBorder="1" applyAlignment="1" applyProtection="1">
      <alignment horizontal="left" vertical="center"/>
    </xf>
    <xf numFmtId="2" fontId="98" fillId="0" borderId="35" xfId="0" applyNumberFormat="1" applyFont="1" applyFill="1" applyBorder="1" applyAlignment="1" applyProtection="1">
      <alignment horizontal="right" vertical="center"/>
    </xf>
    <xf numFmtId="0" fontId="47" fillId="25" borderId="35" xfId="0" applyFont="1" applyFill="1" applyBorder="1" applyAlignment="1" applyProtection="1">
      <alignment vertical="center" wrapText="1"/>
    </xf>
    <xf numFmtId="0" fontId="45" fillId="0" borderId="35" xfId="0" applyFont="1" applyBorder="1" applyAlignment="1" applyProtection="1">
      <alignment horizontal="center" vertical="center" wrapText="1"/>
    </xf>
    <xf numFmtId="0" fontId="47" fillId="17" borderId="35" xfId="0" applyFont="1" applyFill="1" applyBorder="1" applyAlignment="1" applyProtection="1">
      <alignment vertical="center" wrapText="1"/>
    </xf>
    <xf numFmtId="2" fontId="98" fillId="17" borderId="35" xfId="0" applyNumberFormat="1" applyFont="1" applyFill="1" applyBorder="1" applyAlignment="1" applyProtection="1">
      <alignment horizontal="right" vertical="center"/>
    </xf>
    <xf numFmtId="0" fontId="47" fillId="10" borderId="35" xfId="0" applyFont="1" applyFill="1" applyBorder="1" applyAlignment="1" applyProtection="1">
      <alignment horizontal="center" vertical="center"/>
    </xf>
    <xf numFmtId="0" fontId="47" fillId="10" borderId="35" xfId="0" applyFont="1" applyFill="1" applyBorder="1" applyAlignment="1" applyProtection="1">
      <alignment vertical="center" wrapText="1"/>
    </xf>
    <xf numFmtId="0" fontId="98" fillId="10" borderId="35" xfId="0" applyFont="1" applyFill="1" applyBorder="1" applyAlignment="1" applyProtection="1">
      <alignment horizontal="center" vertical="center"/>
    </xf>
    <xf numFmtId="2" fontId="98" fillId="10" borderId="35" xfId="0" applyNumberFormat="1" applyFont="1" applyFill="1" applyBorder="1" applyAlignment="1" applyProtection="1">
      <alignment horizontal="right" vertical="center"/>
    </xf>
    <xf numFmtId="2" fontId="47" fillId="0" borderId="35" xfId="0" applyNumberFormat="1" applyFont="1" applyBorder="1" applyAlignment="1" applyProtection="1">
      <alignment horizontal="center" vertical="center"/>
    </xf>
    <xf numFmtId="0" fontId="98" fillId="25" borderId="35" xfId="0" applyFont="1" applyFill="1" applyBorder="1" applyAlignment="1" applyProtection="1">
      <alignment horizontal="center" vertical="center"/>
    </xf>
    <xf numFmtId="2" fontId="98" fillId="25" borderId="35" xfId="0" applyNumberFormat="1" applyFont="1" applyFill="1" applyBorder="1" applyAlignment="1" applyProtection="1">
      <alignment horizontal="right" vertical="center"/>
    </xf>
    <xf numFmtId="2" fontId="98" fillId="0" borderId="35" xfId="1" applyNumberFormat="1" applyFont="1" applyBorder="1" applyAlignment="1" applyProtection="1">
      <alignment horizontal="right" vertical="center"/>
    </xf>
    <xf numFmtId="175" fontId="47" fillId="0" borderId="35" xfId="0" applyNumberFormat="1" applyFont="1" applyBorder="1" applyAlignment="1" applyProtection="1">
      <alignment horizontal="center" vertical="center"/>
    </xf>
    <xf numFmtId="0" fontId="47" fillId="0" borderId="35" xfId="0" applyFont="1" applyBorder="1" applyAlignment="1" applyProtection="1">
      <alignment horizontal="center" vertical="center" wrapText="1"/>
    </xf>
    <xf numFmtId="2" fontId="47" fillId="0" borderId="35" xfId="0" applyNumberFormat="1" applyFont="1" applyFill="1" applyBorder="1" applyAlignment="1" applyProtection="1">
      <alignment horizontal="center" vertical="center"/>
    </xf>
    <xf numFmtId="0" fontId="47" fillId="17" borderId="35" xfId="0" applyFont="1" applyFill="1" applyBorder="1" applyAlignment="1" applyProtection="1">
      <alignment horizontal="justify" vertical="center" wrapText="1"/>
    </xf>
    <xf numFmtId="0" fontId="47" fillId="0" borderId="35" xfId="0" applyFont="1" applyFill="1" applyBorder="1" applyAlignment="1" applyProtection="1">
      <alignment horizontal="justify" vertical="center" wrapText="1"/>
    </xf>
    <xf numFmtId="2" fontId="98" fillId="21" borderId="35" xfId="0" applyNumberFormat="1" applyFont="1" applyFill="1" applyBorder="1" applyAlignment="1" applyProtection="1">
      <alignment horizontal="right" vertical="center"/>
    </xf>
    <xf numFmtId="0" fontId="47" fillId="0" borderId="35" xfId="0" applyFont="1" applyFill="1" applyBorder="1" applyAlignment="1" applyProtection="1">
      <alignment horizontal="center" vertical="center"/>
    </xf>
    <xf numFmtId="0" fontId="47" fillId="21" borderId="35" xfId="0" applyFont="1" applyFill="1" applyBorder="1" applyAlignment="1" applyProtection="1">
      <alignment vertical="center" wrapText="1"/>
    </xf>
    <xf numFmtId="0" fontId="98" fillId="21" borderId="35" xfId="0" applyFont="1" applyFill="1" applyBorder="1" applyAlignment="1" applyProtection="1">
      <alignment horizontal="center" vertical="center"/>
    </xf>
    <xf numFmtId="0" fontId="47" fillId="21" borderId="35" xfId="0" applyFont="1" applyFill="1" applyBorder="1" applyAlignment="1" applyProtection="1">
      <alignment horizontal="center" vertical="center" wrapText="1"/>
    </xf>
    <xf numFmtId="0" fontId="47" fillId="0" borderId="35" xfId="0" applyFont="1" applyBorder="1" applyAlignment="1" applyProtection="1">
      <alignment vertical="center"/>
    </xf>
    <xf numFmtId="0" fontId="47" fillId="25" borderId="35" xfId="0" applyFont="1" applyFill="1" applyBorder="1" applyAlignment="1" applyProtection="1">
      <alignment horizontal="center" vertical="center"/>
    </xf>
    <xf numFmtId="0" fontId="98" fillId="17" borderId="35" xfId="0" applyFont="1" applyFill="1" applyBorder="1" applyAlignment="1" applyProtection="1">
      <alignment horizontal="center" vertical="center"/>
    </xf>
    <xf numFmtId="0" fontId="98" fillId="17" borderId="35" xfId="0" applyFont="1" applyFill="1" applyBorder="1" applyAlignment="1" applyProtection="1">
      <alignment horizontal="center" vertical="center" wrapText="1"/>
    </xf>
    <xf numFmtId="2" fontId="98" fillId="17" borderId="35" xfId="0" applyNumberFormat="1" applyFont="1" applyFill="1" applyBorder="1" applyAlignment="1" applyProtection="1">
      <alignment horizontal="right" vertical="center" wrapText="1"/>
    </xf>
    <xf numFmtId="0" fontId="45" fillId="10" borderId="35" xfId="0" applyFont="1" applyFill="1" applyBorder="1" applyAlignment="1" applyProtection="1">
      <alignment horizontal="center" vertical="center"/>
    </xf>
    <xf numFmtId="0" fontId="45" fillId="0" borderId="35" xfId="0" applyFont="1" applyFill="1" applyBorder="1" applyAlignment="1" applyProtection="1">
      <alignment horizontal="center" vertical="center" wrapText="1"/>
    </xf>
    <xf numFmtId="0" fontId="47" fillId="0" borderId="35" xfId="0" applyFont="1" applyFill="1" applyBorder="1" applyAlignment="1" applyProtection="1">
      <alignment vertical="center"/>
    </xf>
    <xf numFmtId="0" fontId="47" fillId="17" borderId="35" xfId="0" applyFont="1" applyFill="1" applyBorder="1" applyAlignment="1" applyProtection="1">
      <alignment vertical="center"/>
    </xf>
    <xf numFmtId="0" fontId="47" fillId="10" borderId="35" xfId="0" applyFont="1" applyFill="1" applyBorder="1" applyAlignment="1" applyProtection="1">
      <alignment vertical="center"/>
    </xf>
    <xf numFmtId="0" fontId="47" fillId="0" borderId="35" xfId="0" applyFont="1" applyFill="1" applyBorder="1" applyAlignment="1" applyProtection="1">
      <alignment horizontal="left" vertical="center" wrapText="1"/>
    </xf>
    <xf numFmtId="2" fontId="98" fillId="0" borderId="35" xfId="1" applyNumberFormat="1" applyFont="1" applyFill="1" applyBorder="1" applyAlignment="1" applyProtection="1">
      <alignment horizontal="right" vertical="center"/>
    </xf>
    <xf numFmtId="0" fontId="55" fillId="17" borderId="35" xfId="0" applyFont="1" applyFill="1" applyBorder="1" applyAlignment="1" applyProtection="1">
      <alignment vertical="center" wrapText="1"/>
    </xf>
    <xf numFmtId="0" fontId="47" fillId="24" borderId="35" xfId="0" applyFont="1" applyFill="1" applyBorder="1" applyAlignment="1" applyProtection="1">
      <alignment horizontal="center" vertical="center"/>
    </xf>
    <xf numFmtId="167" fontId="45" fillId="10" borderId="35" xfId="1" applyNumberFormat="1" applyFont="1" applyFill="1" applyBorder="1" applyAlignment="1" applyProtection="1">
      <alignment vertical="center" wrapText="1"/>
    </xf>
    <xf numFmtId="0" fontId="47" fillId="25" borderId="35" xfId="0" applyFont="1" applyFill="1" applyBorder="1" applyAlignment="1" applyProtection="1">
      <alignment horizontal="center" vertical="center" wrapText="1"/>
    </xf>
    <xf numFmtId="167" fontId="45" fillId="25" borderId="35" xfId="1" applyNumberFormat="1" applyFont="1" applyFill="1" applyBorder="1" applyAlignment="1" applyProtection="1">
      <alignment vertical="center" wrapText="1"/>
    </xf>
    <xf numFmtId="0" fontId="45" fillId="37" borderId="35" xfId="7" applyFont="1" applyBorder="1" applyAlignment="1" applyProtection="1">
      <alignment vertical="center"/>
    </xf>
    <xf numFmtId="2" fontId="47" fillId="0" borderId="35" xfId="0" applyNumberFormat="1" applyFont="1" applyBorder="1" applyAlignment="1" applyProtection="1">
      <alignment horizontal="center" vertical="center" wrapText="1"/>
    </xf>
    <xf numFmtId="2" fontId="98" fillId="0" borderId="35" xfId="0" applyNumberFormat="1" applyFont="1" applyBorder="1" applyAlignment="1" applyProtection="1">
      <alignment horizontal="center" vertical="center"/>
    </xf>
    <xf numFmtId="2" fontId="47" fillId="25" borderId="35" xfId="0" applyNumberFormat="1" applyFont="1" applyFill="1" applyBorder="1" applyAlignment="1" applyProtection="1">
      <alignment horizontal="center" vertical="center" wrapText="1"/>
    </xf>
    <xf numFmtId="1" fontId="45" fillId="0" borderId="35" xfId="0" applyNumberFormat="1" applyFont="1" applyBorder="1" applyAlignment="1" applyProtection="1">
      <alignment horizontal="center" vertical="center" wrapText="1"/>
    </xf>
    <xf numFmtId="175" fontId="47" fillId="0" borderId="35" xfId="0" applyNumberFormat="1" applyFont="1" applyBorder="1" applyAlignment="1" applyProtection="1">
      <alignment horizontal="center" vertical="center" wrapText="1"/>
    </xf>
    <xf numFmtId="0" fontId="45" fillId="24" borderId="35" xfId="0" applyFont="1" applyFill="1" applyBorder="1" applyAlignment="1" applyProtection="1">
      <alignment horizontal="center" vertical="center" wrapText="1"/>
    </xf>
    <xf numFmtId="2" fontId="45" fillId="24" borderId="35" xfId="0" applyNumberFormat="1" applyFont="1" applyFill="1" applyBorder="1" applyAlignment="1" applyProtection="1">
      <alignment horizontal="right" vertical="center" wrapText="1"/>
    </xf>
    <xf numFmtId="0" fontId="47" fillId="24" borderId="35" xfId="0" applyFont="1" applyFill="1" applyBorder="1" applyAlignment="1" applyProtection="1">
      <alignment vertical="center" wrapText="1"/>
    </xf>
    <xf numFmtId="0" fontId="98" fillId="25" borderId="35" xfId="0" applyFont="1" applyFill="1" applyBorder="1" applyAlignment="1" applyProtection="1">
      <alignment horizontal="center" vertical="center" wrapText="1"/>
    </xf>
    <xf numFmtId="0" fontId="98" fillId="17" borderId="35" xfId="0" applyFont="1" applyFill="1" applyBorder="1" applyAlignment="1" applyProtection="1">
      <alignment vertical="center" wrapText="1"/>
    </xf>
    <xf numFmtId="0" fontId="103" fillId="0" borderId="35" xfId="0" applyFont="1" applyFill="1" applyBorder="1" applyAlignment="1" applyProtection="1">
      <alignment horizontal="center" vertical="center" wrapText="1"/>
    </xf>
    <xf numFmtId="2" fontId="45" fillId="0" borderId="35" xfId="0" applyNumberFormat="1" applyFont="1" applyFill="1" applyBorder="1" applyAlignment="1" applyProtection="1">
      <alignment horizontal="right" vertical="center" wrapText="1"/>
    </xf>
    <xf numFmtId="2" fontId="47" fillId="0" borderId="35" xfId="0" applyNumberFormat="1" applyFont="1" applyFill="1" applyBorder="1" applyAlignment="1" applyProtection="1">
      <alignment horizontal="right" vertical="center" wrapText="1"/>
    </xf>
    <xf numFmtId="0" fontId="47" fillId="17" borderId="35" xfId="0" applyFont="1" applyFill="1" applyBorder="1" applyAlignment="1" applyProtection="1">
      <alignment horizontal="center" vertical="center" wrapText="1"/>
    </xf>
    <xf numFmtId="167" fontId="45" fillId="17" borderId="35" xfId="1" applyNumberFormat="1" applyFont="1" applyFill="1" applyBorder="1" applyAlignment="1" applyProtection="1">
      <alignment horizontal="center" vertical="center" wrapText="1"/>
    </xf>
    <xf numFmtId="167" fontId="45" fillId="17" borderId="35" xfId="1" applyNumberFormat="1" applyFont="1" applyFill="1" applyBorder="1" applyAlignment="1" applyProtection="1">
      <alignment horizontal="right" vertical="center" wrapText="1"/>
    </xf>
    <xf numFmtId="0" fontId="45" fillId="25" borderId="35" xfId="0" applyFont="1" applyFill="1" applyBorder="1" applyAlignment="1" applyProtection="1">
      <alignment horizontal="center" vertical="center" wrapText="1"/>
    </xf>
    <xf numFmtId="0" fontId="103" fillId="25" borderId="35" xfId="0" applyFont="1" applyFill="1" applyBorder="1" applyAlignment="1" applyProtection="1">
      <alignment vertical="center" wrapText="1"/>
    </xf>
    <xf numFmtId="0" fontId="98" fillId="26" borderId="35" xfId="0" applyFont="1" applyFill="1" applyBorder="1" applyAlignment="1" applyProtection="1">
      <alignment vertical="center" wrapText="1"/>
    </xf>
    <xf numFmtId="0" fontId="47" fillId="26" borderId="35" xfId="0" applyFont="1" applyFill="1" applyBorder="1" applyAlignment="1" applyProtection="1">
      <alignment vertical="center" wrapText="1"/>
    </xf>
    <xf numFmtId="0" fontId="98" fillId="26" borderId="35" xfId="0" applyFont="1" applyFill="1" applyBorder="1" applyAlignment="1" applyProtection="1">
      <alignment horizontal="center" vertical="center" wrapText="1"/>
    </xf>
    <xf numFmtId="2" fontId="98" fillId="26" borderId="35" xfId="0" applyNumberFormat="1" applyFont="1" applyFill="1" applyBorder="1" applyAlignment="1" applyProtection="1">
      <alignment horizontal="right" vertical="center" wrapText="1"/>
    </xf>
    <xf numFmtId="0" fontId="98" fillId="10" borderId="35" xfId="0" applyFont="1" applyFill="1" applyBorder="1" applyAlignment="1" applyProtection="1">
      <alignment horizontal="center" vertical="center" wrapText="1"/>
    </xf>
    <xf numFmtId="2" fontId="98" fillId="10" borderId="35" xfId="0" applyNumberFormat="1" applyFont="1" applyFill="1" applyBorder="1" applyAlignment="1" applyProtection="1">
      <alignment horizontal="right" vertical="center" wrapText="1"/>
    </xf>
    <xf numFmtId="2" fontId="98" fillId="0" borderId="35" xfId="1" applyNumberFormat="1" applyFont="1" applyBorder="1" applyAlignment="1" applyProtection="1">
      <alignment horizontal="right" vertical="center" wrapText="1"/>
    </xf>
    <xf numFmtId="0" fontId="98" fillId="0" borderId="153" xfId="0" applyFont="1" applyBorder="1" applyAlignment="1" applyProtection="1">
      <alignment vertical="center" wrapText="1"/>
    </xf>
    <xf numFmtId="0" fontId="47" fillId="0" borderId="0" xfId="0" applyFont="1" applyBorder="1" applyAlignment="1" applyProtection="1">
      <alignment vertical="center" wrapText="1"/>
    </xf>
    <xf numFmtId="0" fontId="45" fillId="10" borderId="37" xfId="0" applyFont="1" applyFill="1" applyBorder="1" applyAlignment="1" applyProtection="1">
      <alignment vertical="center" wrapText="1"/>
    </xf>
    <xf numFmtId="0" fontId="45" fillId="10" borderId="38" xfId="0" applyFont="1" applyFill="1" applyBorder="1" applyAlignment="1" applyProtection="1">
      <alignment vertical="center" wrapText="1"/>
    </xf>
    <xf numFmtId="167" fontId="98" fillId="0" borderId="0" xfId="1" applyNumberFormat="1" applyFont="1" applyFill="1" applyBorder="1" applyAlignment="1" applyProtection="1">
      <alignment vertical="center" wrapText="1"/>
    </xf>
    <xf numFmtId="0" fontId="45" fillId="14" borderId="189" xfId="0" applyFont="1" applyFill="1" applyBorder="1" applyAlignment="1" applyProtection="1">
      <alignment vertical="center" wrapText="1"/>
    </xf>
    <xf numFmtId="0" fontId="98" fillId="14" borderId="72" xfId="0" applyFont="1" applyFill="1" applyBorder="1" applyAlignment="1" applyProtection="1">
      <alignment horizontal="center" vertical="center" wrapText="1"/>
    </xf>
    <xf numFmtId="2" fontId="98" fillId="14" borderId="72" xfId="0" applyNumberFormat="1" applyFont="1" applyFill="1" applyBorder="1" applyAlignment="1" applyProtection="1">
      <alignment horizontal="right" vertical="center" wrapText="1"/>
    </xf>
    <xf numFmtId="0" fontId="45" fillId="0" borderId="44" xfId="0" applyFont="1" applyBorder="1" applyAlignment="1" applyProtection="1">
      <alignment vertical="center" wrapText="1"/>
    </xf>
    <xf numFmtId="0" fontId="45" fillId="0" borderId="47" xfId="0" applyFont="1" applyBorder="1" applyAlignment="1" applyProtection="1">
      <alignment vertical="center" wrapText="1"/>
    </xf>
    <xf numFmtId="0" fontId="98" fillId="0" borderId="178" xfId="0" applyFont="1" applyBorder="1" applyAlignment="1" applyProtection="1">
      <alignment vertical="center" wrapText="1"/>
    </xf>
    <xf numFmtId="0" fontId="98" fillId="0" borderId="190" xfId="0" applyFont="1" applyBorder="1" applyAlignment="1" applyProtection="1">
      <alignment vertical="center" wrapText="1"/>
    </xf>
    <xf numFmtId="0" fontId="45" fillId="0" borderId="178" xfId="0" applyFont="1" applyBorder="1" applyAlignment="1" applyProtection="1">
      <alignment vertical="center" wrapText="1"/>
    </xf>
    <xf numFmtId="0" fontId="45" fillId="0" borderId="190" xfId="0" applyFont="1" applyBorder="1" applyAlignment="1" applyProtection="1">
      <alignment vertical="center" wrapText="1"/>
    </xf>
    <xf numFmtId="0" fontId="45" fillId="0" borderId="264" xfId="0" applyFont="1" applyBorder="1" applyAlignment="1" applyProtection="1">
      <alignment vertical="center" wrapText="1"/>
    </xf>
    <xf numFmtId="0" fontId="45" fillId="0" borderId="263" xfId="0" applyFont="1" applyBorder="1" applyAlignment="1" applyProtection="1">
      <alignment vertical="center" wrapText="1"/>
    </xf>
    <xf numFmtId="0" fontId="45" fillId="10" borderId="56" xfId="0" applyFont="1" applyFill="1" applyBorder="1" applyAlignment="1" applyProtection="1">
      <alignment vertical="center" wrapText="1"/>
    </xf>
    <xf numFmtId="0" fontId="45" fillId="10" borderId="57" xfId="0" applyFont="1" applyFill="1" applyBorder="1" applyAlignment="1" applyProtection="1">
      <alignment vertical="center" wrapText="1"/>
    </xf>
    <xf numFmtId="0" fontId="45" fillId="10" borderId="0" xfId="0" applyFont="1" applyFill="1" applyBorder="1" applyAlignment="1" applyProtection="1">
      <alignment horizontal="center" vertical="center" wrapText="1"/>
    </xf>
    <xf numFmtId="0" fontId="103" fillId="0" borderId="0" xfId="0" applyFont="1" applyBorder="1" applyAlignment="1" applyProtection="1">
      <alignment vertical="center" wrapText="1"/>
    </xf>
    <xf numFmtId="0" fontId="36" fillId="7" borderId="35" xfId="0" applyFont="1" applyFill="1" applyBorder="1" applyAlignment="1" applyProtection="1">
      <alignment horizontal="center" vertical="center"/>
    </xf>
    <xf numFmtId="0" fontId="36" fillId="10" borderId="37" xfId="0" applyFont="1" applyFill="1" applyBorder="1" applyAlignment="1" applyProtection="1">
      <alignment horizontal="center" vertical="top" wrapText="1"/>
    </xf>
    <xf numFmtId="0" fontId="36" fillId="10" borderId="38" xfId="0" applyFont="1" applyFill="1" applyBorder="1" applyAlignment="1" applyProtection="1">
      <alignment vertical="top" wrapText="1"/>
    </xf>
    <xf numFmtId="0" fontId="17" fillId="0" borderId="45" xfId="0" applyFont="1" applyBorder="1" applyAlignment="1" applyProtection="1">
      <alignment horizontal="center" vertical="top"/>
    </xf>
    <xf numFmtId="0" fontId="47" fillId="0" borderId="41" xfId="0" applyFont="1" applyBorder="1" applyAlignment="1" applyProtection="1">
      <alignment vertical="top" wrapText="1"/>
    </xf>
    <xf numFmtId="0" fontId="66" fillId="0" borderId="41" xfId="0" applyFont="1" applyBorder="1" applyAlignment="1" applyProtection="1">
      <alignment horizontal="center" vertical="top"/>
    </xf>
    <xf numFmtId="0" fontId="66" fillId="0" borderId="41" xfId="0" applyFont="1" applyBorder="1" applyAlignment="1" applyProtection="1">
      <alignment horizontal="right" vertical="top"/>
    </xf>
    <xf numFmtId="0" fontId="17" fillId="0" borderId="51" xfId="0" applyFont="1" applyBorder="1" applyAlignment="1" applyProtection="1">
      <alignment horizontal="center" vertical="top" wrapText="1"/>
    </xf>
    <xf numFmtId="0" fontId="47" fillId="0" borderId="52" xfId="0" applyFont="1" applyBorder="1" applyAlignment="1" applyProtection="1">
      <alignment vertical="top" wrapText="1"/>
    </xf>
    <xf numFmtId="0" fontId="66" fillId="0" borderId="52" xfId="0" applyFont="1" applyBorder="1" applyAlignment="1" applyProtection="1">
      <alignment horizontal="center" vertical="top" wrapText="1"/>
    </xf>
    <xf numFmtId="2" fontId="66" fillId="0" borderId="52" xfId="0" applyNumberFormat="1" applyFont="1" applyBorder="1" applyAlignment="1" applyProtection="1">
      <alignment horizontal="right" vertical="top" wrapText="1"/>
    </xf>
    <xf numFmtId="0" fontId="66" fillId="0" borderId="52" xfId="0" applyFont="1" applyBorder="1" applyAlignment="1" applyProtection="1">
      <alignment horizontal="right" vertical="top" wrapText="1"/>
    </xf>
    <xf numFmtId="0" fontId="36" fillId="26" borderId="264" xfId="0" applyFont="1" applyFill="1" applyBorder="1" applyAlignment="1" applyProtection="1">
      <alignment vertical="justify"/>
    </xf>
    <xf numFmtId="0" fontId="36" fillId="26" borderId="263" xfId="0" applyFont="1" applyFill="1" applyBorder="1" applyAlignment="1" applyProtection="1">
      <alignment vertical="justify"/>
    </xf>
    <xf numFmtId="0" fontId="47" fillId="0" borderId="35" xfId="0" applyFont="1" applyBorder="1" applyAlignment="1" applyProtection="1">
      <alignment horizontal="justify" vertical="justify" wrapText="1"/>
    </xf>
    <xf numFmtId="0" fontId="66" fillId="0" borderId="35" xfId="0" applyFont="1" applyBorder="1" applyAlignment="1" applyProtection="1">
      <alignment horizontal="center" vertical="top" wrapText="1"/>
    </xf>
    <xf numFmtId="2" fontId="66" fillId="0" borderId="35" xfId="0" applyNumberFormat="1" applyFont="1" applyBorder="1" applyAlignment="1" applyProtection="1">
      <alignment horizontal="right" vertical="top" wrapText="1"/>
    </xf>
    <xf numFmtId="0" fontId="47" fillId="0" borderId="52" xfId="0" applyFont="1" applyFill="1" applyBorder="1" applyAlignment="1" applyProtection="1">
      <alignment horizontal="left" vertical="top" wrapText="1"/>
    </xf>
    <xf numFmtId="0" fontId="66" fillId="0" borderId="52" xfId="0" applyFont="1" applyFill="1" applyBorder="1" applyAlignment="1" applyProtection="1">
      <alignment horizontal="center" vertical="top" wrapText="1"/>
    </xf>
    <xf numFmtId="2" fontId="66" fillId="0" borderId="52" xfId="0" applyNumberFormat="1" applyFont="1" applyFill="1" applyBorder="1" applyAlignment="1" applyProtection="1">
      <alignment horizontal="right" vertical="top" wrapText="1"/>
    </xf>
    <xf numFmtId="0" fontId="47" fillId="0" borderId="35" xfId="0" applyFont="1" applyFill="1" applyBorder="1" applyAlignment="1" applyProtection="1">
      <alignment horizontal="justify" vertical="justify" wrapText="1"/>
    </xf>
    <xf numFmtId="0" fontId="66" fillId="0" borderId="35" xfId="0" applyFont="1" applyFill="1" applyBorder="1" applyAlignment="1" applyProtection="1">
      <alignment horizontal="center" vertical="top" wrapText="1"/>
    </xf>
    <xf numFmtId="2" fontId="66" fillId="0" borderId="35" xfId="0" applyNumberFormat="1" applyFont="1" applyFill="1" applyBorder="1" applyAlignment="1" applyProtection="1">
      <alignment horizontal="right" vertical="top" wrapText="1"/>
    </xf>
    <xf numFmtId="0" fontId="36" fillId="0" borderId="5" xfId="0" applyFont="1" applyBorder="1" applyAlignment="1" applyProtection="1">
      <alignment vertical="justify" wrapText="1"/>
    </xf>
    <xf numFmtId="0" fontId="36" fillId="0" borderId="72" xfId="0" applyFont="1" applyBorder="1" applyAlignment="1" applyProtection="1">
      <alignment vertical="justify" wrapText="1"/>
    </xf>
    <xf numFmtId="0" fontId="17" fillId="0" borderId="50" xfId="0" applyFont="1" applyBorder="1" applyAlignment="1" applyProtection="1">
      <alignment horizontal="center" vertical="top" wrapText="1"/>
    </xf>
    <xf numFmtId="0" fontId="47" fillId="0" borderId="35" xfId="0" applyFont="1" applyBorder="1" applyAlignment="1" applyProtection="1">
      <alignment vertical="top" wrapText="1"/>
    </xf>
    <xf numFmtId="0" fontId="47" fillId="0" borderId="35" xfId="0" applyFont="1" applyBorder="1" applyAlignment="1" applyProtection="1">
      <alignment horizontal="center" vertical="top" wrapText="1"/>
    </xf>
    <xf numFmtId="2" fontId="66" fillId="0" borderId="35" xfId="1" applyNumberFormat="1" applyFont="1" applyBorder="1" applyAlignment="1" applyProtection="1">
      <alignment horizontal="right" vertical="top" wrapText="1"/>
    </xf>
    <xf numFmtId="0" fontId="17" fillId="25" borderId="56" xfId="0" applyFont="1" applyFill="1" applyBorder="1" applyAlignment="1" applyProtection="1">
      <alignment horizontal="center" vertical="top"/>
    </xf>
    <xf numFmtId="0" fontId="47" fillId="25" borderId="151" xfId="0" applyFont="1" applyFill="1" applyBorder="1" applyAlignment="1" applyProtection="1">
      <alignment vertical="top" wrapText="1"/>
    </xf>
    <xf numFmtId="0" fontId="66" fillId="25" borderId="151" xfId="0" applyFont="1" applyFill="1" applyBorder="1" applyAlignment="1" applyProtection="1">
      <alignment horizontal="center" vertical="top"/>
    </xf>
    <xf numFmtId="0" fontId="66" fillId="25" borderId="151" xfId="0" applyFont="1" applyFill="1" applyBorder="1" applyAlignment="1" applyProtection="1">
      <alignment horizontal="right" vertical="top"/>
    </xf>
    <xf numFmtId="0" fontId="66" fillId="0" borderId="266" xfId="0" applyFont="1" applyBorder="1" applyAlignment="1" applyProtection="1">
      <alignment vertical="top" wrapText="1"/>
    </xf>
    <xf numFmtId="0" fontId="66" fillId="0" borderId="4" xfId="0" applyFont="1" applyBorder="1" applyAlignment="1" applyProtection="1">
      <alignment vertical="top" wrapText="1"/>
    </xf>
    <xf numFmtId="0" fontId="66" fillId="10" borderId="37" xfId="0" applyFont="1" applyFill="1" applyBorder="1" applyAlignment="1" applyProtection="1">
      <alignment vertical="center"/>
    </xf>
    <xf numFmtId="0" fontId="66" fillId="10" borderId="38" xfId="0" applyFont="1" applyFill="1" applyBorder="1" applyAlignment="1" applyProtection="1">
      <alignment vertical="center"/>
    </xf>
    <xf numFmtId="0" fontId="66" fillId="0" borderId="153" xfId="0" applyFont="1" applyBorder="1" applyAlignment="1" applyProtection="1">
      <alignment vertical="top" wrapText="1"/>
    </xf>
    <xf numFmtId="0" fontId="36" fillId="14" borderId="189" xfId="0" applyFont="1" applyFill="1" applyBorder="1" applyAlignment="1" applyProtection="1">
      <alignment vertical="top" wrapText="1"/>
    </xf>
    <xf numFmtId="0" fontId="66" fillId="14" borderId="72" xfId="0" applyFont="1" applyFill="1" applyBorder="1" applyAlignment="1" applyProtection="1">
      <alignment horizontal="center" vertical="top"/>
    </xf>
    <xf numFmtId="0" fontId="66" fillId="14" borderId="72" xfId="0" applyFont="1" applyFill="1" applyBorder="1" applyAlignment="1" applyProtection="1">
      <alignment horizontal="right" vertical="top"/>
    </xf>
    <xf numFmtId="0" fontId="66" fillId="0" borderId="44" xfId="0" applyFont="1" applyBorder="1" applyProtection="1"/>
    <xf numFmtId="0" fontId="66" fillId="0" borderId="47" xfId="0" applyFont="1" applyBorder="1" applyProtection="1"/>
    <xf numFmtId="0" fontId="66" fillId="0" borderId="50" xfId="0" applyFont="1" applyBorder="1" applyProtection="1"/>
    <xf numFmtId="0" fontId="66" fillId="0" borderId="81" xfId="0" applyFont="1" applyBorder="1" applyProtection="1"/>
    <xf numFmtId="0" fontId="66" fillId="0" borderId="81" xfId="0" applyFont="1" applyBorder="1" applyAlignment="1" applyProtection="1">
      <alignment horizontal="right"/>
    </xf>
    <xf numFmtId="0" fontId="104" fillId="10" borderId="56" xfId="4" applyFont="1" applyFill="1" applyBorder="1" applyAlignment="1" applyProtection="1"/>
    <xf numFmtId="0" fontId="66" fillId="10" borderId="57" xfId="0" applyFont="1" applyFill="1" applyBorder="1" applyProtection="1"/>
  </cellXfs>
  <cellStyles count="15">
    <cellStyle name="Celda de comprobación" xfId="7" builtinId="23"/>
    <cellStyle name="Hipervínculo" xfId="4" builtinId="8"/>
    <cellStyle name="Millares" xfId="1" builtinId="3"/>
    <cellStyle name="Millares 2" xfId="6"/>
    <cellStyle name="Millares 3" xfId="10"/>
    <cellStyle name="Millares 5" xfId="13"/>
    <cellStyle name="Moneda" xfId="2" builtinId="4"/>
    <cellStyle name="Moneda 2" xfId="11"/>
    <cellStyle name="Moneda 4" xfId="14"/>
    <cellStyle name="Normal" xfId="0" builtinId="0"/>
    <cellStyle name="Normal 2" xfId="5"/>
    <cellStyle name="Normal 3" xfId="8"/>
    <cellStyle name="Normal 4" xfId="9"/>
    <cellStyle name="Porcentaje" xfId="3" builtinId="5"/>
    <cellStyle name="Porcentaje 2" xfId="12"/>
  </cellStyles>
  <dxfs count="355"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8"/>
      </font>
      <fill>
        <patternFill>
          <bgColor indexed="13"/>
        </patternFill>
      </fill>
    </dxf>
    <dxf>
      <font>
        <condense val="0"/>
        <extend val="0"/>
        <color indexed="8"/>
      </font>
      <fill>
        <patternFill>
          <bgColor indexed="13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8"/>
      </font>
      <fill>
        <patternFill>
          <bgColor indexed="13"/>
        </patternFill>
      </fill>
    </dxf>
    <dxf>
      <font>
        <condense val="0"/>
        <extend val="0"/>
        <color indexed="8"/>
      </font>
      <fill>
        <patternFill>
          <bgColor indexed="13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8"/>
      </font>
      <fill>
        <patternFill>
          <bgColor indexed="13"/>
        </patternFill>
      </fill>
    </dxf>
    <dxf>
      <font>
        <condense val="0"/>
        <extend val="0"/>
        <color indexed="8"/>
      </font>
      <fill>
        <patternFill>
          <bgColor indexed="13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8"/>
      </font>
      <fill>
        <patternFill>
          <bgColor indexed="13"/>
        </patternFill>
      </fill>
    </dxf>
    <dxf>
      <font>
        <condense val="0"/>
        <extend val="0"/>
        <color indexed="8"/>
      </font>
      <fill>
        <patternFill>
          <bgColor indexed="13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condense val="0"/>
        <extend val="0"/>
        <color indexed="8"/>
      </font>
      <fill>
        <patternFill>
          <bgColor indexed="13"/>
        </patternFill>
      </fill>
    </dxf>
    <dxf>
      <font>
        <condense val="0"/>
        <extend val="0"/>
        <color indexed="22"/>
      </font>
    </dxf>
    <dxf>
      <font>
        <condense val="0"/>
        <extend val="0"/>
        <color indexed="12"/>
      </font>
      <fill>
        <patternFill patternType="none">
          <bgColor indexed="65"/>
        </patternFill>
      </fill>
    </dxf>
    <dxf>
      <font>
        <condense val="0"/>
        <extend val="0"/>
        <color indexed="8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8"/>
      </font>
      <fill>
        <patternFill>
          <bgColor indexed="13"/>
        </patternFill>
      </fill>
    </dxf>
    <dxf>
      <font>
        <condense val="0"/>
        <extend val="0"/>
        <color indexed="8"/>
      </font>
      <fill>
        <patternFill>
          <bgColor indexed="13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8"/>
      </font>
      <fill>
        <patternFill>
          <bgColor indexed="13"/>
        </patternFill>
      </fill>
    </dxf>
    <dxf>
      <font>
        <condense val="0"/>
        <extend val="0"/>
        <color indexed="8"/>
      </font>
      <fill>
        <patternFill>
          <bgColor indexed="13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8"/>
      </font>
      <fill>
        <patternFill>
          <bgColor indexed="13"/>
        </patternFill>
      </fill>
    </dxf>
    <dxf>
      <font>
        <condense val="0"/>
        <extend val="0"/>
        <color indexed="8"/>
      </font>
      <fill>
        <patternFill>
          <bgColor indexed="13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8"/>
      </font>
      <fill>
        <patternFill>
          <bgColor indexed="13"/>
        </patternFill>
      </fill>
    </dxf>
    <dxf>
      <font>
        <condense val="0"/>
        <extend val="0"/>
        <color indexed="8"/>
      </font>
      <fill>
        <patternFill>
          <bgColor indexed="13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condense val="0"/>
        <extend val="0"/>
        <color indexed="8"/>
      </font>
      <fill>
        <patternFill>
          <bgColor indexed="13"/>
        </patternFill>
      </fill>
    </dxf>
    <dxf>
      <font>
        <condense val="0"/>
        <extend val="0"/>
        <color indexed="22"/>
      </font>
    </dxf>
    <dxf>
      <font>
        <condense val="0"/>
        <extend val="0"/>
        <color indexed="12"/>
      </font>
      <fill>
        <patternFill patternType="none">
          <bgColor indexed="65"/>
        </patternFill>
      </fill>
    </dxf>
    <dxf>
      <font>
        <condense val="0"/>
        <extend val="0"/>
        <color indexed="8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8"/>
      </font>
      <fill>
        <patternFill>
          <bgColor indexed="13"/>
        </patternFill>
      </fill>
    </dxf>
    <dxf>
      <font>
        <condense val="0"/>
        <extend val="0"/>
        <color indexed="8"/>
      </font>
      <fill>
        <patternFill>
          <bgColor indexed="13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8"/>
      </font>
      <fill>
        <patternFill>
          <bgColor indexed="13"/>
        </patternFill>
      </fill>
    </dxf>
    <dxf>
      <font>
        <condense val="0"/>
        <extend val="0"/>
        <color indexed="8"/>
      </font>
      <fill>
        <patternFill>
          <bgColor indexed="13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8"/>
      </font>
      <fill>
        <patternFill>
          <bgColor indexed="13"/>
        </patternFill>
      </fill>
    </dxf>
    <dxf>
      <font>
        <condense val="0"/>
        <extend val="0"/>
        <color indexed="8"/>
      </font>
      <fill>
        <patternFill>
          <bgColor indexed="13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8"/>
      </font>
      <fill>
        <patternFill>
          <bgColor indexed="13"/>
        </patternFill>
      </fill>
    </dxf>
    <dxf>
      <font>
        <condense val="0"/>
        <extend val="0"/>
        <color indexed="8"/>
      </font>
      <fill>
        <patternFill>
          <bgColor indexed="13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condense val="0"/>
        <extend val="0"/>
        <color indexed="8"/>
      </font>
      <fill>
        <patternFill>
          <bgColor indexed="13"/>
        </patternFill>
      </fill>
    </dxf>
    <dxf>
      <font>
        <condense val="0"/>
        <extend val="0"/>
        <color indexed="22"/>
      </font>
    </dxf>
    <dxf>
      <font>
        <condense val="0"/>
        <extend val="0"/>
        <color indexed="12"/>
      </font>
      <fill>
        <patternFill patternType="none">
          <bgColor indexed="65"/>
        </patternFill>
      </fill>
    </dxf>
    <dxf>
      <font>
        <condense val="0"/>
        <extend val="0"/>
        <color indexed="8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condense val="0"/>
        <extend val="0"/>
        <color indexed="8"/>
      </font>
      <fill>
        <patternFill>
          <bgColor indexed="13"/>
        </patternFill>
      </fill>
    </dxf>
    <dxf>
      <font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condense val="0"/>
        <extend val="0"/>
        <color indexed="8"/>
      </font>
      <fill>
        <patternFill>
          <bgColor indexed="13"/>
        </patternFill>
      </fill>
    </dxf>
    <dxf>
      <font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condense val="0"/>
        <extend val="0"/>
        <color indexed="8"/>
      </font>
      <fill>
        <patternFill>
          <bgColor indexed="13"/>
        </patternFill>
      </fill>
    </dxf>
    <dxf>
      <font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condense val="0"/>
        <extend val="0"/>
        <color indexed="8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condense val="0"/>
        <extend val="0"/>
        <color indexed="8"/>
      </font>
      <fill>
        <patternFill>
          <bgColor indexed="13"/>
        </patternFill>
      </fill>
    </dxf>
    <dxf>
      <font>
        <condense val="0"/>
        <extend val="0"/>
        <color indexed="12"/>
      </font>
      <fill>
        <patternFill patternType="none">
          <bgColor indexed="65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condense val="0"/>
        <extend val="0"/>
        <color indexed="8"/>
      </font>
      <fill>
        <patternFill>
          <bgColor indexed="13"/>
        </patternFill>
      </fill>
    </dxf>
    <dxf>
      <font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8"/>
      </font>
      <fill>
        <patternFill>
          <bgColor indexed="13"/>
        </patternFill>
      </fill>
    </dxf>
    <dxf>
      <font>
        <condense val="0"/>
        <extend val="0"/>
        <color indexed="8"/>
      </font>
      <fill>
        <patternFill>
          <bgColor indexed="13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8"/>
      </font>
      <fill>
        <patternFill>
          <bgColor indexed="13"/>
        </patternFill>
      </fill>
    </dxf>
    <dxf>
      <font>
        <condense val="0"/>
        <extend val="0"/>
        <color indexed="8"/>
      </font>
      <fill>
        <patternFill>
          <bgColor indexed="13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condense val="0"/>
        <extend val="0"/>
        <color indexed="8"/>
      </font>
      <fill>
        <patternFill>
          <bgColor indexed="13"/>
        </patternFill>
      </fill>
    </dxf>
    <dxf>
      <font>
        <condense val="0"/>
        <extend val="0"/>
        <color indexed="22"/>
      </font>
    </dxf>
    <dxf>
      <font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8"/>
      </font>
      <fill>
        <patternFill>
          <bgColor indexed="13"/>
        </patternFill>
      </fill>
    </dxf>
    <dxf>
      <font>
        <condense val="0"/>
        <extend val="0"/>
        <color indexed="8"/>
      </font>
      <fill>
        <patternFill>
          <bgColor indexed="13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8"/>
      </font>
      <fill>
        <patternFill>
          <bgColor indexed="13"/>
        </patternFill>
      </fill>
    </dxf>
    <dxf>
      <font>
        <condense val="0"/>
        <extend val="0"/>
        <color indexed="8"/>
      </font>
      <fill>
        <patternFill>
          <bgColor indexed="13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8"/>
      </font>
      <fill>
        <patternFill>
          <bgColor indexed="13"/>
        </patternFill>
      </fill>
    </dxf>
    <dxf>
      <font>
        <condense val="0"/>
        <extend val="0"/>
        <color indexed="8"/>
      </font>
      <fill>
        <patternFill>
          <bgColor indexed="13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8"/>
      </font>
      <fill>
        <patternFill>
          <bgColor indexed="13"/>
        </patternFill>
      </fill>
    </dxf>
    <dxf>
      <font>
        <condense val="0"/>
        <extend val="0"/>
        <color indexed="8"/>
      </font>
      <fill>
        <patternFill>
          <bgColor indexed="13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condense val="0"/>
        <extend val="0"/>
        <color indexed="8"/>
      </font>
      <fill>
        <patternFill>
          <bgColor indexed="13"/>
        </patternFill>
      </fill>
    </dxf>
    <dxf>
      <font>
        <condense val="0"/>
        <extend val="0"/>
        <color indexed="22"/>
      </font>
    </dxf>
    <dxf>
      <font>
        <condense val="0"/>
        <extend val="0"/>
        <color indexed="12"/>
      </font>
      <fill>
        <patternFill patternType="none">
          <bgColor indexed="65"/>
        </patternFill>
      </fill>
    </dxf>
    <dxf>
      <font>
        <condense val="0"/>
        <extend val="0"/>
        <color indexed="8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47"/>
      </font>
      <fill>
        <patternFill>
          <bgColor indexed="47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2"/>
      </font>
      <fill>
        <patternFill>
          <bgColor indexed="47"/>
        </patternFill>
      </fill>
    </dxf>
    <dxf>
      <font>
        <condense val="0"/>
        <extend val="0"/>
        <color indexed="9"/>
      </font>
      <border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bottom/>
      </border>
    </dxf>
    <dxf>
      <font>
        <b val="0"/>
        <i val="0"/>
        <condense val="0"/>
        <extend val="0"/>
        <color indexed="9"/>
      </font>
      <border>
        <bottom/>
      </border>
    </dxf>
    <dxf>
      <font>
        <condense val="0"/>
        <extend val="0"/>
        <color indexed="9"/>
      </font>
      <border>
        <bottom/>
      </border>
    </dxf>
    <dxf>
      <font>
        <condense val="0"/>
        <extend val="0"/>
        <color indexed="9"/>
      </font>
    </dxf>
    <dxf>
      <font>
        <condense val="0"/>
        <extend val="0"/>
        <color indexed="22"/>
      </font>
    </dxf>
    <dxf>
      <font>
        <condense val="0"/>
        <extend val="0"/>
        <color indexed="10"/>
      </font>
    </dxf>
  </dxfs>
  <tableStyles count="0" defaultTableStyle="TableStyleMedium2" defaultPivotStyle="PivotStyleLight16"/>
  <colors>
    <mruColors>
      <color rgb="FFFFF9FF"/>
      <color rgb="FFFFCCFF"/>
      <color rgb="FFFFF3FF"/>
      <color rgb="FFFEF8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6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3.xml"/><Relationship Id="rId28" Type="http://schemas.openxmlformats.org/officeDocument/2006/relationships/externalLink" Target="externalLinks/externalLink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Relationship Id="rId27" Type="http://schemas.openxmlformats.org/officeDocument/2006/relationships/externalLink" Target="externalLinks/externalLink7.xml"/><Relationship Id="rId30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ARCO%20FIDEL%20MOSQUERA\OBRAS%20ELECTRICAS\ELECTRIFICACION%202012\ELECTRICO%20COLEGIO%20LA%20AURORA\PRESUPUESTO%20COLEGIO%20LA%20AUROR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usuario\Downloads\APU%20-%20Proyecto%20Agua%20potable%20(10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usuario\Downloads\CANTIDADES%20DE%20OBRA%20QUITAPEREZA%2022%20de%20abril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usuario\Downloads\CANTIDADES%20DE%20OBRA%20QUITAPEREZA%2012%20de%20abril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antidadesPTAP-Estructural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usuario\Downloads\CantidadesPTAP-Estructural%20todo(2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ODOS%20AGOSTO%202014\quitapereza24junio2014\planos%20julio%205\PRESUPUESTO%20QUITAPEREZA%20FINAL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emquilichao%20e.s.p\Mis%20documentos\Downloads\Presupuesto%20quitapereza%20junio%20-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Material"/>
    </sheetNames>
    <sheetDataSet>
      <sheetData sheetId="0" refreshError="1">
        <row r="10">
          <cell r="A10" t="str">
            <v xml:space="preserve">INSTALACIONES ELECTRICAS COLEGIO LA AURORA </v>
          </cell>
        </row>
        <row r="11">
          <cell r="A11" t="str">
            <v>MUNICIPIO DE SANTANDER DE QUILICHAO - CAUCA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ITAPEREZA"/>
      <sheetName val="ILIN-01"/>
      <sheetName val="ILIN-02"/>
      <sheetName val="ILIN-03"/>
      <sheetName val="ILIN-04"/>
      <sheetName val="ILIN-05"/>
      <sheetName val="ILIN-06"/>
      <sheetName val="ILIN-07"/>
      <sheetName val="ILIN-08"/>
      <sheetName val="ILIN-9"/>
      <sheetName val="MTBT-01"/>
      <sheetName val="MTBT-02"/>
      <sheetName val="MTBT-03"/>
      <sheetName val="MTBT-04"/>
      <sheetName val="ILEX-01"/>
      <sheetName val="ILEX-02"/>
      <sheetName val="ILEX-03"/>
      <sheetName val="Hoja1"/>
    </sheetNames>
    <sheetDataSet>
      <sheetData sheetId="0" refreshError="1">
        <row r="143">
          <cell r="G143" t="str">
            <v>$ 848200</v>
          </cell>
        </row>
        <row r="145">
          <cell r="F145" t="str">
            <v>INSPECTORIA RETIE</v>
          </cell>
          <cell r="G145">
            <v>1000000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 ANTERIOR"/>
      <sheetName val="PRESUPUESTO 11-06-13"/>
      <sheetName val="Hoja2"/>
      <sheetName val="Cantidad de obra Quitapereza"/>
      <sheetName val="Hoja1"/>
    </sheetNames>
    <sheetDataSet>
      <sheetData sheetId="0" refreshError="1"/>
      <sheetData sheetId="1" refreshError="1"/>
      <sheetData sheetId="2" refreshError="1"/>
      <sheetData sheetId="3" refreshError="1">
        <row r="26">
          <cell r="J26">
            <v>1005.373</v>
          </cell>
        </row>
        <row r="34">
          <cell r="J34">
            <v>28.295999999999996</v>
          </cell>
        </row>
        <row r="35">
          <cell r="J35">
            <v>472.5</v>
          </cell>
        </row>
        <row r="36">
          <cell r="J36">
            <v>338.8</v>
          </cell>
        </row>
        <row r="37">
          <cell r="J37">
            <v>40</v>
          </cell>
        </row>
        <row r="38">
          <cell r="J38">
            <v>315</v>
          </cell>
        </row>
        <row r="41">
          <cell r="J41">
            <v>157.5</v>
          </cell>
        </row>
        <row r="42">
          <cell r="J42">
            <v>3.08</v>
          </cell>
        </row>
        <row r="71">
          <cell r="J71">
            <v>26.090174999999999</v>
          </cell>
        </row>
      </sheetData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 ANTERIOR"/>
      <sheetName val="PRESUPUESTO 11-06-13"/>
      <sheetName val="Cantidad de obra Quitapereza"/>
      <sheetName val="Hoja1"/>
    </sheetNames>
    <sheetDataSet>
      <sheetData sheetId="0"/>
      <sheetData sheetId="1"/>
      <sheetData sheetId="2">
        <row r="53">
          <cell r="J53">
            <v>220.20649999999998</v>
          </cell>
        </row>
        <row r="77">
          <cell r="J77">
            <v>3.6</v>
          </cell>
        </row>
        <row r="89">
          <cell r="J89">
            <v>71.400000000000006</v>
          </cell>
        </row>
        <row r="90">
          <cell r="K90">
            <v>0</v>
          </cell>
        </row>
        <row r="143">
          <cell r="J143">
            <v>154</v>
          </cell>
        </row>
        <row r="149">
          <cell r="J149">
            <v>72.400000000000006</v>
          </cell>
        </row>
        <row r="163">
          <cell r="J163">
            <v>328.41199999999998</v>
          </cell>
        </row>
        <row r="166">
          <cell r="J166">
            <v>227.86399999999998</v>
          </cell>
        </row>
        <row r="171">
          <cell r="J171">
            <v>100.548</v>
          </cell>
        </row>
        <row r="178">
          <cell r="J178">
            <v>20.336500000000001</v>
          </cell>
        </row>
        <row r="184">
          <cell r="J184">
            <v>3.3</v>
          </cell>
        </row>
        <row r="193">
          <cell r="J193">
            <v>54.8</v>
          </cell>
        </row>
        <row r="197">
          <cell r="J197">
            <v>43.5</v>
          </cell>
        </row>
        <row r="219">
          <cell r="J219">
            <v>10179.704000000002</v>
          </cell>
        </row>
        <row r="234">
          <cell r="J234">
            <v>39.879999999999995</v>
          </cell>
        </row>
        <row r="253">
          <cell r="J253">
            <v>779.47079999999983</v>
          </cell>
        </row>
        <row r="261">
          <cell r="J261">
            <v>272.79679999999996</v>
          </cell>
        </row>
        <row r="270">
          <cell r="J270">
            <v>34.299999999999997</v>
          </cell>
        </row>
        <row r="275">
          <cell r="J275">
            <v>5</v>
          </cell>
        </row>
        <row r="285">
          <cell r="J285">
            <v>108.7</v>
          </cell>
        </row>
        <row r="289">
          <cell r="J289">
            <v>94.5</v>
          </cell>
        </row>
        <row r="313">
          <cell r="J313">
            <v>17146.432000000001</v>
          </cell>
        </row>
        <row r="331">
          <cell r="J331">
            <v>10.670399999999999</v>
          </cell>
        </row>
        <row r="332">
          <cell r="J332">
            <v>7.1135999999999999</v>
          </cell>
        </row>
        <row r="333">
          <cell r="J333">
            <v>10.196160000000001</v>
          </cell>
        </row>
        <row r="343">
          <cell r="J343">
            <v>414.37830000000014</v>
          </cell>
        </row>
        <row r="347">
          <cell r="J347">
            <v>268</v>
          </cell>
        </row>
        <row r="352">
          <cell r="J352">
            <v>145.69300000000001</v>
          </cell>
        </row>
        <row r="361">
          <cell r="J361">
            <v>18.2</v>
          </cell>
        </row>
        <row r="367">
          <cell r="J367">
            <v>8.3000000000000007</v>
          </cell>
        </row>
        <row r="379">
          <cell r="J379">
            <v>49.5</v>
          </cell>
        </row>
        <row r="383">
          <cell r="J383">
            <v>45.5</v>
          </cell>
        </row>
        <row r="411">
          <cell r="J411">
            <v>6259.5240000000003</v>
          </cell>
        </row>
        <row r="416">
          <cell r="J416">
            <v>56.994999999999997</v>
          </cell>
        </row>
        <row r="456">
          <cell r="J456">
            <v>618.9</v>
          </cell>
        </row>
        <row r="462">
          <cell r="J462">
            <v>214.3</v>
          </cell>
        </row>
        <row r="468">
          <cell r="J468">
            <v>92.6</v>
          </cell>
        </row>
        <row r="474">
          <cell r="J474">
            <v>28.1</v>
          </cell>
        </row>
        <row r="478">
          <cell r="J478">
            <v>3.4</v>
          </cell>
        </row>
        <row r="489">
          <cell r="J489">
            <v>123</v>
          </cell>
        </row>
        <row r="526">
          <cell r="J526">
            <v>54189.608</v>
          </cell>
        </row>
        <row r="534">
          <cell r="J534">
            <v>279.53250000000003</v>
          </cell>
        </row>
        <row r="540">
          <cell r="J540">
            <v>922.12</v>
          </cell>
        </row>
        <row r="542">
          <cell r="J542">
            <v>48.519999999999989</v>
          </cell>
        </row>
        <row r="652">
          <cell r="J652">
            <v>168.65</v>
          </cell>
        </row>
        <row r="657">
          <cell r="J657">
            <v>5.0999999999999996</v>
          </cell>
        </row>
      </sheetData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4"/>
      <sheetName val="PRESUPUESTO"/>
      <sheetName val="AIU"/>
      <sheetName val="Floculador"/>
      <sheetName val="Sedimentador"/>
      <sheetName val="Filtro"/>
      <sheetName val="Cloracion"/>
      <sheetName val="TanqueA"/>
    </sheetNames>
    <sheetDataSet>
      <sheetData sheetId="0"/>
      <sheetData sheetId="1"/>
      <sheetData sheetId="2"/>
      <sheetData sheetId="3">
        <row r="16">
          <cell r="J16">
            <v>35.6</v>
          </cell>
        </row>
        <row r="82">
          <cell r="J82">
            <v>10580.359999999999</v>
          </cell>
        </row>
      </sheetData>
      <sheetData sheetId="4">
        <row r="21">
          <cell r="J21">
            <v>3.3</v>
          </cell>
        </row>
      </sheetData>
      <sheetData sheetId="5">
        <row r="16">
          <cell r="J16">
            <v>34.299999999999997</v>
          </cell>
        </row>
      </sheetData>
      <sheetData sheetId="6">
        <row r="16">
          <cell r="J16">
            <v>18.2</v>
          </cell>
        </row>
      </sheetData>
      <sheetData sheetId="7">
        <row r="13">
          <cell r="J13">
            <v>214.3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4"/>
      <sheetName val="PRESUPUESTO"/>
      <sheetName val="AIU"/>
      <sheetName val="Floculador"/>
      <sheetName val="Sedimentador"/>
      <sheetName val="Filtro"/>
      <sheetName val="Cloracion"/>
      <sheetName val="TanqueA"/>
      <sheetName val="Casetas"/>
    </sheetNames>
    <sheetDataSet>
      <sheetData sheetId="0" refreshError="1"/>
      <sheetData sheetId="1" refreshError="1"/>
      <sheetData sheetId="2" refreshError="1"/>
      <sheetData sheetId="3" refreshError="1">
        <row r="38">
          <cell r="J38">
            <v>142.69999999999999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"/>
      <sheetName val="INSUMOS"/>
      <sheetName val="CRONOGRAMA"/>
      <sheetName val="CALCULOS"/>
      <sheetName val="M.O"/>
      <sheetName val="SUMINIS"/>
      <sheetName val="Hoja1"/>
      <sheetName val="PRESUPUESTO-SUM"/>
      <sheetName val="Hoja2"/>
      <sheetName val="PRESUPUESTO quita"/>
      <sheetName val="PRESUPUESTO"/>
      <sheetName val="SUMINISTRO"/>
      <sheetName val="Presupuesto tot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"/>
      <sheetName val="INSUMOS"/>
      <sheetName val="CRONOGRAMA"/>
      <sheetName val="CALCULOS"/>
      <sheetName val="M.O"/>
      <sheetName val="SUMINIS"/>
      <sheetName val="Hoja1"/>
      <sheetName val="PRESUPUESTO-SUM"/>
      <sheetName val="PRESUPUESTO quita"/>
      <sheetName val="PRESUPUESTO"/>
      <sheetName val="SUMINISTRO"/>
      <sheetName val="Presupuesto tot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I1138"/>
  <sheetViews>
    <sheetView showGridLines="0" topLeftCell="C933" workbookViewId="0">
      <selection activeCell="P906" sqref="P906"/>
    </sheetView>
  </sheetViews>
  <sheetFormatPr baseColWidth="10" defaultRowHeight="15"/>
  <cols>
    <col min="1" max="2" width="0" hidden="1" customWidth="1"/>
    <col min="3" max="3" width="41.5703125" customWidth="1"/>
    <col min="4" max="4" width="11" customWidth="1"/>
    <col min="5" max="5" width="7" customWidth="1"/>
    <col min="6" max="6" width="11.140625" customWidth="1"/>
    <col min="7" max="7" width="12.85546875" customWidth="1"/>
    <col min="8" max="8" width="16.140625" customWidth="1"/>
    <col min="9" max="11" width="0" hidden="1" customWidth="1"/>
    <col min="12" max="12" width="8.5703125" hidden="1" customWidth="1"/>
    <col min="13" max="13" width="14.85546875" hidden="1" customWidth="1"/>
    <col min="14" max="14" width="12.7109375" hidden="1" customWidth="1"/>
    <col min="19" max="19" width="18.5703125" customWidth="1"/>
    <col min="20" max="20" width="14.85546875" customWidth="1"/>
    <col min="21" max="21" width="16.85546875" customWidth="1"/>
    <col min="85" max="87" width="0" hidden="1" customWidth="1"/>
  </cols>
  <sheetData>
    <row r="1" spans="1:87" ht="12" hidden="1" customHeight="1">
      <c r="A1" s="218"/>
      <c r="B1" s="219">
        <v>1</v>
      </c>
      <c r="C1" s="1663" t="s">
        <v>110</v>
      </c>
      <c r="D1" s="1664"/>
      <c r="E1" s="1664"/>
      <c r="F1" s="1665" t="s">
        <v>111</v>
      </c>
      <c r="G1" s="1665"/>
      <c r="H1" s="1667">
        <v>408578100</v>
      </c>
      <c r="I1" s="220"/>
      <c r="J1" s="221"/>
      <c r="K1" s="222"/>
      <c r="L1" s="1669" t="s">
        <v>112</v>
      </c>
      <c r="M1" s="1671">
        <v>408578100</v>
      </c>
      <c r="N1" s="223"/>
      <c r="O1" s="224">
        <v>1.85</v>
      </c>
      <c r="P1" s="225" t="s">
        <v>113</v>
      </c>
      <c r="Q1" s="225"/>
      <c r="Z1" s="226">
        <v>159</v>
      </c>
      <c r="CG1" t="s">
        <v>114</v>
      </c>
      <c r="CH1" s="227" t="s">
        <v>115</v>
      </c>
      <c r="CI1" t="s">
        <v>114</v>
      </c>
    </row>
    <row r="2" spans="1:87" ht="12" hidden="1" customHeight="1" thickBot="1">
      <c r="A2" s="228" t="s">
        <v>6</v>
      </c>
      <c r="B2" s="218"/>
      <c r="C2" s="1664"/>
      <c r="D2" s="1664"/>
      <c r="E2" s="1664"/>
      <c r="F2" s="1666"/>
      <c r="G2" s="1666"/>
      <c r="H2" s="1668"/>
      <c r="I2" s="229">
        <v>1</v>
      </c>
      <c r="J2" s="230"/>
      <c r="K2" s="231"/>
      <c r="L2" s="1670"/>
      <c r="M2" s="1672"/>
      <c r="N2" s="223"/>
      <c r="O2" s="232">
        <v>0.05</v>
      </c>
      <c r="P2" s="225" t="s">
        <v>116</v>
      </c>
      <c r="Q2" s="225"/>
    </row>
    <row r="3" spans="1:87" ht="10.5" hidden="1" customHeight="1">
      <c r="A3" s="228">
        <v>1</v>
      </c>
      <c r="B3" s="218"/>
      <c r="C3" s="233"/>
      <c r="D3" s="234" t="s">
        <v>6</v>
      </c>
      <c r="E3" s="235">
        <v>0.315</v>
      </c>
      <c r="F3" s="236">
        <v>0.185</v>
      </c>
      <c r="G3" s="237">
        <v>0.05</v>
      </c>
      <c r="H3" s="237">
        <v>0.08</v>
      </c>
      <c r="I3" s="238">
        <v>0.16</v>
      </c>
      <c r="J3" s="239" t="s">
        <v>117</v>
      </c>
      <c r="K3" s="239"/>
      <c r="L3" s="240"/>
      <c r="M3" s="240"/>
      <c r="N3" s="1673" t="s">
        <v>118</v>
      </c>
      <c r="O3" s="45"/>
      <c r="P3" s="241"/>
    </row>
    <row r="4" spans="1:87" ht="18" customHeight="1" thickTop="1">
      <c r="A4" s="242"/>
      <c r="B4" s="242"/>
      <c r="C4" s="1674"/>
      <c r="D4" s="1675"/>
      <c r="E4" s="1675"/>
      <c r="F4" s="1676" t="s">
        <v>119</v>
      </c>
      <c r="G4" s="1677"/>
      <c r="H4" s="1678"/>
      <c r="I4" s="243"/>
      <c r="J4" s="243"/>
      <c r="K4" s="243"/>
      <c r="L4" s="244" t="s">
        <v>120</v>
      </c>
      <c r="M4" s="245">
        <v>1</v>
      </c>
      <c r="N4" s="1673"/>
      <c r="O4" s="45"/>
      <c r="P4" s="241"/>
    </row>
    <row r="5" spans="1:87" ht="21" customHeight="1">
      <c r="A5" s="246"/>
      <c r="B5" s="247"/>
      <c r="C5" s="1682"/>
      <c r="D5" s="1683"/>
      <c r="E5" s="1683"/>
      <c r="F5" s="1679"/>
      <c r="G5" s="1680"/>
      <c r="H5" s="1681"/>
      <c r="I5" s="243"/>
      <c r="J5" s="243"/>
      <c r="K5" s="243"/>
      <c r="L5" s="244"/>
      <c r="M5" s="245"/>
      <c r="N5" s="1684"/>
      <c r="O5" s="241"/>
      <c r="P5" s="241"/>
    </row>
    <row r="6" spans="1:87" s="45" customFormat="1" ht="15" customHeight="1">
      <c r="A6" s="246"/>
      <c r="B6" s="248"/>
      <c r="C6" s="1655" t="s">
        <v>16</v>
      </c>
      <c r="D6" s="1656"/>
      <c r="E6" s="1656"/>
      <c r="F6" s="1657"/>
      <c r="G6" s="249" t="s">
        <v>17</v>
      </c>
      <c r="H6" s="250">
        <v>41569</v>
      </c>
      <c r="I6" s="251"/>
      <c r="J6" s="251"/>
      <c r="K6" s="251"/>
      <c r="L6" s="252" t="s">
        <v>121</v>
      </c>
      <c r="M6" s="253">
        <v>408578100</v>
      </c>
      <c r="N6" s="1684"/>
      <c r="O6" s="42"/>
      <c r="P6" s="42"/>
    </row>
    <row r="7" spans="1:87" s="45" customFormat="1" ht="15.75" thickBot="1">
      <c r="A7" s="246"/>
      <c r="B7" s="248"/>
      <c r="C7" s="1658"/>
      <c r="D7" s="1659"/>
      <c r="E7" s="1659"/>
      <c r="F7" s="1660"/>
      <c r="G7" s="1661"/>
      <c r="H7" s="1662"/>
      <c r="I7" s="254"/>
      <c r="J7" s="254"/>
      <c r="K7" s="254"/>
      <c r="L7" s="255" t="s">
        <v>122</v>
      </c>
      <c r="M7" s="256">
        <v>0</v>
      </c>
      <c r="N7" s="257"/>
      <c r="O7" s="258"/>
      <c r="P7" s="42"/>
    </row>
    <row r="8" spans="1:87" s="45" customFormat="1" ht="20.100000000000001" customHeight="1" thickTop="1" thickBot="1">
      <c r="A8"/>
      <c r="B8"/>
      <c r="C8"/>
      <c r="D8" s="259"/>
      <c r="E8"/>
      <c r="F8"/>
      <c r="G8"/>
      <c r="H8"/>
      <c r="I8" s="260"/>
      <c r="J8" s="260"/>
      <c r="K8" s="260"/>
      <c r="L8" s="261"/>
      <c r="M8" s="261"/>
      <c r="N8" s="261"/>
    </row>
    <row r="9" spans="1:87" s="45" customFormat="1" ht="12.95" customHeight="1" thickTop="1">
      <c r="A9" s="262" t="s">
        <v>123</v>
      </c>
      <c r="B9" s="263"/>
      <c r="C9" s="1651" t="s">
        <v>124</v>
      </c>
      <c r="D9" s="1652"/>
      <c r="E9" s="1652"/>
      <c r="F9" s="1652"/>
      <c r="G9" s="264"/>
      <c r="H9" s="265" t="s">
        <v>125</v>
      </c>
      <c r="I9" s="266" t="s">
        <v>126</v>
      </c>
      <c r="J9" s="267"/>
      <c r="K9" s="260"/>
      <c r="L9" s="261"/>
      <c r="M9" s="261"/>
      <c r="N9" s="261"/>
    </row>
    <row r="10" spans="1:87" s="45" customFormat="1" ht="12.95" customHeight="1">
      <c r="A10" s="262"/>
      <c r="B10" s="263"/>
      <c r="C10" s="1653"/>
      <c r="D10" s="1654"/>
      <c r="E10" s="1654"/>
      <c r="F10" s="1654"/>
      <c r="G10" s="268"/>
      <c r="H10" s="269" t="s">
        <v>127</v>
      </c>
      <c r="I10" s="270">
        <v>27.24</v>
      </c>
      <c r="J10" s="267"/>
      <c r="K10" s="260"/>
      <c r="L10" s="261"/>
      <c r="M10" s="261"/>
      <c r="N10" s="261"/>
    </row>
    <row r="11" spans="1:87" s="45" customFormat="1">
      <c r="A11" s="271" t="s">
        <v>128</v>
      </c>
      <c r="B11" s="263"/>
      <c r="C11" s="272" t="s">
        <v>21</v>
      </c>
      <c r="D11" s="273" t="s">
        <v>22</v>
      </c>
      <c r="E11" s="274" t="s">
        <v>23</v>
      </c>
      <c r="F11" s="274" t="s">
        <v>129</v>
      </c>
      <c r="G11" s="275" t="s">
        <v>130</v>
      </c>
      <c r="H11" s="276" t="s">
        <v>131</v>
      </c>
      <c r="I11" s="277"/>
      <c r="J11" s="267"/>
      <c r="K11" s="260"/>
      <c r="L11" s="261"/>
      <c r="M11" s="261"/>
      <c r="N11" s="261"/>
    </row>
    <row r="12" spans="1:87" s="45" customFormat="1">
      <c r="A12" s="271"/>
      <c r="B12" s="263"/>
      <c r="C12" s="278"/>
      <c r="D12" s="279"/>
      <c r="E12" s="280"/>
      <c r="F12" s="280"/>
      <c r="G12" s="281"/>
      <c r="H12" s="282"/>
      <c r="I12" s="283"/>
      <c r="J12" s="267"/>
      <c r="K12" s="260"/>
      <c r="L12" s="261"/>
      <c r="M12" s="261"/>
      <c r="N12" s="261"/>
    </row>
    <row r="13" spans="1:87" s="45" customFormat="1">
      <c r="A13" s="284" t="s">
        <v>132</v>
      </c>
      <c r="B13" s="263"/>
      <c r="C13" s="285" t="s">
        <v>133</v>
      </c>
      <c r="D13" s="279"/>
      <c r="E13" s="280"/>
      <c r="F13" s="280"/>
      <c r="G13" s="281"/>
      <c r="H13" s="282"/>
      <c r="I13" s="283"/>
      <c r="J13" s="267"/>
      <c r="K13" s="260"/>
      <c r="L13" s="261"/>
      <c r="M13" s="261"/>
      <c r="N13" s="261"/>
    </row>
    <row r="14" spans="1:87" s="45" customFormat="1">
      <c r="A14" s="284">
        <v>100053</v>
      </c>
      <c r="B14" s="263" t="s">
        <v>134</v>
      </c>
      <c r="C14" s="272" t="s">
        <v>135</v>
      </c>
      <c r="D14" s="273" t="s">
        <v>136</v>
      </c>
      <c r="E14" s="274">
        <v>250</v>
      </c>
      <c r="F14" s="274">
        <v>0</v>
      </c>
      <c r="G14" s="275">
        <v>15</v>
      </c>
      <c r="H14" s="276">
        <v>3750</v>
      </c>
      <c r="I14" s="277">
        <v>6810</v>
      </c>
      <c r="J14" s="267"/>
      <c r="K14" s="260"/>
      <c r="L14" s="261"/>
      <c r="M14" s="261"/>
      <c r="N14" s="261"/>
    </row>
    <row r="15" spans="1:87" s="45" customFormat="1">
      <c r="A15" s="284">
        <v>100124</v>
      </c>
      <c r="B15" s="263" t="s">
        <v>137</v>
      </c>
      <c r="C15" s="272" t="s">
        <v>138</v>
      </c>
      <c r="D15" s="273" t="s">
        <v>139</v>
      </c>
      <c r="E15" s="274">
        <v>0.97</v>
      </c>
      <c r="F15" s="274">
        <v>0</v>
      </c>
      <c r="G15" s="275">
        <v>25500</v>
      </c>
      <c r="H15" s="276">
        <v>24735</v>
      </c>
      <c r="I15" s="277">
        <v>26.422799999999999</v>
      </c>
      <c r="J15" s="267"/>
      <c r="K15" s="260"/>
      <c r="L15" s="261"/>
      <c r="M15" s="261"/>
      <c r="N15" s="261"/>
    </row>
    <row r="16" spans="1:87" s="45" customFormat="1">
      <c r="A16" s="284">
        <v>100558</v>
      </c>
      <c r="B16" s="263" t="s">
        <v>140</v>
      </c>
      <c r="C16" s="272" t="s">
        <v>141</v>
      </c>
      <c r="D16" s="273" t="s">
        <v>142</v>
      </c>
      <c r="E16" s="274">
        <v>510</v>
      </c>
      <c r="F16" s="274">
        <v>0</v>
      </c>
      <c r="G16" s="275">
        <v>497</v>
      </c>
      <c r="H16" s="276">
        <v>253470</v>
      </c>
      <c r="I16" s="277">
        <v>13892.4</v>
      </c>
      <c r="J16" s="267"/>
      <c r="K16" s="260"/>
      <c r="L16" s="261"/>
      <c r="M16" s="261"/>
      <c r="N16" s="261"/>
    </row>
    <row r="17" spans="1:14" s="45" customFormat="1">
      <c r="A17" s="286" t="s">
        <v>143</v>
      </c>
      <c r="B17" s="263"/>
      <c r="C17" s="278"/>
      <c r="D17" s="279"/>
      <c r="E17" s="280"/>
      <c r="F17" s="280"/>
      <c r="G17" s="281" t="s">
        <v>144</v>
      </c>
      <c r="H17" s="287">
        <v>281955</v>
      </c>
      <c r="I17" s="283"/>
      <c r="J17" s="267"/>
      <c r="K17" s="260"/>
      <c r="L17" s="261"/>
      <c r="M17" s="261"/>
      <c r="N17" s="261"/>
    </row>
    <row r="18" spans="1:14" s="45" customFormat="1" ht="27" customHeight="1">
      <c r="A18" s="284" t="s">
        <v>145</v>
      </c>
      <c r="B18" s="263"/>
      <c r="C18" s="288" t="s">
        <v>146</v>
      </c>
      <c r="D18" s="279" t="s">
        <v>147</v>
      </c>
      <c r="E18" s="279" t="s">
        <v>148</v>
      </c>
      <c r="F18" s="279" t="s">
        <v>149</v>
      </c>
      <c r="G18" s="289" t="s">
        <v>150</v>
      </c>
      <c r="H18" s="290" t="s">
        <v>151</v>
      </c>
      <c r="I18" s="283"/>
      <c r="J18" s="267"/>
      <c r="K18" s="260"/>
      <c r="L18" s="261"/>
      <c r="M18" s="261"/>
      <c r="N18" s="261"/>
    </row>
    <row r="19" spans="1:14" s="45" customFormat="1">
      <c r="A19" s="284">
        <v>200008</v>
      </c>
      <c r="B19" s="263" t="s">
        <v>146</v>
      </c>
      <c r="C19" s="272" t="s">
        <v>152</v>
      </c>
      <c r="D19" s="291">
        <v>53514</v>
      </c>
      <c r="E19" s="292">
        <v>1.85</v>
      </c>
      <c r="F19" s="293">
        <v>99000</v>
      </c>
      <c r="G19" s="294">
        <v>5.3339999999999996</v>
      </c>
      <c r="H19" s="276">
        <v>18560.179</v>
      </c>
      <c r="I19" s="277">
        <v>5.1068616422947128</v>
      </c>
      <c r="J19" s="267"/>
      <c r="K19" s="260"/>
      <c r="L19" s="261"/>
      <c r="M19" s="261"/>
      <c r="N19" s="261"/>
    </row>
    <row r="20" spans="1:14" s="45" customFormat="1">
      <c r="A20" s="286" t="s">
        <v>153</v>
      </c>
      <c r="B20" s="263"/>
      <c r="C20" s="278"/>
      <c r="D20" s="279"/>
      <c r="E20" s="280"/>
      <c r="F20" s="280"/>
      <c r="G20" s="281" t="s">
        <v>154</v>
      </c>
      <c r="H20" s="287">
        <v>18560.179</v>
      </c>
      <c r="I20" s="283"/>
      <c r="J20" s="267"/>
      <c r="K20" s="260"/>
      <c r="L20" s="261"/>
      <c r="M20" s="261"/>
      <c r="N20" s="261"/>
    </row>
    <row r="21" spans="1:14" s="45" customFormat="1">
      <c r="A21" s="284" t="s">
        <v>155</v>
      </c>
      <c r="B21" s="263"/>
      <c r="C21" s="295" t="s">
        <v>156</v>
      </c>
      <c r="D21" s="279"/>
      <c r="E21" s="280"/>
      <c r="F21" s="280"/>
      <c r="G21" s="281"/>
      <c r="H21" s="282"/>
      <c r="I21" s="283"/>
      <c r="J21" s="267"/>
      <c r="K21" s="260"/>
      <c r="L21" s="261"/>
      <c r="M21" s="261"/>
      <c r="N21" s="261"/>
    </row>
    <row r="22" spans="1:14" s="45" customFormat="1">
      <c r="A22" s="284">
        <v>300026</v>
      </c>
      <c r="B22" s="263" t="s">
        <v>156</v>
      </c>
      <c r="C22" s="272" t="s">
        <v>157</v>
      </c>
      <c r="D22" s="273" t="s">
        <v>158</v>
      </c>
      <c r="E22" s="292">
        <v>0.05</v>
      </c>
      <c r="F22" s="274">
        <v>0</v>
      </c>
      <c r="G22" s="275">
        <v>18560.179</v>
      </c>
      <c r="H22" s="276">
        <v>928</v>
      </c>
      <c r="I22" s="277">
        <v>25278.719999999998</v>
      </c>
      <c r="J22" s="267"/>
      <c r="K22" s="260"/>
      <c r="L22" s="261"/>
      <c r="M22" s="261"/>
      <c r="N22" s="261"/>
    </row>
    <row r="23" spans="1:14" s="45" customFormat="1">
      <c r="A23" s="286" t="s">
        <v>159</v>
      </c>
      <c r="B23" s="263"/>
      <c r="C23" s="278"/>
      <c r="D23" s="279"/>
      <c r="E23" s="280"/>
      <c r="F23" s="280"/>
      <c r="G23" s="281" t="s">
        <v>160</v>
      </c>
      <c r="H23" s="287">
        <v>928</v>
      </c>
      <c r="I23" s="283"/>
      <c r="J23" s="267"/>
      <c r="K23" s="260"/>
      <c r="L23" s="261"/>
      <c r="M23" s="261"/>
      <c r="N23" s="261"/>
    </row>
    <row r="24" spans="1:14" s="45" customFormat="1">
      <c r="A24" s="296"/>
      <c r="B24" s="297"/>
      <c r="C24" s="278"/>
      <c r="D24" s="279"/>
      <c r="E24" s="280"/>
      <c r="F24" s="280"/>
      <c r="G24" s="281"/>
      <c r="H24" s="282"/>
      <c r="I24" s="298">
        <v>-93513</v>
      </c>
      <c r="J24" s="267"/>
      <c r="K24" s="260"/>
      <c r="L24" s="261"/>
      <c r="M24" s="261"/>
      <c r="N24" s="261"/>
    </row>
    <row r="25" spans="1:14" s="45" customFormat="1" ht="15.75" thickBot="1">
      <c r="A25" s="296" t="s">
        <v>26</v>
      </c>
      <c r="B25" s="297"/>
      <c r="C25" s="299"/>
      <c r="D25" s="300"/>
      <c r="E25" s="301"/>
      <c r="F25" s="302" t="s">
        <v>161</v>
      </c>
      <c r="G25" s="303">
        <v>301443.179</v>
      </c>
      <c r="H25" s="304">
        <v>301443</v>
      </c>
      <c r="I25" s="305">
        <v>207930</v>
      </c>
      <c r="J25" s="267"/>
      <c r="K25" s="260"/>
      <c r="L25" s="261"/>
      <c r="M25" s="261"/>
      <c r="N25" s="261"/>
    </row>
    <row r="26" spans="1:14" s="45" customFormat="1" ht="15.75" thickTop="1">
      <c r="A26"/>
      <c r="B26"/>
      <c r="C26" s="19"/>
      <c r="D26" s="306"/>
      <c r="E26" s="19"/>
      <c r="F26" s="19"/>
      <c r="G26" s="19"/>
      <c r="H26" s="19"/>
      <c r="I26" s="260"/>
      <c r="J26" s="260"/>
      <c r="K26" s="260"/>
      <c r="L26" s="261"/>
      <c r="M26" s="261"/>
      <c r="N26" s="261"/>
    </row>
    <row r="27" spans="1:14" s="45" customFormat="1">
      <c r="A27"/>
      <c r="B27"/>
      <c r="C27" s="19"/>
      <c r="D27" s="306"/>
      <c r="E27" s="19"/>
      <c r="F27" s="19"/>
      <c r="G27" s="19"/>
      <c r="H27" s="19"/>
      <c r="I27" s="260"/>
      <c r="J27" s="260"/>
      <c r="K27" s="260"/>
      <c r="L27" s="261"/>
      <c r="M27" s="261"/>
      <c r="N27" s="261"/>
    </row>
    <row r="28" spans="1:14" s="45" customFormat="1" ht="20.100000000000001" customHeight="1" thickBot="1">
      <c r="A28"/>
      <c r="B28"/>
      <c r="C28"/>
      <c r="D28" s="259"/>
      <c r="E28"/>
      <c r="F28"/>
      <c r="G28"/>
      <c r="H28"/>
      <c r="I28" s="260"/>
      <c r="J28" s="260"/>
      <c r="K28" s="260"/>
      <c r="L28" s="261"/>
      <c r="M28" s="261"/>
      <c r="N28" s="261"/>
    </row>
    <row r="29" spans="1:14" s="45" customFormat="1" ht="12.95" customHeight="1" thickTop="1">
      <c r="A29" s="262" t="s">
        <v>162</v>
      </c>
      <c r="B29" s="263"/>
      <c r="C29" s="1651" t="s">
        <v>163</v>
      </c>
      <c r="D29" s="1652"/>
      <c r="E29" s="1652"/>
      <c r="F29" s="1652"/>
      <c r="G29" s="264"/>
      <c r="H29" s="265" t="s">
        <v>125</v>
      </c>
      <c r="I29" s="266" t="s">
        <v>126</v>
      </c>
      <c r="J29" s="267"/>
      <c r="K29" s="260"/>
      <c r="L29" s="261"/>
      <c r="M29" s="261"/>
      <c r="N29" s="261"/>
    </row>
    <row r="30" spans="1:14" s="45" customFormat="1" ht="12.95" customHeight="1">
      <c r="A30" s="262"/>
      <c r="B30" s="263"/>
      <c r="C30" s="1653"/>
      <c r="D30" s="1654"/>
      <c r="E30" s="1654"/>
      <c r="F30" s="1654"/>
      <c r="G30" s="268"/>
      <c r="H30" s="269" t="s">
        <v>127</v>
      </c>
      <c r="I30" s="270">
        <v>7.8</v>
      </c>
      <c r="J30" s="267"/>
      <c r="K30" s="260"/>
      <c r="L30" s="261"/>
      <c r="M30" s="261"/>
      <c r="N30" s="261"/>
    </row>
    <row r="31" spans="1:14" s="45" customFormat="1">
      <c r="A31" s="271" t="s">
        <v>128</v>
      </c>
      <c r="B31" s="263"/>
      <c r="C31" s="272" t="s">
        <v>21</v>
      </c>
      <c r="D31" s="273" t="s">
        <v>22</v>
      </c>
      <c r="E31" s="274" t="s">
        <v>23</v>
      </c>
      <c r="F31" s="274" t="s">
        <v>129</v>
      </c>
      <c r="G31" s="275" t="s">
        <v>130</v>
      </c>
      <c r="H31" s="276" t="s">
        <v>131</v>
      </c>
      <c r="I31" s="277"/>
      <c r="J31" s="267"/>
      <c r="K31" s="260"/>
      <c r="L31" s="261"/>
      <c r="M31" s="261"/>
      <c r="N31" s="261"/>
    </row>
    <row r="32" spans="1:14" s="45" customFormat="1">
      <c r="A32" s="271"/>
      <c r="B32" s="263"/>
      <c r="C32" s="278"/>
      <c r="D32" s="279"/>
      <c r="E32" s="280"/>
      <c r="F32" s="280"/>
      <c r="G32" s="281"/>
      <c r="H32" s="282"/>
      <c r="I32" s="283"/>
      <c r="J32" s="267"/>
      <c r="K32" s="260"/>
      <c r="L32" s="261"/>
      <c r="M32" s="261"/>
      <c r="N32" s="261"/>
    </row>
    <row r="33" spans="1:14" s="45" customFormat="1">
      <c r="A33" s="284" t="s">
        <v>132</v>
      </c>
      <c r="B33" s="263"/>
      <c r="C33" s="285" t="s">
        <v>133</v>
      </c>
      <c r="D33" s="279"/>
      <c r="E33" s="280"/>
      <c r="F33" s="280"/>
      <c r="G33" s="281"/>
      <c r="H33" s="282"/>
      <c r="I33" s="283"/>
      <c r="J33" s="267"/>
      <c r="K33" s="260"/>
      <c r="L33" s="261"/>
      <c r="M33" s="261"/>
      <c r="N33" s="261"/>
    </row>
    <row r="34" spans="1:14" s="45" customFormat="1">
      <c r="A34" s="284">
        <v>100053</v>
      </c>
      <c r="B34" s="263" t="s">
        <v>134</v>
      </c>
      <c r="C34" s="272" t="s">
        <v>135</v>
      </c>
      <c r="D34" s="273" t="s">
        <v>136</v>
      </c>
      <c r="E34" s="274">
        <v>220</v>
      </c>
      <c r="F34" s="274">
        <v>0</v>
      </c>
      <c r="G34" s="275">
        <v>15</v>
      </c>
      <c r="H34" s="276">
        <v>3300</v>
      </c>
      <c r="I34" s="277">
        <v>1716</v>
      </c>
      <c r="J34" s="267"/>
      <c r="K34" s="260"/>
      <c r="L34" s="261"/>
      <c r="M34" s="261"/>
      <c r="N34" s="261"/>
    </row>
    <row r="35" spans="1:14" s="45" customFormat="1">
      <c r="A35" s="284">
        <v>100124</v>
      </c>
      <c r="B35" s="263" t="s">
        <v>137</v>
      </c>
      <c r="C35" s="272" t="s">
        <v>138</v>
      </c>
      <c r="D35" s="273" t="s">
        <v>139</v>
      </c>
      <c r="E35" s="274">
        <v>1.0900000000000001</v>
      </c>
      <c r="F35" s="274">
        <v>0</v>
      </c>
      <c r="G35" s="275">
        <v>25500</v>
      </c>
      <c r="H35" s="276">
        <v>27795</v>
      </c>
      <c r="I35" s="277">
        <v>8.5020000000000007</v>
      </c>
      <c r="J35" s="267"/>
      <c r="K35" s="260"/>
      <c r="L35" s="261"/>
      <c r="M35" s="261"/>
      <c r="N35" s="261"/>
    </row>
    <row r="36" spans="1:14" s="45" customFormat="1">
      <c r="A36" s="284">
        <v>100558</v>
      </c>
      <c r="B36" s="263" t="s">
        <v>140</v>
      </c>
      <c r="C36" s="272" t="s">
        <v>141</v>
      </c>
      <c r="D36" s="273" t="s">
        <v>142</v>
      </c>
      <c r="E36" s="274">
        <v>454</v>
      </c>
      <c r="F36" s="274">
        <v>0</v>
      </c>
      <c r="G36" s="275">
        <v>497</v>
      </c>
      <c r="H36" s="276">
        <v>225638</v>
      </c>
      <c r="I36" s="277">
        <v>3541.2</v>
      </c>
      <c r="J36" s="267"/>
      <c r="K36" s="260"/>
      <c r="L36" s="261"/>
      <c r="M36" s="261"/>
      <c r="N36" s="261"/>
    </row>
    <row r="37" spans="1:14" s="45" customFormat="1">
      <c r="A37" s="286" t="s">
        <v>143</v>
      </c>
      <c r="B37" s="263"/>
      <c r="C37" s="278"/>
      <c r="D37" s="279"/>
      <c r="E37" s="280"/>
      <c r="F37" s="280"/>
      <c r="G37" s="281" t="s">
        <v>144</v>
      </c>
      <c r="H37" s="287">
        <v>256733</v>
      </c>
      <c r="I37" s="283"/>
      <c r="J37" s="267"/>
      <c r="K37" s="260"/>
      <c r="L37" s="261"/>
      <c r="M37" s="261"/>
      <c r="N37" s="261"/>
    </row>
    <row r="38" spans="1:14" s="45" customFormat="1" ht="27" customHeight="1">
      <c r="A38" s="284" t="s">
        <v>145</v>
      </c>
      <c r="B38" s="263"/>
      <c r="C38" s="288" t="s">
        <v>146</v>
      </c>
      <c r="D38" s="279" t="s">
        <v>147</v>
      </c>
      <c r="E38" s="279" t="s">
        <v>148</v>
      </c>
      <c r="F38" s="279" t="s">
        <v>149</v>
      </c>
      <c r="G38" s="289" t="s">
        <v>150</v>
      </c>
      <c r="H38" s="290" t="s">
        <v>151</v>
      </c>
      <c r="I38" s="283"/>
      <c r="J38" s="267"/>
      <c r="K38" s="260"/>
      <c r="L38" s="261"/>
      <c r="M38" s="261"/>
      <c r="N38" s="261"/>
    </row>
    <row r="39" spans="1:14" s="45" customFormat="1">
      <c r="A39" s="284">
        <v>200008</v>
      </c>
      <c r="B39" s="263" t="s">
        <v>146</v>
      </c>
      <c r="C39" s="272" t="s">
        <v>152</v>
      </c>
      <c r="D39" s="291">
        <v>53514</v>
      </c>
      <c r="E39" s="292">
        <v>1.85</v>
      </c>
      <c r="F39" s="293">
        <v>99000</v>
      </c>
      <c r="G39" s="294">
        <v>5.3339999999999996</v>
      </c>
      <c r="H39" s="276">
        <v>18560.179</v>
      </c>
      <c r="I39" s="277">
        <v>1.4623172103487065</v>
      </c>
      <c r="J39" s="267"/>
      <c r="K39" s="260"/>
      <c r="L39" s="261"/>
      <c r="M39" s="261"/>
      <c r="N39" s="261"/>
    </row>
    <row r="40" spans="1:14" s="45" customFormat="1">
      <c r="A40" s="286" t="s">
        <v>153</v>
      </c>
      <c r="B40" s="263"/>
      <c r="C40" s="278"/>
      <c r="D40" s="279"/>
      <c r="E40" s="280"/>
      <c r="F40" s="280"/>
      <c r="G40" s="281" t="s">
        <v>154</v>
      </c>
      <c r="H40" s="287">
        <v>18560.179</v>
      </c>
      <c r="I40" s="283"/>
      <c r="J40" s="267"/>
      <c r="K40" s="260"/>
      <c r="L40" s="261"/>
      <c r="M40" s="261"/>
      <c r="N40" s="261"/>
    </row>
    <row r="41" spans="1:14" s="45" customFormat="1">
      <c r="A41" s="284" t="s">
        <v>155</v>
      </c>
      <c r="B41" s="263"/>
      <c r="C41" s="295" t="s">
        <v>156</v>
      </c>
      <c r="D41" s="279"/>
      <c r="E41" s="280"/>
      <c r="F41" s="280"/>
      <c r="G41" s="281"/>
      <c r="H41" s="282"/>
      <c r="I41" s="283"/>
      <c r="J41" s="267"/>
      <c r="K41" s="260"/>
      <c r="L41" s="261"/>
      <c r="M41" s="261"/>
      <c r="N41" s="261"/>
    </row>
    <row r="42" spans="1:14" s="45" customFormat="1">
      <c r="A42" s="284">
        <v>300026</v>
      </c>
      <c r="B42" s="263" t="s">
        <v>156</v>
      </c>
      <c r="C42" s="272" t="s">
        <v>157</v>
      </c>
      <c r="D42" s="273" t="s">
        <v>158</v>
      </c>
      <c r="E42" s="292">
        <v>0.05</v>
      </c>
      <c r="F42" s="274">
        <v>0</v>
      </c>
      <c r="G42" s="275">
        <v>18560.179</v>
      </c>
      <c r="H42" s="276">
        <v>928</v>
      </c>
      <c r="I42" s="277">
        <v>7238.4</v>
      </c>
      <c r="J42" s="267"/>
      <c r="K42" s="260"/>
      <c r="L42" s="261"/>
      <c r="M42" s="261"/>
      <c r="N42" s="261"/>
    </row>
    <row r="43" spans="1:14" s="45" customFormat="1">
      <c r="A43" s="286" t="s">
        <v>159</v>
      </c>
      <c r="B43" s="263"/>
      <c r="C43" s="278"/>
      <c r="D43" s="279"/>
      <c r="E43" s="280"/>
      <c r="F43" s="280"/>
      <c r="G43" s="281" t="s">
        <v>160</v>
      </c>
      <c r="H43" s="287">
        <v>928</v>
      </c>
      <c r="I43" s="283"/>
      <c r="J43" s="267"/>
      <c r="K43" s="260"/>
      <c r="L43" s="261"/>
      <c r="M43" s="261"/>
      <c r="N43" s="261"/>
    </row>
    <row r="44" spans="1:14" s="45" customFormat="1">
      <c r="A44" s="296"/>
      <c r="B44" s="297"/>
      <c r="C44" s="278"/>
      <c r="D44" s="279"/>
      <c r="E44" s="280"/>
      <c r="F44" s="280"/>
      <c r="G44" s="281"/>
      <c r="H44" s="282"/>
      <c r="I44" s="298">
        <v>-84491</v>
      </c>
      <c r="J44" s="267"/>
      <c r="K44" s="260"/>
      <c r="L44" s="261"/>
      <c r="M44" s="261"/>
      <c r="N44" s="261"/>
    </row>
    <row r="45" spans="1:14" s="45" customFormat="1" ht="15.75" thickBot="1">
      <c r="A45" s="296" t="s">
        <v>26</v>
      </c>
      <c r="B45" s="297"/>
      <c r="C45" s="299"/>
      <c r="D45" s="300"/>
      <c r="E45" s="301"/>
      <c r="F45" s="302" t="s">
        <v>161</v>
      </c>
      <c r="G45" s="303">
        <v>276221.179</v>
      </c>
      <c r="H45" s="304">
        <v>276221</v>
      </c>
      <c r="I45" s="305">
        <v>191730</v>
      </c>
      <c r="J45" s="267"/>
      <c r="K45" s="260"/>
      <c r="L45" s="261"/>
      <c r="M45" s="261"/>
      <c r="N45" s="261"/>
    </row>
    <row r="46" spans="1:14" s="45" customFormat="1" ht="15.75" thickTop="1">
      <c r="A46"/>
      <c r="B46"/>
      <c r="C46" s="19"/>
      <c r="D46" s="306"/>
      <c r="E46" s="19"/>
      <c r="F46" s="19"/>
      <c r="G46" s="19"/>
      <c r="H46" s="19"/>
      <c r="I46" s="260"/>
      <c r="J46" s="260"/>
      <c r="K46" s="260"/>
      <c r="L46" s="261"/>
      <c r="M46" s="261"/>
      <c r="N46" s="261"/>
    </row>
    <row r="47" spans="1:14" s="45" customFormat="1">
      <c r="A47"/>
      <c r="B47"/>
      <c r="C47" s="19"/>
      <c r="D47" s="306"/>
      <c r="E47" s="19"/>
      <c r="F47" s="19"/>
      <c r="G47" s="19"/>
      <c r="H47" s="19"/>
      <c r="I47" s="260"/>
      <c r="J47" s="260"/>
      <c r="K47" s="260"/>
      <c r="L47" s="261"/>
      <c r="M47" s="261"/>
      <c r="N47" s="261"/>
    </row>
    <row r="48" spans="1:14" s="45" customFormat="1" ht="20.100000000000001" customHeight="1" thickBot="1">
      <c r="A48"/>
      <c r="B48"/>
      <c r="C48"/>
      <c r="D48" s="259"/>
      <c r="E48"/>
      <c r="F48"/>
      <c r="G48"/>
      <c r="H48"/>
      <c r="I48" s="260"/>
      <c r="J48" s="260"/>
      <c r="K48" s="260"/>
      <c r="L48" s="261"/>
      <c r="M48" s="261"/>
      <c r="N48" s="261"/>
    </row>
    <row r="49" spans="1:14" s="45" customFormat="1" ht="12.95" customHeight="1" thickTop="1">
      <c r="A49" s="262" t="s">
        <v>164</v>
      </c>
      <c r="B49" s="263"/>
      <c r="C49" s="1651" t="s">
        <v>165</v>
      </c>
      <c r="D49" s="1652"/>
      <c r="E49" s="1652"/>
      <c r="F49" s="1652"/>
      <c r="G49" s="264"/>
      <c r="H49" s="265" t="s">
        <v>125</v>
      </c>
      <c r="I49" s="266" t="s">
        <v>126</v>
      </c>
      <c r="J49" s="267"/>
      <c r="K49" s="260"/>
      <c r="L49" s="261"/>
      <c r="M49" s="261"/>
      <c r="N49" s="261"/>
    </row>
    <row r="50" spans="1:14" s="45" customFormat="1" ht="12.95" customHeight="1">
      <c r="A50" s="262"/>
      <c r="B50" s="263"/>
      <c r="C50" s="1653"/>
      <c r="D50" s="1654"/>
      <c r="E50" s="1654"/>
      <c r="F50" s="1654"/>
      <c r="G50" s="268"/>
      <c r="H50" s="269" t="s">
        <v>127</v>
      </c>
      <c r="I50" s="270">
        <v>81.682000000000002</v>
      </c>
      <c r="J50" s="267"/>
      <c r="K50" s="260"/>
      <c r="L50" s="261"/>
      <c r="M50" s="261"/>
      <c r="N50" s="261"/>
    </row>
    <row r="51" spans="1:14" s="45" customFormat="1">
      <c r="A51" s="271" t="s">
        <v>128</v>
      </c>
      <c r="B51" s="263"/>
      <c r="C51" s="272" t="s">
        <v>21</v>
      </c>
      <c r="D51" s="273" t="s">
        <v>22</v>
      </c>
      <c r="E51" s="274" t="s">
        <v>23</v>
      </c>
      <c r="F51" s="274" t="s">
        <v>129</v>
      </c>
      <c r="G51" s="275" t="s">
        <v>130</v>
      </c>
      <c r="H51" s="276" t="s">
        <v>131</v>
      </c>
      <c r="I51" s="277"/>
      <c r="J51" s="267"/>
      <c r="K51" s="260"/>
      <c r="L51" s="261"/>
      <c r="M51" s="261"/>
      <c r="N51" s="261"/>
    </row>
    <row r="52" spans="1:14" s="45" customFormat="1">
      <c r="A52" s="271"/>
      <c r="B52" s="263"/>
      <c r="C52" s="278"/>
      <c r="D52" s="279"/>
      <c r="E52" s="280"/>
      <c r="F52" s="280"/>
      <c r="G52" s="281"/>
      <c r="H52" s="282"/>
      <c r="I52" s="283"/>
      <c r="J52" s="267"/>
      <c r="K52" s="260"/>
      <c r="L52" s="261"/>
      <c r="M52" s="261"/>
      <c r="N52" s="261"/>
    </row>
    <row r="53" spans="1:14" s="45" customFormat="1">
      <c r="A53" s="284" t="s">
        <v>132</v>
      </c>
      <c r="B53" s="263"/>
      <c r="C53" s="285" t="s">
        <v>133</v>
      </c>
      <c r="D53" s="279"/>
      <c r="E53" s="280"/>
      <c r="F53" s="280"/>
      <c r="G53" s="281"/>
      <c r="H53" s="282"/>
      <c r="I53" s="283"/>
      <c r="J53" s="267"/>
      <c r="K53" s="260"/>
      <c r="L53" s="261"/>
      <c r="M53" s="261"/>
      <c r="N53" s="261"/>
    </row>
    <row r="54" spans="1:14" s="45" customFormat="1">
      <c r="A54" s="284">
        <v>100053</v>
      </c>
      <c r="B54" s="263" t="s">
        <v>134</v>
      </c>
      <c r="C54" s="272" t="s">
        <v>135</v>
      </c>
      <c r="D54" s="273" t="s">
        <v>136</v>
      </c>
      <c r="E54" s="274">
        <v>190</v>
      </c>
      <c r="F54" s="274">
        <v>0</v>
      </c>
      <c r="G54" s="275">
        <v>15</v>
      </c>
      <c r="H54" s="276">
        <v>2850</v>
      </c>
      <c r="I54" s="277">
        <v>15519.58</v>
      </c>
      <c r="J54" s="267"/>
      <c r="K54" s="260"/>
      <c r="L54" s="261"/>
      <c r="M54" s="261"/>
      <c r="N54" s="261"/>
    </row>
    <row r="55" spans="1:14" s="45" customFormat="1">
      <c r="A55" s="284">
        <v>100123</v>
      </c>
      <c r="B55" s="263" t="s">
        <v>137</v>
      </c>
      <c r="C55" s="272" t="s">
        <v>166</v>
      </c>
      <c r="D55" s="273" t="s">
        <v>139</v>
      </c>
      <c r="E55" s="274">
        <v>0.56000000000000005</v>
      </c>
      <c r="F55" s="274">
        <v>0</v>
      </c>
      <c r="G55" s="275">
        <v>25500</v>
      </c>
      <c r="H55" s="276">
        <v>14280</v>
      </c>
      <c r="I55" s="277">
        <v>45.741920000000007</v>
      </c>
      <c r="J55" s="267"/>
      <c r="K55" s="260"/>
      <c r="L55" s="261"/>
      <c r="M55" s="261"/>
      <c r="N55" s="261"/>
    </row>
    <row r="56" spans="1:14" s="45" customFormat="1">
      <c r="A56" s="284">
        <v>100962</v>
      </c>
      <c r="B56" s="263" t="s">
        <v>137</v>
      </c>
      <c r="C56" s="272" t="s">
        <v>167</v>
      </c>
      <c r="D56" s="273" t="s">
        <v>139</v>
      </c>
      <c r="E56" s="274">
        <v>0.84</v>
      </c>
      <c r="F56" s="274">
        <v>0</v>
      </c>
      <c r="G56" s="275">
        <v>33500</v>
      </c>
      <c r="H56" s="276">
        <v>28140</v>
      </c>
      <c r="I56" s="277">
        <v>68.612880000000004</v>
      </c>
      <c r="J56" s="267"/>
      <c r="K56" s="260"/>
      <c r="L56" s="261"/>
      <c r="M56" s="261"/>
      <c r="N56" s="261"/>
    </row>
    <row r="57" spans="1:14" s="45" customFormat="1">
      <c r="A57" s="284">
        <v>100932</v>
      </c>
      <c r="B57" s="263" t="s">
        <v>168</v>
      </c>
      <c r="C57" s="272" t="s">
        <v>169</v>
      </c>
      <c r="D57" s="273" t="s">
        <v>170</v>
      </c>
      <c r="E57" s="274">
        <v>0.1</v>
      </c>
      <c r="F57" s="274">
        <v>0</v>
      </c>
      <c r="G57" s="275">
        <v>8900</v>
      </c>
      <c r="H57" s="276">
        <v>890</v>
      </c>
      <c r="I57" s="277">
        <v>8.1682000000000006</v>
      </c>
      <c r="J57" s="267"/>
      <c r="K57" s="260"/>
      <c r="L57" s="261"/>
      <c r="M57" s="261"/>
      <c r="N57" s="261"/>
    </row>
    <row r="58" spans="1:14" s="45" customFormat="1">
      <c r="A58" s="284">
        <v>100558</v>
      </c>
      <c r="B58" s="263" t="s">
        <v>140</v>
      </c>
      <c r="C58" s="272" t="s">
        <v>141</v>
      </c>
      <c r="D58" s="273" t="s">
        <v>142</v>
      </c>
      <c r="E58" s="274">
        <v>350</v>
      </c>
      <c r="F58" s="274">
        <v>0</v>
      </c>
      <c r="G58" s="275">
        <v>497</v>
      </c>
      <c r="H58" s="276">
        <v>173950</v>
      </c>
      <c r="I58" s="277">
        <v>28588.7</v>
      </c>
      <c r="J58" s="267"/>
      <c r="K58" s="260"/>
      <c r="L58" s="261"/>
      <c r="M58" s="261"/>
      <c r="N58" s="261"/>
    </row>
    <row r="59" spans="1:14" s="45" customFormat="1">
      <c r="A59" s="284">
        <v>100011</v>
      </c>
      <c r="B59" s="263" t="s">
        <v>168</v>
      </c>
      <c r="C59" s="272" t="s">
        <v>171</v>
      </c>
      <c r="D59" s="273" t="s">
        <v>170</v>
      </c>
      <c r="E59" s="274">
        <v>6.0000000000000001E-3</v>
      </c>
      <c r="F59" s="274">
        <v>0</v>
      </c>
      <c r="G59" s="275">
        <v>52000</v>
      </c>
      <c r="H59" s="276">
        <v>312</v>
      </c>
      <c r="I59" s="277">
        <v>0.49009200000000003</v>
      </c>
      <c r="J59" s="267"/>
      <c r="K59" s="260"/>
      <c r="L59" s="261"/>
      <c r="M59" s="261"/>
      <c r="N59" s="261"/>
    </row>
    <row r="60" spans="1:14" s="45" customFormat="1">
      <c r="A60" s="286" t="s">
        <v>143</v>
      </c>
      <c r="B60" s="263"/>
      <c r="C60" s="278"/>
      <c r="D60" s="279"/>
      <c r="E60" s="280"/>
      <c r="F60" s="280"/>
      <c r="G60" s="281" t="s">
        <v>144</v>
      </c>
      <c r="H60" s="287">
        <v>220422</v>
      </c>
      <c r="I60" s="283"/>
      <c r="J60" s="267"/>
      <c r="K60" s="260"/>
      <c r="L60" s="261"/>
      <c r="M60" s="261"/>
      <c r="N60" s="261"/>
    </row>
    <row r="61" spans="1:14" s="45" customFormat="1" ht="27" customHeight="1">
      <c r="A61" s="284" t="s">
        <v>145</v>
      </c>
      <c r="B61" s="263"/>
      <c r="C61" s="288" t="s">
        <v>146</v>
      </c>
      <c r="D61" s="279" t="s">
        <v>147</v>
      </c>
      <c r="E61" s="279" t="s">
        <v>148</v>
      </c>
      <c r="F61" s="279" t="s">
        <v>149</v>
      </c>
      <c r="G61" s="289" t="s">
        <v>150</v>
      </c>
      <c r="H61" s="290" t="s">
        <v>151</v>
      </c>
      <c r="I61" s="283"/>
      <c r="J61" s="267"/>
      <c r="K61" s="260"/>
      <c r="L61" s="261"/>
      <c r="M61" s="261"/>
      <c r="N61" s="261"/>
    </row>
    <row r="62" spans="1:14" s="45" customFormat="1">
      <c r="A62" s="284">
        <v>200008</v>
      </c>
      <c r="B62" s="263" t="s">
        <v>146</v>
      </c>
      <c r="C62" s="272" t="s">
        <v>152</v>
      </c>
      <c r="D62" s="291">
        <v>53514</v>
      </c>
      <c r="E62" s="292">
        <v>1.85</v>
      </c>
      <c r="F62" s="293">
        <v>99000</v>
      </c>
      <c r="G62" s="294">
        <v>7.2729999999999997</v>
      </c>
      <c r="H62" s="276">
        <v>13611.989</v>
      </c>
      <c r="I62" s="277">
        <v>11.230853842980888</v>
      </c>
      <c r="J62" s="267"/>
      <c r="K62" s="260"/>
      <c r="L62" s="261"/>
      <c r="M62" s="261"/>
      <c r="N62" s="261"/>
    </row>
    <row r="63" spans="1:14" s="45" customFormat="1">
      <c r="A63" s="286" t="s">
        <v>153</v>
      </c>
      <c r="B63" s="263"/>
      <c r="C63" s="278"/>
      <c r="D63" s="279"/>
      <c r="E63" s="280"/>
      <c r="F63" s="280"/>
      <c r="G63" s="281" t="s">
        <v>154</v>
      </c>
      <c r="H63" s="287">
        <v>13611.989</v>
      </c>
      <c r="I63" s="283"/>
      <c r="J63" s="267"/>
      <c r="K63" s="260"/>
      <c r="L63" s="261"/>
      <c r="M63" s="261"/>
      <c r="N63" s="261"/>
    </row>
    <row r="64" spans="1:14" s="45" customFormat="1">
      <c r="A64" s="284" t="s">
        <v>155</v>
      </c>
      <c r="B64" s="263"/>
      <c r="C64" s="295" t="s">
        <v>156</v>
      </c>
      <c r="D64" s="279"/>
      <c r="E64" s="280"/>
      <c r="F64" s="280"/>
      <c r="G64" s="281"/>
      <c r="H64" s="282"/>
      <c r="I64" s="283"/>
      <c r="J64" s="267"/>
      <c r="K64" s="260"/>
      <c r="L64" s="261"/>
      <c r="M64" s="261"/>
      <c r="N64" s="261"/>
    </row>
    <row r="65" spans="1:14" s="45" customFormat="1">
      <c r="A65" s="284">
        <v>308003</v>
      </c>
      <c r="B65" s="263" t="s">
        <v>156</v>
      </c>
      <c r="C65" s="272" t="s">
        <v>172</v>
      </c>
      <c r="D65" s="273" t="s">
        <v>173</v>
      </c>
      <c r="E65" s="274">
        <v>0.06</v>
      </c>
      <c r="F65" s="274">
        <v>0</v>
      </c>
      <c r="G65" s="275">
        <v>32320</v>
      </c>
      <c r="H65" s="276">
        <v>1939.2</v>
      </c>
      <c r="I65" s="277">
        <v>4.9009200000000002</v>
      </c>
      <c r="J65" s="267"/>
      <c r="K65" s="260"/>
      <c r="L65" s="261"/>
      <c r="M65" s="261"/>
      <c r="N65" s="261"/>
    </row>
    <row r="66" spans="1:14" s="45" customFormat="1">
      <c r="A66" s="284">
        <v>300026</v>
      </c>
      <c r="B66" s="263" t="s">
        <v>156</v>
      </c>
      <c r="C66" s="272" t="s">
        <v>157</v>
      </c>
      <c r="D66" s="273" t="s">
        <v>158</v>
      </c>
      <c r="E66" s="292">
        <v>0.05</v>
      </c>
      <c r="F66" s="274">
        <v>0</v>
      </c>
      <c r="G66" s="275">
        <v>13611.989</v>
      </c>
      <c r="H66" s="276">
        <v>680.59</v>
      </c>
      <c r="I66" s="277">
        <v>55591.952380000002</v>
      </c>
      <c r="J66" s="267"/>
      <c r="K66" s="260"/>
      <c r="L66" s="261"/>
      <c r="M66" s="261"/>
      <c r="N66" s="261"/>
    </row>
    <row r="67" spans="1:14" s="45" customFormat="1">
      <c r="A67" s="286" t="s">
        <v>159</v>
      </c>
      <c r="B67" s="263"/>
      <c r="C67" s="278"/>
      <c r="D67" s="279"/>
      <c r="E67" s="280"/>
      <c r="F67" s="280"/>
      <c r="G67" s="281" t="s">
        <v>160</v>
      </c>
      <c r="H67" s="287">
        <v>2619.79</v>
      </c>
      <c r="I67" s="283"/>
      <c r="J67" s="267"/>
      <c r="K67" s="260"/>
      <c r="L67" s="261"/>
      <c r="M67" s="261"/>
      <c r="N67" s="261"/>
    </row>
    <row r="68" spans="1:14" s="45" customFormat="1">
      <c r="A68" s="296"/>
      <c r="B68" s="297"/>
      <c r="C68" s="278"/>
      <c r="D68" s="279"/>
      <c r="E68" s="280"/>
      <c r="F68" s="280"/>
      <c r="G68" s="281"/>
      <c r="H68" s="282"/>
      <c r="I68" s="298">
        <v>-65127</v>
      </c>
      <c r="J68" s="267"/>
      <c r="K68" s="260"/>
      <c r="L68" s="261"/>
      <c r="M68" s="261"/>
      <c r="N68" s="261"/>
    </row>
    <row r="69" spans="1:14" s="45" customFormat="1" ht="15.75" thickBot="1">
      <c r="A69" s="296" t="s">
        <v>26</v>
      </c>
      <c r="B69" s="297"/>
      <c r="C69" s="299"/>
      <c r="D69" s="300"/>
      <c r="E69" s="301"/>
      <c r="F69" s="302" t="s">
        <v>161</v>
      </c>
      <c r="G69" s="303">
        <v>236653.77900000001</v>
      </c>
      <c r="H69" s="304">
        <v>236654</v>
      </c>
      <c r="I69" s="305">
        <v>171527</v>
      </c>
      <c r="J69" s="267"/>
      <c r="K69" s="260"/>
      <c r="L69" s="261"/>
      <c r="M69" s="261"/>
      <c r="N69" s="261"/>
    </row>
    <row r="70" spans="1:14" s="45" customFormat="1" ht="15.75" thickTop="1">
      <c r="A70"/>
      <c r="B70"/>
      <c r="C70" s="19"/>
      <c r="D70" s="306"/>
      <c r="E70" s="19"/>
      <c r="F70" s="19"/>
      <c r="G70" s="19"/>
      <c r="H70" s="19"/>
      <c r="I70" s="260"/>
      <c r="J70" s="260"/>
      <c r="K70" s="260"/>
      <c r="L70" s="261"/>
      <c r="M70" s="261"/>
      <c r="N70" s="261"/>
    </row>
    <row r="71" spans="1:14" s="45" customFormat="1">
      <c r="A71"/>
      <c r="B71"/>
      <c r="C71" s="19"/>
      <c r="D71" s="306"/>
      <c r="E71" s="19"/>
      <c r="F71" s="19"/>
      <c r="G71" s="19"/>
      <c r="H71" s="19"/>
      <c r="I71" s="260"/>
      <c r="J71" s="260"/>
      <c r="K71" s="260"/>
      <c r="L71" s="261"/>
      <c r="M71" s="261"/>
      <c r="N71" s="261"/>
    </row>
    <row r="72" spans="1:14" s="45" customFormat="1" ht="20.100000000000001" customHeight="1" thickBot="1">
      <c r="A72"/>
      <c r="B72"/>
      <c r="C72"/>
      <c r="D72" s="259"/>
      <c r="E72"/>
      <c r="F72"/>
      <c r="G72"/>
      <c r="H72"/>
      <c r="I72" s="260"/>
      <c r="J72" s="260"/>
      <c r="K72" s="260"/>
      <c r="L72" s="261"/>
      <c r="M72" s="261"/>
      <c r="N72" s="261"/>
    </row>
    <row r="73" spans="1:14" s="45" customFormat="1" ht="12.95" customHeight="1" thickTop="1">
      <c r="A73" s="262" t="s">
        <v>174</v>
      </c>
      <c r="B73" s="263"/>
      <c r="C73" s="1651" t="s">
        <v>175</v>
      </c>
      <c r="D73" s="1652"/>
      <c r="E73" s="1652"/>
      <c r="F73" s="1652"/>
      <c r="G73" s="264"/>
      <c r="H73" s="265" t="s">
        <v>125</v>
      </c>
      <c r="I73" s="266" t="s">
        <v>126</v>
      </c>
      <c r="J73" s="267"/>
      <c r="K73" s="260"/>
      <c r="L73" s="261"/>
      <c r="M73" s="261"/>
      <c r="N73" s="261"/>
    </row>
    <row r="74" spans="1:14" s="45" customFormat="1" ht="12.95" customHeight="1">
      <c r="A74" s="262"/>
      <c r="B74" s="263"/>
      <c r="C74" s="1653"/>
      <c r="D74" s="1654"/>
      <c r="E74" s="1654"/>
      <c r="F74" s="1654"/>
      <c r="G74" s="268"/>
      <c r="H74" s="269" t="s">
        <v>127</v>
      </c>
      <c r="I74" s="270">
        <v>12.712</v>
      </c>
      <c r="J74" s="267"/>
      <c r="K74" s="260"/>
      <c r="L74" s="261"/>
      <c r="M74" s="261"/>
      <c r="N74" s="261"/>
    </row>
    <row r="75" spans="1:14" s="45" customFormat="1">
      <c r="A75" s="271" t="s">
        <v>128</v>
      </c>
      <c r="B75" s="263"/>
      <c r="C75" s="272" t="s">
        <v>21</v>
      </c>
      <c r="D75" s="273" t="s">
        <v>22</v>
      </c>
      <c r="E75" s="274" t="s">
        <v>23</v>
      </c>
      <c r="F75" s="274" t="s">
        <v>129</v>
      </c>
      <c r="G75" s="275" t="s">
        <v>130</v>
      </c>
      <c r="H75" s="276" t="s">
        <v>131</v>
      </c>
      <c r="I75" s="277"/>
      <c r="J75" s="267"/>
      <c r="K75" s="260"/>
      <c r="L75" s="261"/>
      <c r="M75" s="261"/>
      <c r="N75" s="261"/>
    </row>
    <row r="76" spans="1:14" s="45" customFormat="1">
      <c r="A76" s="271"/>
      <c r="B76" s="263"/>
      <c r="C76" s="278"/>
      <c r="D76" s="279"/>
      <c r="E76" s="280"/>
      <c r="F76" s="280"/>
      <c r="G76" s="281"/>
      <c r="H76" s="282"/>
      <c r="I76" s="283"/>
      <c r="J76" s="267"/>
      <c r="K76" s="260"/>
      <c r="L76" s="261"/>
      <c r="M76" s="261"/>
      <c r="N76" s="261"/>
    </row>
    <row r="77" spans="1:14" s="45" customFormat="1">
      <c r="A77" s="284" t="s">
        <v>132</v>
      </c>
      <c r="B77" s="263"/>
      <c r="C77" s="285" t="s">
        <v>133</v>
      </c>
      <c r="D77" s="279"/>
      <c r="E77" s="280"/>
      <c r="F77" s="280"/>
      <c r="G77" s="281"/>
      <c r="H77" s="282"/>
      <c r="I77" s="283"/>
      <c r="J77" s="267"/>
      <c r="K77" s="260"/>
      <c r="L77" s="261"/>
      <c r="M77" s="261"/>
      <c r="N77" s="261"/>
    </row>
    <row r="78" spans="1:14" s="45" customFormat="1">
      <c r="A78" s="284">
        <v>100122</v>
      </c>
      <c r="B78" s="263" t="s">
        <v>137</v>
      </c>
      <c r="C78" s="272" t="s">
        <v>176</v>
      </c>
      <c r="D78" s="273" t="s">
        <v>139</v>
      </c>
      <c r="E78" s="274">
        <v>1.1599999999999999</v>
      </c>
      <c r="F78" s="274">
        <v>0</v>
      </c>
      <c r="G78" s="275">
        <v>25500</v>
      </c>
      <c r="H78" s="276">
        <v>29580</v>
      </c>
      <c r="I78" s="277">
        <v>14.745919999999998</v>
      </c>
      <c r="J78" s="267"/>
      <c r="K78" s="260"/>
      <c r="L78" s="261"/>
      <c r="M78" s="261"/>
      <c r="N78" s="261"/>
    </row>
    <row r="79" spans="1:14" s="45" customFormat="1">
      <c r="A79" s="284">
        <v>100053</v>
      </c>
      <c r="B79" s="263" t="s">
        <v>134</v>
      </c>
      <c r="C79" s="272" t="s">
        <v>135</v>
      </c>
      <c r="D79" s="273" t="s">
        <v>136</v>
      </c>
      <c r="E79" s="274">
        <v>185</v>
      </c>
      <c r="F79" s="274">
        <v>0</v>
      </c>
      <c r="G79" s="275">
        <v>15</v>
      </c>
      <c r="H79" s="276">
        <v>2775</v>
      </c>
      <c r="I79" s="277">
        <v>2351.7199999999998</v>
      </c>
      <c r="J79" s="267"/>
      <c r="K79" s="260"/>
      <c r="L79" s="261"/>
      <c r="M79" s="261"/>
      <c r="N79" s="261"/>
    </row>
    <row r="80" spans="1:14" s="45" customFormat="1">
      <c r="A80" s="284">
        <v>100558</v>
      </c>
      <c r="B80" s="263" t="s">
        <v>140</v>
      </c>
      <c r="C80" s="272" t="s">
        <v>141</v>
      </c>
      <c r="D80" s="273" t="s">
        <v>142</v>
      </c>
      <c r="E80" s="274">
        <v>364</v>
      </c>
      <c r="F80" s="274">
        <v>0</v>
      </c>
      <c r="G80" s="275">
        <v>497</v>
      </c>
      <c r="H80" s="276">
        <v>180908</v>
      </c>
      <c r="I80" s="277">
        <v>4627.1679999999997</v>
      </c>
      <c r="J80" s="267"/>
      <c r="K80" s="260"/>
      <c r="L80" s="261"/>
      <c r="M80" s="261"/>
      <c r="N80" s="261"/>
    </row>
    <row r="81" spans="1:14" s="45" customFormat="1">
      <c r="A81" s="286" t="s">
        <v>143</v>
      </c>
      <c r="B81" s="263"/>
      <c r="C81" s="278"/>
      <c r="D81" s="279"/>
      <c r="E81" s="280"/>
      <c r="F81" s="280"/>
      <c r="G81" s="281" t="s">
        <v>144</v>
      </c>
      <c r="H81" s="287">
        <v>213263</v>
      </c>
      <c r="I81" s="283"/>
      <c r="J81" s="267"/>
      <c r="K81" s="260"/>
      <c r="L81" s="261"/>
      <c r="M81" s="261"/>
      <c r="N81" s="261"/>
    </row>
    <row r="82" spans="1:14" s="45" customFormat="1" ht="27" customHeight="1">
      <c r="A82" s="284" t="s">
        <v>145</v>
      </c>
      <c r="B82" s="263"/>
      <c r="C82" s="288" t="s">
        <v>146</v>
      </c>
      <c r="D82" s="279" t="s">
        <v>147</v>
      </c>
      <c r="E82" s="279" t="s">
        <v>148</v>
      </c>
      <c r="F82" s="279" t="s">
        <v>149</v>
      </c>
      <c r="G82" s="289" t="s">
        <v>150</v>
      </c>
      <c r="H82" s="290" t="s">
        <v>151</v>
      </c>
      <c r="I82" s="283"/>
      <c r="J82" s="267"/>
      <c r="K82" s="260"/>
      <c r="L82" s="261"/>
      <c r="M82" s="261"/>
      <c r="N82" s="261"/>
    </row>
    <row r="83" spans="1:14" s="45" customFormat="1">
      <c r="A83" s="284">
        <v>200008</v>
      </c>
      <c r="B83" s="263" t="s">
        <v>146</v>
      </c>
      <c r="C83" s="272" t="s">
        <v>152</v>
      </c>
      <c r="D83" s="291">
        <v>53514</v>
      </c>
      <c r="E83" s="292">
        <v>1.85</v>
      </c>
      <c r="F83" s="293">
        <v>99000</v>
      </c>
      <c r="G83" s="294">
        <v>5.3339999999999996</v>
      </c>
      <c r="H83" s="276">
        <v>18560.179</v>
      </c>
      <c r="I83" s="277">
        <v>2.3832020997375327</v>
      </c>
      <c r="J83" s="267"/>
      <c r="K83" s="260"/>
      <c r="L83" s="261"/>
      <c r="M83" s="261"/>
      <c r="N83" s="261"/>
    </row>
    <row r="84" spans="1:14" s="45" customFormat="1">
      <c r="A84" s="286" t="s">
        <v>153</v>
      </c>
      <c r="B84" s="263"/>
      <c r="C84" s="278"/>
      <c r="D84" s="279"/>
      <c r="E84" s="280"/>
      <c r="F84" s="280"/>
      <c r="G84" s="281" t="s">
        <v>154</v>
      </c>
      <c r="H84" s="287">
        <v>18560.179</v>
      </c>
      <c r="I84" s="283"/>
      <c r="J84" s="267"/>
      <c r="K84" s="260"/>
      <c r="L84" s="261"/>
      <c r="M84" s="261"/>
      <c r="N84" s="261"/>
    </row>
    <row r="85" spans="1:14" s="45" customFormat="1">
      <c r="A85" s="284" t="s">
        <v>155</v>
      </c>
      <c r="B85" s="263"/>
      <c r="C85" s="295" t="s">
        <v>156</v>
      </c>
      <c r="D85" s="279"/>
      <c r="E85" s="280"/>
      <c r="F85" s="280"/>
      <c r="G85" s="281"/>
      <c r="H85" s="282"/>
      <c r="I85" s="283"/>
      <c r="J85" s="267"/>
      <c r="K85" s="260"/>
      <c r="L85" s="261"/>
      <c r="M85" s="261"/>
      <c r="N85" s="261"/>
    </row>
    <row r="86" spans="1:14" s="45" customFormat="1">
      <c r="A86" s="284">
        <v>300026</v>
      </c>
      <c r="B86" s="263" t="s">
        <v>156</v>
      </c>
      <c r="C86" s="272" t="s">
        <v>157</v>
      </c>
      <c r="D86" s="273" t="s">
        <v>158</v>
      </c>
      <c r="E86" s="292">
        <v>0.05</v>
      </c>
      <c r="F86" s="274">
        <v>0</v>
      </c>
      <c r="G86" s="275">
        <v>18560.179</v>
      </c>
      <c r="H86" s="276">
        <v>928</v>
      </c>
      <c r="I86" s="277">
        <v>11796.735999999999</v>
      </c>
      <c r="J86" s="267"/>
      <c r="K86" s="260"/>
      <c r="L86" s="261"/>
      <c r="M86" s="261"/>
      <c r="N86" s="261"/>
    </row>
    <row r="87" spans="1:14" s="45" customFormat="1">
      <c r="A87" s="286" t="s">
        <v>159</v>
      </c>
      <c r="B87" s="263"/>
      <c r="C87" s="278"/>
      <c r="D87" s="279"/>
      <c r="E87" s="280"/>
      <c r="F87" s="280"/>
      <c r="G87" s="281" t="s">
        <v>160</v>
      </c>
      <c r="H87" s="287">
        <v>928</v>
      </c>
      <c r="I87" s="283"/>
      <c r="J87" s="267"/>
      <c r="K87" s="260"/>
      <c r="L87" s="261"/>
      <c r="M87" s="261"/>
      <c r="N87" s="261"/>
    </row>
    <row r="88" spans="1:14" s="45" customFormat="1">
      <c r="A88" s="296"/>
      <c r="B88" s="297"/>
      <c r="C88" s="278"/>
      <c r="D88" s="279"/>
      <c r="E88" s="280"/>
      <c r="F88" s="280"/>
      <c r="G88" s="281"/>
      <c r="H88" s="282"/>
      <c r="I88" s="298">
        <v>-69601</v>
      </c>
      <c r="J88" s="267"/>
      <c r="K88" s="260"/>
      <c r="L88" s="261"/>
      <c r="M88" s="261"/>
      <c r="N88" s="261"/>
    </row>
    <row r="89" spans="1:14" s="45" customFormat="1" ht="15.75" thickBot="1">
      <c r="A89" s="296" t="s">
        <v>26</v>
      </c>
      <c r="B89" s="297"/>
      <c r="C89" s="299"/>
      <c r="D89" s="300"/>
      <c r="E89" s="301"/>
      <c r="F89" s="302" t="s">
        <v>161</v>
      </c>
      <c r="G89" s="303">
        <v>232751.179</v>
      </c>
      <c r="H89" s="304">
        <v>232751</v>
      </c>
      <c r="I89" s="305">
        <v>163150</v>
      </c>
      <c r="J89" s="267"/>
      <c r="K89" s="260"/>
      <c r="L89" s="261"/>
      <c r="M89" s="261"/>
      <c r="N89" s="261"/>
    </row>
    <row r="90" spans="1:14" s="45" customFormat="1" ht="15.75" thickTop="1">
      <c r="A90"/>
      <c r="B90"/>
      <c r="C90" s="19"/>
      <c r="D90" s="306"/>
      <c r="E90" s="19"/>
      <c r="F90" s="19"/>
      <c r="G90" s="19"/>
      <c r="H90" s="19"/>
      <c r="I90" s="260"/>
      <c r="J90" s="260"/>
      <c r="K90" s="260"/>
      <c r="L90" s="261"/>
      <c r="M90" s="261"/>
      <c r="N90" s="261"/>
    </row>
    <row r="91" spans="1:14" s="45" customFormat="1">
      <c r="A91"/>
      <c r="B91"/>
      <c r="C91" s="19"/>
      <c r="D91" s="306"/>
      <c r="E91" s="19"/>
      <c r="F91" s="19"/>
      <c r="G91" s="19"/>
      <c r="H91" s="19"/>
      <c r="I91" s="260"/>
      <c r="J91" s="260"/>
      <c r="K91" s="260"/>
      <c r="L91" s="261"/>
      <c r="M91" s="261"/>
      <c r="N91" s="261"/>
    </row>
    <row r="92" spans="1:14" s="45" customFormat="1" ht="20.100000000000001" customHeight="1" thickBot="1">
      <c r="A92"/>
      <c r="B92"/>
      <c r="C92"/>
      <c r="D92" s="259"/>
      <c r="E92"/>
      <c r="F92"/>
      <c r="G92"/>
      <c r="H92"/>
      <c r="I92" s="260"/>
      <c r="J92" s="260"/>
      <c r="K92" s="260"/>
      <c r="L92" s="261"/>
      <c r="M92" s="261"/>
      <c r="N92" s="261"/>
    </row>
    <row r="93" spans="1:14" s="45" customFormat="1" ht="12.95" customHeight="1" thickTop="1">
      <c r="A93" s="262" t="s">
        <v>177</v>
      </c>
      <c r="B93" s="263"/>
      <c r="C93" s="1651" t="s">
        <v>42</v>
      </c>
      <c r="D93" s="1652"/>
      <c r="E93" s="1652"/>
      <c r="F93" s="1652"/>
      <c r="G93" s="264"/>
      <c r="H93" s="265" t="s">
        <v>178</v>
      </c>
      <c r="I93" s="266" t="s">
        <v>126</v>
      </c>
      <c r="J93" s="267"/>
      <c r="K93" s="260"/>
      <c r="L93" s="261"/>
      <c r="M93" s="261"/>
      <c r="N93" s="261"/>
    </row>
    <row r="94" spans="1:14" s="45" customFormat="1" ht="12.95" customHeight="1">
      <c r="A94" s="262"/>
      <c r="B94" s="263"/>
      <c r="C94" s="1653"/>
      <c r="D94" s="1654"/>
      <c r="E94" s="1654"/>
      <c r="F94" s="1654"/>
      <c r="G94" s="268"/>
      <c r="H94" s="269" t="s">
        <v>179</v>
      </c>
      <c r="I94" s="270">
        <v>260</v>
      </c>
      <c r="J94" s="267"/>
      <c r="K94" s="260"/>
      <c r="L94" s="261"/>
      <c r="M94" s="261"/>
      <c r="N94" s="261"/>
    </row>
    <row r="95" spans="1:14" s="45" customFormat="1">
      <c r="A95" s="271" t="s">
        <v>128</v>
      </c>
      <c r="B95" s="263"/>
      <c r="C95" s="272" t="s">
        <v>21</v>
      </c>
      <c r="D95" s="273" t="s">
        <v>22</v>
      </c>
      <c r="E95" s="274" t="s">
        <v>23</v>
      </c>
      <c r="F95" s="307" t="s">
        <v>129</v>
      </c>
      <c r="G95" s="275" t="s">
        <v>130</v>
      </c>
      <c r="H95" s="276" t="s">
        <v>131</v>
      </c>
      <c r="I95" s="308"/>
      <c r="J95" s="267"/>
      <c r="K95" s="260"/>
      <c r="L95" s="261"/>
      <c r="M95" s="261"/>
      <c r="N95" s="261"/>
    </row>
    <row r="96" spans="1:14" s="45" customFormat="1">
      <c r="A96" s="271"/>
      <c r="B96" s="263"/>
      <c r="C96" s="278"/>
      <c r="D96" s="279"/>
      <c r="E96" s="280"/>
      <c r="F96" s="309"/>
      <c r="G96" s="281"/>
      <c r="H96" s="282"/>
      <c r="I96" s="310"/>
      <c r="J96" s="267"/>
      <c r="K96" s="260"/>
      <c r="L96" s="261"/>
      <c r="M96" s="261"/>
      <c r="N96" s="261"/>
    </row>
    <row r="97" spans="1:14" s="45" customFormat="1">
      <c r="A97" s="271" t="s">
        <v>132</v>
      </c>
      <c r="B97" s="263"/>
      <c r="C97" s="285" t="s">
        <v>133</v>
      </c>
      <c r="D97" s="279"/>
      <c r="E97" s="280"/>
      <c r="F97" s="309"/>
      <c r="G97" s="281"/>
      <c r="H97" s="282"/>
      <c r="I97" s="310"/>
      <c r="J97" s="267"/>
      <c r="K97" s="260"/>
      <c r="L97" s="261"/>
      <c r="M97" s="261"/>
      <c r="N97" s="261"/>
    </row>
    <row r="98" spans="1:14" s="45" customFormat="1">
      <c r="A98" s="271">
        <v>109069</v>
      </c>
      <c r="B98" s="263"/>
      <c r="C98" s="272" t="s">
        <v>180</v>
      </c>
      <c r="D98" s="273" t="s">
        <v>22</v>
      </c>
      <c r="E98" s="274">
        <v>0.05</v>
      </c>
      <c r="F98" s="307">
        <v>0</v>
      </c>
      <c r="G98" s="275">
        <v>3500</v>
      </c>
      <c r="H98" s="276">
        <v>175</v>
      </c>
      <c r="I98" s="308">
        <v>13</v>
      </c>
      <c r="J98" s="267"/>
      <c r="K98" s="260"/>
      <c r="L98" s="261"/>
      <c r="M98" s="261"/>
      <c r="N98" s="261"/>
    </row>
    <row r="99" spans="1:14" s="45" customFormat="1">
      <c r="A99" s="271">
        <v>101509</v>
      </c>
      <c r="B99" s="263" t="s">
        <v>181</v>
      </c>
      <c r="C99" s="272" t="s">
        <v>182</v>
      </c>
      <c r="D99" s="273" t="s">
        <v>183</v>
      </c>
      <c r="E99" s="274">
        <v>0.01</v>
      </c>
      <c r="F99" s="307">
        <v>0</v>
      </c>
      <c r="G99" s="275">
        <v>2000</v>
      </c>
      <c r="H99" s="276">
        <v>20</v>
      </c>
      <c r="I99" s="308">
        <v>2.6</v>
      </c>
      <c r="J99" s="267"/>
      <c r="K99" s="260"/>
      <c r="L99" s="261"/>
      <c r="M99" s="261"/>
      <c r="N99" s="261"/>
    </row>
    <row r="100" spans="1:14" s="45" customFormat="1">
      <c r="A100" s="271">
        <v>101365</v>
      </c>
      <c r="B100" s="263" t="s">
        <v>134</v>
      </c>
      <c r="C100" s="272" t="s">
        <v>184</v>
      </c>
      <c r="D100" s="273" t="s">
        <v>185</v>
      </c>
      <c r="E100" s="274">
        <v>0.01</v>
      </c>
      <c r="F100" s="307">
        <v>0</v>
      </c>
      <c r="G100" s="275">
        <v>2500</v>
      </c>
      <c r="H100" s="276">
        <v>25</v>
      </c>
      <c r="I100" s="308">
        <v>2.6</v>
      </c>
      <c r="J100" s="267"/>
      <c r="K100" s="260"/>
      <c r="L100" s="261"/>
      <c r="M100" s="261"/>
      <c r="N100" s="261"/>
    </row>
    <row r="101" spans="1:14" s="45" customFormat="1">
      <c r="A101" s="311" t="s">
        <v>143</v>
      </c>
      <c r="B101" s="263"/>
      <c r="C101" s="278"/>
      <c r="D101" s="279"/>
      <c r="E101" s="280"/>
      <c r="F101" s="309"/>
      <c r="G101" s="281" t="s">
        <v>144</v>
      </c>
      <c r="H101" s="287">
        <v>220</v>
      </c>
      <c r="I101" s="310"/>
      <c r="J101" s="267"/>
      <c r="K101" s="260"/>
      <c r="L101" s="261"/>
      <c r="M101" s="261"/>
      <c r="N101" s="261"/>
    </row>
    <row r="102" spans="1:14" s="45" customFormat="1" ht="27" customHeight="1">
      <c r="A102" s="271" t="s">
        <v>145</v>
      </c>
      <c r="B102" s="263"/>
      <c r="C102" s="288" t="s">
        <v>146</v>
      </c>
      <c r="D102" s="279" t="s">
        <v>147</v>
      </c>
      <c r="E102" s="279" t="s">
        <v>148</v>
      </c>
      <c r="F102" s="312" t="s">
        <v>149</v>
      </c>
      <c r="G102" s="289" t="s">
        <v>150</v>
      </c>
      <c r="H102" s="290" t="s">
        <v>151</v>
      </c>
      <c r="I102" s="310"/>
      <c r="J102" s="267"/>
      <c r="K102" s="260"/>
      <c r="L102" s="261"/>
      <c r="M102" s="261"/>
      <c r="N102" s="261"/>
    </row>
    <row r="103" spans="1:14" s="45" customFormat="1">
      <c r="A103" s="271">
        <v>200009</v>
      </c>
      <c r="B103" s="263" t="s">
        <v>146</v>
      </c>
      <c r="C103" s="272" t="s">
        <v>186</v>
      </c>
      <c r="D103" s="291">
        <v>98063</v>
      </c>
      <c r="E103" s="292">
        <v>1.85</v>
      </c>
      <c r="F103" s="293">
        <v>181416</v>
      </c>
      <c r="G103" s="294">
        <v>533.34199999999998</v>
      </c>
      <c r="H103" s="276">
        <v>340.149</v>
      </c>
      <c r="I103" s="308">
        <v>0.48749207825372837</v>
      </c>
      <c r="J103" s="267"/>
      <c r="K103" s="260"/>
      <c r="L103" s="261"/>
      <c r="M103" s="261"/>
      <c r="N103" s="261"/>
    </row>
    <row r="104" spans="1:14" s="45" customFormat="1">
      <c r="A104" s="271">
        <v>200027</v>
      </c>
      <c r="B104" s="263" t="s">
        <v>146</v>
      </c>
      <c r="C104" s="272" t="s">
        <v>187</v>
      </c>
      <c r="D104" s="291">
        <v>198452</v>
      </c>
      <c r="E104" s="292">
        <v>1.85</v>
      </c>
      <c r="F104" s="293">
        <v>367136</v>
      </c>
      <c r="G104" s="294">
        <v>533.33399999999995</v>
      </c>
      <c r="H104" s="276">
        <v>688.37900000000002</v>
      </c>
      <c r="I104" s="308">
        <v>0.48749939062576175</v>
      </c>
      <c r="J104" s="267"/>
      <c r="K104" s="260"/>
      <c r="L104" s="261"/>
      <c r="M104" s="261"/>
      <c r="N104" s="261"/>
    </row>
    <row r="105" spans="1:14" s="45" customFormat="1">
      <c r="A105" s="311" t="s">
        <v>153</v>
      </c>
      <c r="B105" s="263"/>
      <c r="C105" s="278"/>
      <c r="D105" s="279"/>
      <c r="E105" s="280"/>
      <c r="F105" s="309"/>
      <c r="G105" s="281" t="s">
        <v>154</v>
      </c>
      <c r="H105" s="287">
        <v>1028.528</v>
      </c>
      <c r="I105" s="310"/>
      <c r="J105" s="267"/>
      <c r="K105" s="260"/>
      <c r="L105" s="261"/>
      <c r="M105" s="261"/>
      <c r="N105" s="261"/>
    </row>
    <row r="106" spans="1:14" s="45" customFormat="1">
      <c r="A106" s="271" t="s">
        <v>155</v>
      </c>
      <c r="B106" s="263"/>
      <c r="C106" s="295" t="s">
        <v>156</v>
      </c>
      <c r="D106" s="279"/>
      <c r="E106" s="280"/>
      <c r="F106" s="309"/>
      <c r="G106" s="281"/>
      <c r="H106" s="282"/>
      <c r="I106" s="310"/>
      <c r="J106" s="267"/>
      <c r="K106" s="260"/>
      <c r="L106" s="261"/>
      <c r="M106" s="261"/>
      <c r="N106" s="261"/>
    </row>
    <row r="107" spans="1:14" s="45" customFormat="1">
      <c r="A107" s="271">
        <v>300026</v>
      </c>
      <c r="B107" s="263" t="s">
        <v>156</v>
      </c>
      <c r="C107" s="272" t="s">
        <v>157</v>
      </c>
      <c r="D107" s="273" t="s">
        <v>158</v>
      </c>
      <c r="E107" s="292">
        <v>0.05</v>
      </c>
      <c r="F107" s="307">
        <v>0</v>
      </c>
      <c r="G107" s="275">
        <v>1028.528</v>
      </c>
      <c r="H107" s="276">
        <v>51.42</v>
      </c>
      <c r="I107" s="308">
        <v>13369.2</v>
      </c>
      <c r="J107" s="267"/>
      <c r="K107" s="260"/>
      <c r="L107" s="261"/>
      <c r="M107" s="261"/>
      <c r="N107" s="261"/>
    </row>
    <row r="108" spans="1:14" s="45" customFormat="1">
      <c r="A108" s="311" t="s">
        <v>159</v>
      </c>
      <c r="B108" s="263"/>
      <c r="C108" s="278"/>
      <c r="D108" s="279"/>
      <c r="E108" s="280"/>
      <c r="F108" s="309"/>
      <c r="G108" s="281" t="s">
        <v>160</v>
      </c>
      <c r="H108" s="287">
        <v>51.42</v>
      </c>
      <c r="I108" s="310"/>
      <c r="J108" s="267"/>
      <c r="K108" s="260"/>
      <c r="L108" s="261"/>
      <c r="M108" s="261"/>
      <c r="N108" s="261"/>
    </row>
    <row r="109" spans="1:14" s="45" customFormat="1">
      <c r="A109" s="311"/>
      <c r="B109" s="297"/>
      <c r="C109" s="278"/>
      <c r="D109" s="279"/>
      <c r="E109" s="280"/>
      <c r="F109" s="309"/>
      <c r="G109" s="281"/>
      <c r="H109" s="282"/>
      <c r="I109" s="310"/>
      <c r="J109" s="267"/>
      <c r="K109" s="260"/>
      <c r="L109" s="261"/>
      <c r="M109" s="261"/>
      <c r="N109" s="261"/>
    </row>
    <row r="110" spans="1:14" s="45" customFormat="1" ht="15.75" thickBot="1">
      <c r="A110" s="311" t="s">
        <v>26</v>
      </c>
      <c r="B110" s="297"/>
      <c r="C110" s="299"/>
      <c r="D110" s="300"/>
      <c r="E110" s="301"/>
      <c r="F110" s="313" t="s">
        <v>161</v>
      </c>
      <c r="G110" s="303">
        <v>1299.9480000000001</v>
      </c>
      <c r="H110" s="304">
        <v>1300</v>
      </c>
      <c r="I110" s="305"/>
      <c r="J110" s="267"/>
      <c r="K110" s="260"/>
      <c r="L110" s="261"/>
      <c r="M110" s="261"/>
      <c r="N110" s="261"/>
    </row>
    <row r="111" spans="1:14" s="45" customFormat="1" ht="15.75" hidden="1" thickTop="1">
      <c r="A111" s="311" t="s">
        <v>188</v>
      </c>
      <c r="B111" s="297"/>
      <c r="C111" s="314" t="s">
        <v>96</v>
      </c>
      <c r="D111" s="315"/>
      <c r="E111" s="316"/>
      <c r="F111" s="317"/>
      <c r="G111" s="318"/>
      <c r="H111" s="319"/>
      <c r="I111" s="310"/>
      <c r="J111" s="267"/>
      <c r="K111" s="260"/>
      <c r="L111" s="261"/>
      <c r="M111" s="261"/>
      <c r="N111" s="261"/>
    </row>
    <row r="112" spans="1:14" s="45" customFormat="1" ht="15.75" hidden="1" thickTop="1">
      <c r="A112" s="271" t="s">
        <v>99</v>
      </c>
      <c r="B112" s="297"/>
      <c r="C112" s="320" t="s">
        <v>100</v>
      </c>
      <c r="D112" s="321"/>
      <c r="E112" s="322"/>
      <c r="F112" s="323">
        <v>0.185</v>
      </c>
      <c r="G112" s="324"/>
      <c r="H112" s="325">
        <v>240.5</v>
      </c>
      <c r="I112" s="310"/>
      <c r="J112" s="267"/>
      <c r="K112" s="260"/>
      <c r="L112" s="261"/>
      <c r="M112" s="261"/>
      <c r="N112" s="261"/>
    </row>
    <row r="113" spans="1:14" s="45" customFormat="1" ht="15.75" hidden="1" thickTop="1">
      <c r="A113" s="271" t="s">
        <v>189</v>
      </c>
      <c r="B113" s="297"/>
      <c r="C113" s="320" t="s">
        <v>102</v>
      </c>
      <c r="D113" s="321"/>
      <c r="E113" s="322"/>
      <c r="F113" s="323">
        <v>0.05</v>
      </c>
      <c r="G113" s="324"/>
      <c r="H113" s="325">
        <v>65</v>
      </c>
      <c r="I113" s="310"/>
      <c r="J113" s="267"/>
      <c r="K113" s="260"/>
      <c r="L113" s="261"/>
      <c r="M113" s="261"/>
      <c r="N113" s="261"/>
    </row>
    <row r="114" spans="1:14" s="45" customFormat="1" ht="15.75" hidden="1" thickTop="1">
      <c r="A114" s="271" t="s">
        <v>103</v>
      </c>
      <c r="B114" s="297"/>
      <c r="C114" s="320" t="s">
        <v>104</v>
      </c>
      <c r="D114" s="321"/>
      <c r="E114" s="322"/>
      <c r="F114" s="323">
        <v>0.08</v>
      </c>
      <c r="G114" s="324"/>
      <c r="H114" s="325">
        <v>104</v>
      </c>
      <c r="I114" s="310"/>
      <c r="J114" s="267"/>
      <c r="K114" s="260"/>
      <c r="L114" s="261"/>
      <c r="M114" s="261"/>
      <c r="N114" s="261"/>
    </row>
    <row r="115" spans="1:14" s="45" customFormat="1" ht="15.75" hidden="1" thickTop="1">
      <c r="A115" s="271" t="s">
        <v>106</v>
      </c>
      <c r="B115" s="297"/>
      <c r="C115" s="320" t="s">
        <v>107</v>
      </c>
      <c r="D115" s="321"/>
      <c r="E115" s="322"/>
      <c r="F115" s="323">
        <v>0.16</v>
      </c>
      <c r="G115" s="324"/>
      <c r="H115" s="325">
        <v>16.64</v>
      </c>
      <c r="I115" s="310"/>
      <c r="J115" s="267"/>
      <c r="K115" s="260"/>
      <c r="L115" s="261"/>
      <c r="M115" s="261"/>
      <c r="N115" s="261"/>
    </row>
    <row r="116" spans="1:14" s="45" customFormat="1" ht="15.75" hidden="1" thickTop="1">
      <c r="A116" s="311" t="s">
        <v>190</v>
      </c>
      <c r="B116" s="297"/>
      <c r="C116" s="285" t="s">
        <v>191</v>
      </c>
      <c r="D116" s="279"/>
      <c r="E116" s="280"/>
      <c r="F116" s="309"/>
      <c r="G116" s="326"/>
      <c r="H116" s="327">
        <v>426.14</v>
      </c>
      <c r="I116" s="328">
        <v>-406</v>
      </c>
      <c r="J116" s="267"/>
      <c r="K116" s="260"/>
      <c r="L116" s="261"/>
      <c r="M116" s="261"/>
      <c r="N116" s="261"/>
    </row>
    <row r="117" spans="1:14" s="45" customFormat="1" ht="16.5" hidden="1" thickTop="1" thickBot="1">
      <c r="A117" s="311" t="s">
        <v>192</v>
      </c>
      <c r="B117" s="297"/>
      <c r="C117" s="329"/>
      <c r="D117" s="330"/>
      <c r="E117" s="331"/>
      <c r="F117" s="313" t="s">
        <v>193</v>
      </c>
      <c r="G117" s="332">
        <v>1726.1399999999999</v>
      </c>
      <c r="H117" s="304">
        <v>1726</v>
      </c>
      <c r="I117" s="305">
        <v>1320</v>
      </c>
      <c r="J117" s="267"/>
      <c r="K117" s="260"/>
      <c r="L117" s="261"/>
      <c r="M117" s="261"/>
      <c r="N117" s="261"/>
    </row>
    <row r="118" spans="1:14" s="45" customFormat="1" ht="15.75" thickTop="1">
      <c r="A118"/>
      <c r="B118"/>
      <c r="C118" s="19"/>
      <c r="D118" s="306"/>
      <c r="E118" s="19"/>
      <c r="F118" s="19"/>
      <c r="G118" s="19"/>
      <c r="H118" s="19"/>
      <c r="I118" s="260"/>
      <c r="J118" s="260"/>
      <c r="K118" s="260"/>
      <c r="L118" s="261"/>
      <c r="M118" s="261"/>
      <c r="N118" s="261"/>
    </row>
    <row r="119" spans="1:14" s="45" customFormat="1" ht="15.75" thickBot="1">
      <c r="A119"/>
      <c r="B119"/>
      <c r="C119" s="19"/>
      <c r="D119" s="306"/>
      <c r="E119" s="19"/>
      <c r="F119" s="19"/>
      <c r="G119" s="19"/>
      <c r="H119" s="19"/>
      <c r="I119" s="260"/>
      <c r="J119" s="260"/>
      <c r="K119" s="260"/>
      <c r="L119" s="261"/>
      <c r="M119" s="261"/>
      <c r="N119" s="261"/>
    </row>
    <row r="120" spans="1:14" s="45" customFormat="1" ht="12.95" customHeight="1" thickTop="1">
      <c r="A120" s="262" t="s">
        <v>194</v>
      </c>
      <c r="B120" s="263"/>
      <c r="C120" s="1651" t="s">
        <v>45</v>
      </c>
      <c r="D120" s="1652"/>
      <c r="E120" s="1652"/>
      <c r="F120" s="1652"/>
      <c r="G120" s="264"/>
      <c r="H120" s="265" t="s">
        <v>178</v>
      </c>
      <c r="I120" s="266" t="s">
        <v>126</v>
      </c>
      <c r="J120" s="267"/>
      <c r="K120" s="260"/>
      <c r="L120" s="261"/>
      <c r="M120" s="261"/>
      <c r="N120" s="261"/>
    </row>
    <row r="121" spans="1:14" s="45" customFormat="1" ht="12.95" customHeight="1">
      <c r="A121" s="262"/>
      <c r="B121" s="263"/>
      <c r="C121" s="1653"/>
      <c r="D121" s="1654"/>
      <c r="E121" s="1654"/>
      <c r="F121" s="1654"/>
      <c r="G121" s="268"/>
      <c r="H121" s="269" t="s">
        <v>179</v>
      </c>
      <c r="I121" s="270">
        <v>260</v>
      </c>
      <c r="J121" s="267"/>
      <c r="K121" s="260"/>
      <c r="L121" s="261"/>
      <c r="M121" s="261"/>
      <c r="N121" s="261"/>
    </row>
    <row r="122" spans="1:14" s="45" customFormat="1">
      <c r="A122" s="271" t="s">
        <v>128</v>
      </c>
      <c r="B122" s="263"/>
      <c r="C122" s="272" t="s">
        <v>21</v>
      </c>
      <c r="D122" s="273" t="s">
        <v>22</v>
      </c>
      <c r="E122" s="274" t="s">
        <v>23</v>
      </c>
      <c r="F122" s="307" t="s">
        <v>129</v>
      </c>
      <c r="G122" s="275" t="s">
        <v>130</v>
      </c>
      <c r="H122" s="276" t="s">
        <v>131</v>
      </c>
      <c r="I122" s="308"/>
      <c r="J122" s="267"/>
      <c r="K122" s="260"/>
      <c r="L122" s="261"/>
      <c r="M122" s="261"/>
      <c r="N122" s="261"/>
    </row>
    <row r="123" spans="1:14" s="45" customFormat="1">
      <c r="A123" s="271"/>
      <c r="B123" s="263"/>
      <c r="C123" s="278"/>
      <c r="D123" s="279"/>
      <c r="E123" s="280"/>
      <c r="F123" s="309"/>
      <c r="G123" s="281"/>
      <c r="H123" s="282"/>
      <c r="I123" s="310"/>
      <c r="J123" s="267"/>
      <c r="K123" s="260"/>
      <c r="L123" s="261"/>
      <c r="M123" s="261"/>
      <c r="N123" s="261"/>
    </row>
    <row r="124" spans="1:14" s="45" customFormat="1">
      <c r="A124" s="271" t="s">
        <v>155</v>
      </c>
      <c r="B124" s="263"/>
      <c r="C124" s="295" t="s">
        <v>156</v>
      </c>
      <c r="D124" s="279"/>
      <c r="E124" s="280"/>
      <c r="F124" s="309"/>
      <c r="G124" s="281"/>
      <c r="H124" s="282"/>
      <c r="I124" s="310"/>
      <c r="J124" s="267"/>
      <c r="K124" s="260"/>
      <c r="L124" s="261"/>
      <c r="M124" s="261"/>
      <c r="N124" s="261"/>
    </row>
    <row r="125" spans="1:14" s="45" customFormat="1">
      <c r="A125" s="271">
        <v>300059</v>
      </c>
      <c r="B125" s="263" t="s">
        <v>156</v>
      </c>
      <c r="C125" s="272" t="s">
        <v>195</v>
      </c>
      <c r="D125" s="273" t="s">
        <v>196</v>
      </c>
      <c r="E125" s="274">
        <v>2.5999999999999999E-2</v>
      </c>
      <c r="F125" s="307">
        <v>0</v>
      </c>
      <c r="G125" s="275">
        <v>43500</v>
      </c>
      <c r="H125" s="276">
        <v>1131</v>
      </c>
      <c r="I125" s="308">
        <v>6.76</v>
      </c>
      <c r="J125" s="267"/>
      <c r="K125" s="260"/>
      <c r="L125" s="261"/>
      <c r="M125" s="261"/>
      <c r="N125" s="261"/>
    </row>
    <row r="126" spans="1:14" s="45" customFormat="1">
      <c r="A126" s="271">
        <v>300045</v>
      </c>
      <c r="B126" s="263" t="s">
        <v>156</v>
      </c>
      <c r="C126" s="272" t="s">
        <v>197</v>
      </c>
      <c r="D126" s="273" t="s">
        <v>198</v>
      </c>
      <c r="E126" s="274">
        <v>2E-3</v>
      </c>
      <c r="F126" s="307">
        <v>0</v>
      </c>
      <c r="G126" s="275">
        <v>85000</v>
      </c>
      <c r="H126" s="276">
        <v>170</v>
      </c>
      <c r="I126" s="308">
        <v>0.52</v>
      </c>
      <c r="J126" s="267"/>
      <c r="K126" s="260"/>
      <c r="L126" s="261"/>
      <c r="M126" s="261"/>
      <c r="N126" s="261"/>
    </row>
    <row r="127" spans="1:14" s="45" customFormat="1">
      <c r="A127" s="271">
        <v>300026</v>
      </c>
      <c r="B127" s="263" t="s">
        <v>156</v>
      </c>
      <c r="C127" s="272" t="s">
        <v>157</v>
      </c>
      <c r="D127" s="273" t="s">
        <v>199</v>
      </c>
      <c r="E127" s="274">
        <v>3.7699999999999997E-2</v>
      </c>
      <c r="F127" s="307">
        <v>0</v>
      </c>
      <c r="G127" s="275">
        <v>1300</v>
      </c>
      <c r="H127" s="276">
        <v>49.01</v>
      </c>
      <c r="I127" s="308">
        <v>12742.6</v>
      </c>
      <c r="J127" s="267"/>
      <c r="K127" s="260"/>
      <c r="L127" s="261"/>
      <c r="M127" s="261"/>
      <c r="N127" s="261"/>
    </row>
    <row r="128" spans="1:14" s="45" customFormat="1">
      <c r="A128" s="311" t="s">
        <v>159</v>
      </c>
      <c r="B128" s="263"/>
      <c r="C128" s="278"/>
      <c r="D128" s="279"/>
      <c r="E128" s="280"/>
      <c r="F128" s="309"/>
      <c r="G128" s="281" t="s">
        <v>160</v>
      </c>
      <c r="H128" s="287">
        <v>1350.01</v>
      </c>
      <c r="I128" s="310"/>
      <c r="J128" s="267"/>
      <c r="K128" s="260"/>
      <c r="L128" s="261"/>
      <c r="M128" s="261"/>
      <c r="N128" s="261"/>
    </row>
    <row r="129" spans="1:14" s="45" customFormat="1">
      <c r="A129" s="311"/>
      <c r="B129" s="297"/>
      <c r="C129" s="278"/>
      <c r="D129" s="279"/>
      <c r="E129" s="280"/>
      <c r="F129" s="309"/>
      <c r="G129" s="281"/>
      <c r="H129" s="282"/>
      <c r="I129" s="310"/>
      <c r="J129" s="267"/>
      <c r="K129" s="260"/>
      <c r="L129" s="261"/>
      <c r="M129" s="261"/>
      <c r="N129" s="261"/>
    </row>
    <row r="130" spans="1:14" s="45" customFormat="1" ht="15.75" thickBot="1">
      <c r="A130" s="311" t="s">
        <v>26</v>
      </c>
      <c r="B130" s="297"/>
      <c r="C130" s="299"/>
      <c r="D130" s="300"/>
      <c r="E130" s="301"/>
      <c r="F130" s="313" t="s">
        <v>161</v>
      </c>
      <c r="G130" s="303">
        <v>1350.01</v>
      </c>
      <c r="H130" s="304">
        <v>1350</v>
      </c>
      <c r="I130" s="305"/>
      <c r="J130" s="267"/>
      <c r="K130" s="260"/>
      <c r="L130" s="261"/>
      <c r="M130" s="261"/>
      <c r="N130" s="261"/>
    </row>
    <row r="131" spans="1:14" s="45" customFormat="1" ht="15.75" hidden="1" thickTop="1">
      <c r="A131" s="311" t="s">
        <v>188</v>
      </c>
      <c r="B131" s="297"/>
      <c r="C131" s="314" t="s">
        <v>96</v>
      </c>
      <c r="D131" s="315"/>
      <c r="E131" s="316"/>
      <c r="F131" s="317"/>
      <c r="G131" s="318"/>
      <c r="H131" s="319"/>
      <c r="I131" s="310"/>
      <c r="J131" s="267"/>
      <c r="K131" s="260"/>
      <c r="L131" s="261"/>
      <c r="M131" s="261"/>
      <c r="N131" s="261"/>
    </row>
    <row r="132" spans="1:14" s="45" customFormat="1" ht="15.75" hidden="1" thickTop="1">
      <c r="A132" s="271" t="s">
        <v>99</v>
      </c>
      <c r="B132" s="297"/>
      <c r="C132" s="320" t="s">
        <v>100</v>
      </c>
      <c r="D132" s="321"/>
      <c r="E132" s="322"/>
      <c r="F132" s="323">
        <v>0.185</v>
      </c>
      <c r="G132" s="324"/>
      <c r="H132" s="325">
        <v>249.75</v>
      </c>
      <c r="I132" s="310"/>
      <c r="J132" s="267"/>
      <c r="K132" s="260"/>
      <c r="L132" s="261"/>
      <c r="M132" s="261"/>
      <c r="N132" s="261"/>
    </row>
    <row r="133" spans="1:14" s="45" customFormat="1" ht="15.75" hidden="1" thickTop="1">
      <c r="A133" s="271" t="s">
        <v>189</v>
      </c>
      <c r="B133" s="297"/>
      <c r="C133" s="320" t="s">
        <v>102</v>
      </c>
      <c r="D133" s="321"/>
      <c r="E133" s="322"/>
      <c r="F133" s="323">
        <v>0.05</v>
      </c>
      <c r="G133" s="324"/>
      <c r="H133" s="325">
        <v>67.5</v>
      </c>
      <c r="I133" s="310"/>
      <c r="J133" s="267"/>
      <c r="K133" s="260"/>
      <c r="L133" s="261"/>
      <c r="M133" s="261"/>
      <c r="N133" s="261"/>
    </row>
    <row r="134" spans="1:14" s="45" customFormat="1" ht="15.75" hidden="1" thickTop="1">
      <c r="A134" s="271" t="s">
        <v>103</v>
      </c>
      <c r="B134" s="297"/>
      <c r="C134" s="320" t="s">
        <v>104</v>
      </c>
      <c r="D134" s="321"/>
      <c r="E134" s="322"/>
      <c r="F134" s="323">
        <v>0.08</v>
      </c>
      <c r="G134" s="324"/>
      <c r="H134" s="325">
        <v>108</v>
      </c>
      <c r="I134" s="310"/>
      <c r="J134" s="267"/>
      <c r="K134" s="260"/>
      <c r="L134" s="261"/>
      <c r="M134" s="261"/>
      <c r="N134" s="261"/>
    </row>
    <row r="135" spans="1:14" s="45" customFormat="1" ht="15.75" hidden="1" thickTop="1">
      <c r="A135" s="271" t="s">
        <v>106</v>
      </c>
      <c r="B135" s="297"/>
      <c r="C135" s="320" t="s">
        <v>107</v>
      </c>
      <c r="D135" s="321"/>
      <c r="E135" s="322"/>
      <c r="F135" s="323">
        <v>0.16</v>
      </c>
      <c r="G135" s="324"/>
      <c r="H135" s="325">
        <v>17.28</v>
      </c>
      <c r="I135" s="310"/>
      <c r="J135" s="267"/>
      <c r="K135" s="260"/>
      <c r="L135" s="261"/>
      <c r="M135" s="261"/>
      <c r="N135" s="261"/>
    </row>
    <row r="136" spans="1:14" s="45" customFormat="1" ht="15.75" hidden="1" thickTop="1">
      <c r="A136" s="311" t="s">
        <v>190</v>
      </c>
      <c r="B136" s="297"/>
      <c r="C136" s="285" t="s">
        <v>191</v>
      </c>
      <c r="D136" s="279"/>
      <c r="E136" s="280"/>
      <c r="F136" s="309"/>
      <c r="G136" s="326"/>
      <c r="H136" s="327">
        <v>442.53</v>
      </c>
      <c r="I136" s="328">
        <v>-523</v>
      </c>
      <c r="J136" s="267"/>
      <c r="K136" s="260"/>
      <c r="L136" s="261"/>
      <c r="M136" s="261"/>
      <c r="N136" s="261"/>
    </row>
    <row r="137" spans="1:14" s="45" customFormat="1" ht="16.5" hidden="1" thickTop="1" thickBot="1">
      <c r="A137" s="311" t="s">
        <v>192</v>
      </c>
      <c r="B137" s="297"/>
      <c r="C137" s="329"/>
      <c r="D137" s="330"/>
      <c r="E137" s="331"/>
      <c r="F137" s="313" t="s">
        <v>193</v>
      </c>
      <c r="G137" s="332">
        <v>1792.53</v>
      </c>
      <c r="H137" s="304">
        <v>1793</v>
      </c>
      <c r="I137" s="305">
        <v>1270</v>
      </c>
      <c r="J137" s="267"/>
      <c r="K137" s="260"/>
      <c r="L137" s="261"/>
      <c r="M137" s="261"/>
      <c r="N137" s="261"/>
    </row>
    <row r="138" spans="1:14" s="45" customFormat="1" ht="15.75" thickTop="1">
      <c r="A138"/>
      <c r="B138"/>
      <c r="C138" s="19"/>
      <c r="D138" s="306"/>
      <c r="E138" s="19"/>
      <c r="F138" s="19"/>
      <c r="G138" s="19"/>
      <c r="H138" s="19"/>
      <c r="I138" s="260"/>
      <c r="J138" s="260"/>
      <c r="K138" s="260"/>
      <c r="L138" s="261"/>
      <c r="M138" s="261"/>
      <c r="N138" s="261"/>
    </row>
    <row r="139" spans="1:14" s="45" customFormat="1" ht="15.75" thickBot="1">
      <c r="A139"/>
      <c r="B139"/>
      <c r="C139" s="19"/>
      <c r="D139" s="306"/>
      <c r="E139" s="19"/>
      <c r="F139" s="19"/>
      <c r="G139" s="19"/>
      <c r="H139" s="19"/>
      <c r="I139" s="260"/>
      <c r="J139" s="260"/>
      <c r="K139" s="260"/>
      <c r="L139" s="261"/>
      <c r="M139" s="261"/>
      <c r="N139" s="261"/>
    </row>
    <row r="140" spans="1:14" s="45" customFormat="1" ht="12.95" customHeight="1" thickTop="1">
      <c r="A140" s="262" t="s">
        <v>200</v>
      </c>
      <c r="B140" s="263"/>
      <c r="C140" s="1651" t="s">
        <v>50</v>
      </c>
      <c r="D140" s="1652"/>
      <c r="E140" s="1652"/>
      <c r="F140" s="1652"/>
      <c r="G140" s="264"/>
      <c r="H140" s="265" t="s">
        <v>201</v>
      </c>
      <c r="I140" s="266" t="s">
        <v>126</v>
      </c>
      <c r="J140" s="267"/>
      <c r="K140" s="260"/>
      <c r="L140" s="261"/>
      <c r="M140" s="261"/>
      <c r="N140" s="261"/>
    </row>
    <row r="141" spans="1:14" s="45" customFormat="1" ht="12.95" customHeight="1">
      <c r="A141" s="262"/>
      <c r="B141" s="263"/>
      <c r="C141" s="1653"/>
      <c r="D141" s="1654"/>
      <c r="E141" s="1654"/>
      <c r="F141" s="1654"/>
      <c r="G141" s="268"/>
      <c r="H141" s="269" t="s">
        <v>179</v>
      </c>
      <c r="I141" s="270">
        <v>130</v>
      </c>
      <c r="J141" s="267"/>
      <c r="K141" s="260"/>
      <c r="L141" s="261"/>
      <c r="M141" s="261"/>
      <c r="N141" s="261"/>
    </row>
    <row r="142" spans="1:14" s="45" customFormat="1">
      <c r="A142" s="271" t="s">
        <v>128</v>
      </c>
      <c r="B142" s="263"/>
      <c r="C142" s="272" t="s">
        <v>21</v>
      </c>
      <c r="D142" s="273" t="s">
        <v>22</v>
      </c>
      <c r="E142" s="274" t="s">
        <v>23</v>
      </c>
      <c r="F142" s="307" t="s">
        <v>129</v>
      </c>
      <c r="G142" s="275" t="s">
        <v>130</v>
      </c>
      <c r="H142" s="276" t="s">
        <v>131</v>
      </c>
      <c r="I142" s="308"/>
      <c r="J142" s="267"/>
      <c r="K142" s="260"/>
      <c r="L142" s="261"/>
      <c r="M142" s="261"/>
      <c r="N142" s="261"/>
    </row>
    <row r="143" spans="1:14" s="45" customFormat="1">
      <c r="A143" s="271"/>
      <c r="B143" s="263"/>
      <c r="C143" s="278"/>
      <c r="D143" s="279"/>
      <c r="E143" s="280"/>
      <c r="F143" s="309"/>
      <c r="G143" s="281"/>
      <c r="H143" s="282"/>
      <c r="I143" s="310"/>
      <c r="J143" s="267"/>
      <c r="K143" s="260"/>
      <c r="L143" s="261"/>
      <c r="M143" s="261"/>
      <c r="N143" s="261"/>
    </row>
    <row r="144" spans="1:14" s="45" customFormat="1">
      <c r="A144" s="271" t="s">
        <v>155</v>
      </c>
      <c r="B144" s="263"/>
      <c r="C144" s="295" t="s">
        <v>156</v>
      </c>
      <c r="D144" s="279"/>
      <c r="E144" s="280"/>
      <c r="F144" s="309"/>
      <c r="G144" s="281"/>
      <c r="H144" s="282"/>
      <c r="I144" s="310"/>
      <c r="J144" s="267"/>
      <c r="K144" s="260"/>
      <c r="L144" s="261"/>
      <c r="M144" s="261"/>
      <c r="N144" s="261"/>
    </row>
    <row r="145" spans="1:14" s="45" customFormat="1">
      <c r="A145" s="271">
        <v>300047</v>
      </c>
      <c r="B145" s="263" t="s">
        <v>156</v>
      </c>
      <c r="C145" s="333" t="s">
        <v>202</v>
      </c>
      <c r="D145" s="273" t="s">
        <v>198</v>
      </c>
      <c r="E145" s="274">
        <v>0.03</v>
      </c>
      <c r="F145" s="307"/>
      <c r="G145" s="275">
        <v>87000</v>
      </c>
      <c r="H145" s="276">
        <v>2610</v>
      </c>
      <c r="I145" s="308">
        <v>3.9</v>
      </c>
      <c r="J145" s="267"/>
      <c r="K145" s="260"/>
      <c r="L145" s="261"/>
      <c r="M145" s="261"/>
      <c r="N145" s="261"/>
    </row>
    <row r="146" spans="1:14" s="45" customFormat="1">
      <c r="A146" s="311" t="s">
        <v>159</v>
      </c>
      <c r="B146" s="263"/>
      <c r="C146" s="278"/>
      <c r="D146" s="279"/>
      <c r="E146" s="280"/>
      <c r="F146" s="309"/>
      <c r="G146" s="281" t="s">
        <v>160</v>
      </c>
      <c r="H146" s="287">
        <v>2610</v>
      </c>
      <c r="I146" s="310"/>
      <c r="J146" s="267"/>
      <c r="K146" s="260"/>
      <c r="L146" s="261"/>
      <c r="M146" s="261"/>
      <c r="N146" s="261"/>
    </row>
    <row r="147" spans="1:14" s="45" customFormat="1">
      <c r="A147" s="311"/>
      <c r="B147" s="297"/>
      <c r="C147" s="278"/>
      <c r="D147" s="279"/>
      <c r="E147" s="280"/>
      <c r="F147" s="309"/>
      <c r="G147" s="281"/>
      <c r="H147" s="282"/>
      <c r="I147" s="310"/>
      <c r="J147" s="267"/>
      <c r="K147" s="260"/>
      <c r="L147" s="261"/>
      <c r="M147" s="261"/>
      <c r="N147" s="261"/>
    </row>
    <row r="148" spans="1:14" s="45" customFormat="1" ht="15.75" thickBot="1">
      <c r="A148" s="311" t="s">
        <v>26</v>
      </c>
      <c r="B148" s="297"/>
      <c r="C148" s="299"/>
      <c r="D148" s="300"/>
      <c r="E148" s="301"/>
      <c r="F148" s="313" t="s">
        <v>161</v>
      </c>
      <c r="G148" s="303">
        <v>2610</v>
      </c>
      <c r="H148" s="304">
        <v>2610</v>
      </c>
      <c r="I148" s="305"/>
      <c r="J148" s="267"/>
      <c r="K148" s="260"/>
      <c r="L148" s="261"/>
      <c r="M148" s="261"/>
      <c r="N148" s="261"/>
    </row>
    <row r="149" spans="1:14" s="45" customFormat="1" ht="15.75" hidden="1" thickTop="1">
      <c r="A149" s="311" t="s">
        <v>188</v>
      </c>
      <c r="B149" s="297"/>
      <c r="C149" s="314" t="s">
        <v>96</v>
      </c>
      <c r="D149" s="315"/>
      <c r="E149" s="316"/>
      <c r="F149" s="317"/>
      <c r="G149" s="318"/>
      <c r="H149" s="319"/>
      <c r="I149" s="310"/>
      <c r="J149" s="267"/>
      <c r="K149" s="260"/>
      <c r="L149" s="261"/>
      <c r="M149" s="261"/>
      <c r="N149" s="261"/>
    </row>
    <row r="150" spans="1:14" s="45" customFormat="1" ht="15.75" hidden="1" thickTop="1">
      <c r="A150" s="271" t="s">
        <v>99</v>
      </c>
      <c r="B150" s="297"/>
      <c r="C150" s="320" t="s">
        <v>100</v>
      </c>
      <c r="D150" s="321"/>
      <c r="E150" s="322"/>
      <c r="F150" s="323">
        <v>0.185</v>
      </c>
      <c r="G150" s="324"/>
      <c r="H150" s="325">
        <v>482.85</v>
      </c>
      <c r="I150" s="310"/>
      <c r="J150" s="267"/>
      <c r="K150" s="260"/>
      <c r="L150" s="261"/>
      <c r="M150" s="261"/>
      <c r="N150" s="261"/>
    </row>
    <row r="151" spans="1:14" s="45" customFormat="1" ht="15.75" hidden="1" thickTop="1">
      <c r="A151" s="271" t="s">
        <v>189</v>
      </c>
      <c r="B151" s="297"/>
      <c r="C151" s="320" t="s">
        <v>102</v>
      </c>
      <c r="D151" s="321"/>
      <c r="E151" s="322"/>
      <c r="F151" s="323">
        <v>0.05</v>
      </c>
      <c r="G151" s="324"/>
      <c r="H151" s="325">
        <v>130.5</v>
      </c>
      <c r="I151" s="310"/>
      <c r="J151" s="267"/>
      <c r="K151" s="260"/>
      <c r="L151" s="261"/>
      <c r="M151" s="261"/>
      <c r="N151" s="261"/>
    </row>
    <row r="152" spans="1:14" s="45" customFormat="1" ht="15.75" hidden="1" thickTop="1">
      <c r="A152" s="271" t="s">
        <v>103</v>
      </c>
      <c r="B152" s="297"/>
      <c r="C152" s="320" t="s">
        <v>104</v>
      </c>
      <c r="D152" s="321"/>
      <c r="E152" s="322"/>
      <c r="F152" s="323">
        <v>0.08</v>
      </c>
      <c r="G152" s="324"/>
      <c r="H152" s="325">
        <v>208.8</v>
      </c>
      <c r="I152" s="310"/>
      <c r="J152" s="267"/>
      <c r="K152" s="260"/>
      <c r="L152" s="261"/>
      <c r="M152" s="261"/>
      <c r="N152" s="261"/>
    </row>
    <row r="153" spans="1:14" s="45" customFormat="1" ht="15.75" hidden="1" thickTop="1">
      <c r="A153" s="271" t="s">
        <v>106</v>
      </c>
      <c r="B153" s="297"/>
      <c r="C153" s="320" t="s">
        <v>107</v>
      </c>
      <c r="D153" s="321"/>
      <c r="E153" s="322"/>
      <c r="F153" s="323">
        <v>0.16</v>
      </c>
      <c r="G153" s="324"/>
      <c r="H153" s="325">
        <v>33.409999999999997</v>
      </c>
      <c r="I153" s="310"/>
      <c r="J153" s="267"/>
      <c r="K153" s="260"/>
      <c r="L153" s="261"/>
      <c r="M153" s="261"/>
      <c r="N153" s="261"/>
    </row>
    <row r="154" spans="1:14" s="45" customFormat="1" ht="15.75" hidden="1" thickTop="1">
      <c r="A154" s="311" t="s">
        <v>190</v>
      </c>
      <c r="B154" s="297"/>
      <c r="C154" s="285" t="s">
        <v>191</v>
      </c>
      <c r="D154" s="279"/>
      <c r="E154" s="280"/>
      <c r="F154" s="309"/>
      <c r="G154" s="326"/>
      <c r="H154" s="327">
        <v>855.56000000000006</v>
      </c>
      <c r="I154" s="328">
        <v>-946</v>
      </c>
      <c r="J154" s="267"/>
      <c r="K154" s="260"/>
      <c r="L154" s="261"/>
      <c r="M154" s="261"/>
      <c r="N154" s="261"/>
    </row>
    <row r="155" spans="1:14" s="45" customFormat="1" ht="16.5" hidden="1" thickTop="1" thickBot="1">
      <c r="A155" s="311" t="s">
        <v>192</v>
      </c>
      <c r="B155" s="297"/>
      <c r="C155" s="329"/>
      <c r="D155" s="330"/>
      <c r="E155" s="331"/>
      <c r="F155" s="313" t="s">
        <v>193</v>
      </c>
      <c r="G155" s="332">
        <v>3465.56</v>
      </c>
      <c r="H155" s="304">
        <v>3466</v>
      </c>
      <c r="I155" s="305">
        <v>2520</v>
      </c>
      <c r="J155" s="267"/>
      <c r="K155" s="260"/>
      <c r="L155" s="261"/>
      <c r="M155" s="261"/>
      <c r="N155" s="261"/>
    </row>
    <row r="156" spans="1:14" s="45" customFormat="1" ht="15.75" thickTop="1">
      <c r="A156"/>
      <c r="B156"/>
      <c r="C156" s="19"/>
      <c r="D156" s="306"/>
      <c r="E156" s="19"/>
      <c r="F156" s="19"/>
      <c r="G156" s="19"/>
      <c r="H156" s="19"/>
      <c r="I156" s="260"/>
      <c r="J156" s="260"/>
      <c r="K156" s="260"/>
      <c r="L156" s="261"/>
      <c r="M156" s="261"/>
      <c r="N156" s="261"/>
    </row>
    <row r="157" spans="1:14" s="45" customFormat="1">
      <c r="A157"/>
      <c r="B157"/>
      <c r="C157" s="19"/>
      <c r="D157" s="306"/>
      <c r="E157" s="19"/>
      <c r="F157" s="19"/>
      <c r="G157" s="19"/>
      <c r="H157" s="19"/>
      <c r="I157" s="260"/>
      <c r="J157" s="260"/>
      <c r="K157" s="260"/>
      <c r="L157" s="261"/>
      <c r="M157" s="261"/>
      <c r="N157" s="261"/>
    </row>
    <row r="158" spans="1:14" s="45" customFormat="1" ht="15.75" thickBot="1">
      <c r="A158"/>
      <c r="B158"/>
      <c r="C158" s="19"/>
      <c r="D158" s="306"/>
      <c r="E158" s="19"/>
      <c r="F158" s="19"/>
      <c r="G158" s="19"/>
      <c r="H158" s="19"/>
      <c r="I158" s="260"/>
      <c r="J158" s="260"/>
      <c r="K158" s="260"/>
      <c r="L158" s="261"/>
      <c r="M158" s="261"/>
      <c r="N158" s="261"/>
    </row>
    <row r="159" spans="1:14" s="45" customFormat="1" ht="15.75" thickTop="1">
      <c r="A159" s="262" t="s">
        <v>203</v>
      </c>
      <c r="B159" s="263"/>
      <c r="C159" s="1651" t="s">
        <v>53</v>
      </c>
      <c r="D159" s="1652"/>
      <c r="E159" s="1652"/>
      <c r="F159" s="1652"/>
      <c r="G159" s="264"/>
      <c r="H159" s="265" t="s">
        <v>201</v>
      </c>
      <c r="I159" s="266" t="s">
        <v>126</v>
      </c>
      <c r="J159" s="260"/>
      <c r="K159" s="260"/>
      <c r="L159" s="261"/>
      <c r="M159" s="261"/>
      <c r="N159" s="261"/>
    </row>
    <row r="160" spans="1:14" s="45" customFormat="1">
      <c r="A160" s="262"/>
      <c r="B160" s="263"/>
      <c r="C160" s="1653"/>
      <c r="D160" s="1654"/>
      <c r="E160" s="1654"/>
      <c r="F160" s="1654"/>
      <c r="G160" s="268"/>
      <c r="H160" s="269" t="s">
        <v>179</v>
      </c>
      <c r="I160" s="270">
        <v>60</v>
      </c>
      <c r="J160" s="260"/>
      <c r="K160" s="260"/>
      <c r="L160" s="261"/>
      <c r="M160" s="261"/>
      <c r="N160" s="261"/>
    </row>
    <row r="161" spans="1:14" s="45" customFormat="1">
      <c r="A161" s="271" t="s">
        <v>128</v>
      </c>
      <c r="B161" s="263"/>
      <c r="C161" s="272" t="s">
        <v>21</v>
      </c>
      <c r="D161" s="273" t="s">
        <v>22</v>
      </c>
      <c r="E161" s="274" t="s">
        <v>23</v>
      </c>
      <c r="F161" s="307" t="s">
        <v>129</v>
      </c>
      <c r="G161" s="275" t="s">
        <v>130</v>
      </c>
      <c r="H161" s="276" t="s">
        <v>131</v>
      </c>
      <c r="I161" s="308"/>
      <c r="J161" s="260"/>
      <c r="K161" s="260"/>
      <c r="L161" s="261"/>
      <c r="M161" s="261"/>
      <c r="N161" s="261"/>
    </row>
    <row r="162" spans="1:14" s="45" customFormat="1">
      <c r="A162" s="271"/>
      <c r="B162" s="263"/>
      <c r="C162" s="278"/>
      <c r="D162" s="279"/>
      <c r="E162" s="280"/>
      <c r="F162" s="309"/>
      <c r="G162" s="281"/>
      <c r="H162" s="282"/>
      <c r="I162" s="310"/>
      <c r="J162" s="260"/>
      <c r="K162" s="260"/>
      <c r="L162" s="261"/>
      <c r="M162" s="261"/>
      <c r="N162" s="261"/>
    </row>
    <row r="163" spans="1:14" s="45" customFormat="1">
      <c r="A163" s="271" t="s">
        <v>155</v>
      </c>
      <c r="B163" s="263"/>
      <c r="C163" s="295" t="s">
        <v>156</v>
      </c>
      <c r="D163" s="279"/>
      <c r="E163" s="280"/>
      <c r="F163" s="309"/>
      <c r="G163" s="281"/>
      <c r="H163" s="282"/>
      <c r="I163" s="310"/>
      <c r="J163" s="260"/>
      <c r="K163" s="260"/>
      <c r="L163" s="261"/>
      <c r="M163" s="261"/>
      <c r="N163" s="261"/>
    </row>
    <row r="164" spans="1:14" s="45" customFormat="1">
      <c r="A164" s="271">
        <v>300047</v>
      </c>
      <c r="B164" s="263" t="s">
        <v>156</v>
      </c>
      <c r="C164" s="333" t="s">
        <v>202</v>
      </c>
      <c r="D164" s="273" t="s">
        <v>198</v>
      </c>
      <c r="E164" s="274">
        <v>0.03</v>
      </c>
      <c r="F164" s="307"/>
      <c r="G164" s="275">
        <v>87000</v>
      </c>
      <c r="H164" s="276">
        <v>2610</v>
      </c>
      <c r="I164" s="308">
        <v>1.7999999999999998</v>
      </c>
      <c r="J164" s="260"/>
      <c r="K164" s="260"/>
      <c r="L164" s="261"/>
      <c r="M164" s="261"/>
      <c r="N164" s="261"/>
    </row>
    <row r="165" spans="1:14" s="45" customFormat="1">
      <c r="A165" s="311" t="s">
        <v>159</v>
      </c>
      <c r="B165" s="263"/>
      <c r="C165" s="278"/>
      <c r="D165" s="279"/>
      <c r="E165" s="280"/>
      <c r="F165" s="309"/>
      <c r="G165" s="281" t="s">
        <v>160</v>
      </c>
      <c r="H165" s="287">
        <v>2610</v>
      </c>
      <c r="I165" s="310"/>
      <c r="J165" s="260"/>
      <c r="K165" s="260"/>
      <c r="L165" s="261"/>
      <c r="M165" s="261"/>
      <c r="N165" s="261"/>
    </row>
    <row r="166" spans="1:14" s="45" customFormat="1">
      <c r="A166" s="311"/>
      <c r="B166" s="297"/>
      <c r="C166" s="278"/>
      <c r="D166" s="279"/>
      <c r="E166" s="280"/>
      <c r="F166" s="309"/>
      <c r="G166" s="281"/>
      <c r="H166" s="282"/>
      <c r="I166" s="310"/>
      <c r="J166" s="260"/>
      <c r="K166" s="260"/>
      <c r="L166" s="261"/>
      <c r="M166" s="261"/>
      <c r="N166" s="261"/>
    </row>
    <row r="167" spans="1:14" s="45" customFormat="1" ht="15.75" thickBot="1">
      <c r="A167" s="311" t="s">
        <v>26</v>
      </c>
      <c r="B167" s="297"/>
      <c r="C167" s="299"/>
      <c r="D167" s="300"/>
      <c r="E167" s="301"/>
      <c r="F167" s="313" t="s">
        <v>161</v>
      </c>
      <c r="G167" s="303">
        <v>2610</v>
      </c>
      <c r="H167" s="304">
        <v>2610</v>
      </c>
      <c r="I167" s="305"/>
      <c r="J167" s="260"/>
      <c r="K167" s="260"/>
      <c r="L167" s="261"/>
      <c r="M167" s="261"/>
      <c r="N167" s="261"/>
    </row>
    <row r="168" spans="1:14" s="45" customFormat="1" ht="15.75" hidden="1" thickTop="1">
      <c r="A168" s="311" t="s">
        <v>188</v>
      </c>
      <c r="B168" s="297"/>
      <c r="C168" s="314" t="s">
        <v>96</v>
      </c>
      <c r="D168" s="315"/>
      <c r="E168" s="316"/>
      <c r="F168" s="317"/>
      <c r="G168" s="318"/>
      <c r="H168" s="319"/>
      <c r="I168" s="310"/>
      <c r="J168" s="260"/>
      <c r="K168" s="260"/>
      <c r="L168" s="261"/>
      <c r="M168" s="261"/>
      <c r="N168" s="261"/>
    </row>
    <row r="169" spans="1:14" s="45" customFormat="1" ht="15.75" hidden="1" thickTop="1">
      <c r="A169" s="271" t="s">
        <v>99</v>
      </c>
      <c r="B169" s="297"/>
      <c r="C169" s="320" t="s">
        <v>100</v>
      </c>
      <c r="D169" s="321"/>
      <c r="E169" s="322"/>
      <c r="F169" s="323">
        <v>0.185</v>
      </c>
      <c r="G169" s="324"/>
      <c r="H169" s="325">
        <v>482.85</v>
      </c>
      <c r="I169" s="310"/>
      <c r="J169" s="260"/>
      <c r="K169" s="260"/>
      <c r="L169" s="261"/>
      <c r="M169" s="261"/>
      <c r="N169" s="261"/>
    </row>
    <row r="170" spans="1:14" s="45" customFormat="1" ht="15.75" hidden="1" thickTop="1">
      <c r="A170" s="271" t="s">
        <v>189</v>
      </c>
      <c r="B170" s="297"/>
      <c r="C170" s="320" t="s">
        <v>102</v>
      </c>
      <c r="D170" s="321"/>
      <c r="E170" s="322"/>
      <c r="F170" s="323">
        <v>0.05</v>
      </c>
      <c r="G170" s="324"/>
      <c r="H170" s="325">
        <v>130.5</v>
      </c>
      <c r="I170" s="310"/>
      <c r="J170" s="260"/>
      <c r="K170" s="260"/>
      <c r="L170" s="261"/>
      <c r="M170" s="261"/>
      <c r="N170" s="261"/>
    </row>
    <row r="171" spans="1:14" s="45" customFormat="1" ht="15.75" hidden="1" thickTop="1">
      <c r="A171" s="271" t="s">
        <v>103</v>
      </c>
      <c r="B171" s="297"/>
      <c r="C171" s="320" t="s">
        <v>104</v>
      </c>
      <c r="D171" s="321"/>
      <c r="E171" s="322"/>
      <c r="F171" s="323">
        <v>0.08</v>
      </c>
      <c r="G171" s="324"/>
      <c r="H171" s="325">
        <v>208.8</v>
      </c>
      <c r="I171" s="310"/>
      <c r="J171" s="260"/>
      <c r="K171" s="260"/>
      <c r="L171" s="261"/>
      <c r="M171" s="261"/>
      <c r="N171" s="261"/>
    </row>
    <row r="172" spans="1:14" s="45" customFormat="1" ht="15.75" hidden="1" thickTop="1">
      <c r="A172" s="271" t="s">
        <v>106</v>
      </c>
      <c r="B172" s="297"/>
      <c r="C172" s="320" t="s">
        <v>107</v>
      </c>
      <c r="D172" s="321"/>
      <c r="E172" s="322"/>
      <c r="F172" s="323">
        <v>0.16</v>
      </c>
      <c r="G172" s="324"/>
      <c r="H172" s="325">
        <v>33.409999999999997</v>
      </c>
      <c r="I172" s="310"/>
      <c r="J172" s="260"/>
      <c r="K172" s="260"/>
      <c r="L172" s="261"/>
      <c r="M172" s="261"/>
      <c r="N172" s="261"/>
    </row>
    <row r="173" spans="1:14" s="45" customFormat="1" ht="15.75" hidden="1" thickTop="1">
      <c r="A173" s="311" t="s">
        <v>190</v>
      </c>
      <c r="B173" s="297"/>
      <c r="C173" s="285" t="s">
        <v>191</v>
      </c>
      <c r="D173" s="279"/>
      <c r="E173" s="280"/>
      <c r="F173" s="309"/>
      <c r="G173" s="326"/>
      <c r="H173" s="327">
        <v>855.56000000000006</v>
      </c>
      <c r="I173" s="328">
        <v>-946</v>
      </c>
      <c r="J173" s="260"/>
      <c r="K173" s="260"/>
      <c r="L173" s="261"/>
      <c r="M173" s="261"/>
      <c r="N173" s="261"/>
    </row>
    <row r="174" spans="1:14" s="45" customFormat="1" ht="16.5" hidden="1" thickTop="1" thickBot="1">
      <c r="A174" s="311" t="s">
        <v>192</v>
      </c>
      <c r="B174" s="297"/>
      <c r="C174" s="329"/>
      <c r="D174" s="330"/>
      <c r="E174" s="331"/>
      <c r="F174" s="313" t="s">
        <v>193</v>
      </c>
      <c r="G174" s="332">
        <v>3465.56</v>
      </c>
      <c r="H174" s="304">
        <v>3466</v>
      </c>
      <c r="I174" s="305">
        <v>2520</v>
      </c>
      <c r="J174" s="260"/>
      <c r="K174" s="260"/>
      <c r="L174" s="261"/>
      <c r="M174" s="261"/>
      <c r="N174" s="261"/>
    </row>
    <row r="175" spans="1:14" s="45" customFormat="1" ht="15.75" thickTop="1">
      <c r="A175"/>
      <c r="B175"/>
      <c r="C175" s="19"/>
      <c r="D175" s="306"/>
      <c r="E175" s="19"/>
      <c r="F175" s="19"/>
      <c r="G175" s="19"/>
      <c r="H175" s="19"/>
      <c r="I175" s="260"/>
      <c r="J175" s="260"/>
      <c r="K175" s="260"/>
      <c r="L175" s="261"/>
      <c r="M175" s="261"/>
      <c r="N175" s="261"/>
    </row>
    <row r="176" spans="1:14" s="45" customFormat="1" ht="15.75" thickBot="1">
      <c r="A176"/>
      <c r="B176"/>
      <c r="C176" s="19"/>
      <c r="D176" s="306"/>
      <c r="E176" s="19"/>
      <c r="F176" s="19"/>
      <c r="G176" s="19"/>
      <c r="H176" s="19"/>
      <c r="I176" s="260"/>
      <c r="J176" s="260"/>
      <c r="K176" s="260"/>
      <c r="L176" s="261"/>
      <c r="M176" s="261"/>
      <c r="N176" s="261"/>
    </row>
    <row r="177" spans="1:14" s="45" customFormat="1" ht="12.95" customHeight="1" thickTop="1">
      <c r="A177" s="262" t="s">
        <v>204</v>
      </c>
      <c r="B177" s="263"/>
      <c r="C177" s="1651" t="s">
        <v>55</v>
      </c>
      <c r="D177" s="1652"/>
      <c r="E177" s="1652"/>
      <c r="F177" s="1652"/>
      <c r="G177" s="264"/>
      <c r="H177" s="265" t="s">
        <v>205</v>
      </c>
      <c r="I177" s="266" t="s">
        <v>126</v>
      </c>
      <c r="J177" s="267"/>
      <c r="K177" s="260"/>
      <c r="L177" s="261"/>
      <c r="M177" s="261"/>
      <c r="N177" s="261"/>
    </row>
    <row r="178" spans="1:14" s="45" customFormat="1" ht="12.95" customHeight="1">
      <c r="A178" s="262"/>
      <c r="B178" s="263"/>
      <c r="C178" s="1653"/>
      <c r="D178" s="1654"/>
      <c r="E178" s="1654"/>
      <c r="F178" s="1654"/>
      <c r="G178" s="268"/>
      <c r="H178" s="269" t="s">
        <v>179</v>
      </c>
      <c r="I178" s="270">
        <v>454</v>
      </c>
      <c r="J178" s="267"/>
      <c r="K178" s="260"/>
      <c r="L178" s="261"/>
      <c r="M178" s="261"/>
      <c r="N178" s="261"/>
    </row>
    <row r="179" spans="1:14" s="45" customFormat="1">
      <c r="A179" s="271" t="s">
        <v>128</v>
      </c>
      <c r="B179" s="263"/>
      <c r="C179" s="272" t="s">
        <v>21</v>
      </c>
      <c r="D179" s="273" t="s">
        <v>22</v>
      </c>
      <c r="E179" s="274" t="s">
        <v>23</v>
      </c>
      <c r="F179" s="307" t="s">
        <v>129</v>
      </c>
      <c r="G179" s="275" t="s">
        <v>130</v>
      </c>
      <c r="H179" s="276" t="s">
        <v>131</v>
      </c>
      <c r="I179" s="308"/>
      <c r="J179" s="267"/>
      <c r="K179" s="260"/>
      <c r="L179" s="261"/>
      <c r="M179" s="261"/>
      <c r="N179" s="261"/>
    </row>
    <row r="180" spans="1:14" s="45" customFormat="1">
      <c r="A180" s="271"/>
      <c r="B180" s="263"/>
      <c r="C180" s="278"/>
      <c r="D180" s="279"/>
      <c r="E180" s="280"/>
      <c r="F180" s="309"/>
      <c r="G180" s="281"/>
      <c r="H180" s="282"/>
      <c r="I180" s="310"/>
      <c r="J180" s="267"/>
      <c r="K180" s="260"/>
      <c r="L180" s="261"/>
      <c r="M180" s="261"/>
      <c r="N180" s="261"/>
    </row>
    <row r="181" spans="1:14" s="45" customFormat="1">
      <c r="A181" s="271" t="s">
        <v>132</v>
      </c>
      <c r="B181" s="263"/>
      <c r="C181" s="285" t="s">
        <v>133</v>
      </c>
      <c r="D181" s="279"/>
      <c r="E181" s="280"/>
      <c r="F181" s="309"/>
      <c r="G181" s="281"/>
      <c r="H181" s="282"/>
      <c r="I181" s="310"/>
      <c r="J181" s="267"/>
      <c r="K181" s="260"/>
      <c r="L181" s="261"/>
      <c r="M181" s="261"/>
      <c r="N181" s="261"/>
    </row>
    <row r="182" spans="1:14" s="45" customFormat="1">
      <c r="A182" s="271">
        <v>106123</v>
      </c>
      <c r="B182" s="263" t="s">
        <v>206</v>
      </c>
      <c r="C182" s="272" t="s">
        <v>207</v>
      </c>
      <c r="D182" s="273" t="s">
        <v>22</v>
      </c>
      <c r="E182" s="274">
        <v>59</v>
      </c>
      <c r="F182" s="307">
        <v>0</v>
      </c>
      <c r="G182" s="275">
        <v>300</v>
      </c>
      <c r="H182" s="276">
        <v>17700</v>
      </c>
      <c r="I182" s="308">
        <v>26786</v>
      </c>
      <c r="J182" s="267"/>
      <c r="K182" s="260"/>
      <c r="L182" s="261"/>
      <c r="M182" s="261"/>
      <c r="N182" s="261"/>
    </row>
    <row r="183" spans="1:14" s="45" customFormat="1">
      <c r="A183" s="271">
        <v>106149</v>
      </c>
      <c r="B183" s="263" t="s">
        <v>137</v>
      </c>
      <c r="C183" s="272" t="s">
        <v>208</v>
      </c>
      <c r="D183" s="273" t="s">
        <v>142</v>
      </c>
      <c r="E183" s="274">
        <v>2.5</v>
      </c>
      <c r="F183" s="307">
        <v>0</v>
      </c>
      <c r="G183" s="275">
        <v>590</v>
      </c>
      <c r="H183" s="276">
        <v>1475</v>
      </c>
      <c r="I183" s="308">
        <v>1135</v>
      </c>
      <c r="J183" s="267"/>
      <c r="K183" s="260"/>
      <c r="L183" s="261"/>
      <c r="M183" s="261"/>
      <c r="N183" s="261"/>
    </row>
    <row r="184" spans="1:14" s="45" customFormat="1">
      <c r="A184" s="311" t="s">
        <v>209</v>
      </c>
      <c r="B184" s="263" t="s">
        <v>210</v>
      </c>
      <c r="C184" s="272" t="s">
        <v>211</v>
      </c>
      <c r="D184" s="273" t="s">
        <v>139</v>
      </c>
      <c r="E184" s="274">
        <v>2.8000000000000001E-2</v>
      </c>
      <c r="F184" s="307">
        <v>0</v>
      </c>
      <c r="G184" s="275">
        <v>232751</v>
      </c>
      <c r="H184" s="276">
        <v>6517.02</v>
      </c>
      <c r="I184" s="308">
        <v>12.712</v>
      </c>
      <c r="J184" s="267"/>
      <c r="K184" s="260"/>
      <c r="L184" s="261"/>
      <c r="M184" s="261"/>
      <c r="N184" s="261"/>
    </row>
    <row r="185" spans="1:14" s="45" customFormat="1">
      <c r="A185" s="311" t="s">
        <v>143</v>
      </c>
      <c r="B185" s="263"/>
      <c r="C185" s="278"/>
      <c r="D185" s="279"/>
      <c r="E185" s="280"/>
      <c r="F185" s="309"/>
      <c r="G185" s="281" t="s">
        <v>144</v>
      </c>
      <c r="H185" s="287">
        <v>25692.02</v>
      </c>
      <c r="I185" s="310"/>
      <c r="J185" s="267"/>
      <c r="K185" s="260"/>
      <c r="L185" s="261"/>
      <c r="M185" s="261"/>
      <c r="N185" s="261"/>
    </row>
    <row r="186" spans="1:14" s="45" customFormat="1" ht="27" customHeight="1">
      <c r="A186" s="271" t="s">
        <v>145</v>
      </c>
      <c r="B186" s="263"/>
      <c r="C186" s="288" t="s">
        <v>146</v>
      </c>
      <c r="D186" s="279" t="s">
        <v>147</v>
      </c>
      <c r="E186" s="279" t="s">
        <v>148</v>
      </c>
      <c r="F186" s="312" t="s">
        <v>149</v>
      </c>
      <c r="G186" s="289" t="s">
        <v>150</v>
      </c>
      <c r="H186" s="290" t="s">
        <v>151</v>
      </c>
      <c r="I186" s="310"/>
      <c r="J186" s="267"/>
      <c r="K186" s="260"/>
      <c r="L186" s="261"/>
      <c r="M186" s="261"/>
      <c r="N186" s="261"/>
    </row>
    <row r="187" spans="1:14" s="45" customFormat="1">
      <c r="A187" s="271">
        <v>200007</v>
      </c>
      <c r="B187" s="263" t="s">
        <v>146</v>
      </c>
      <c r="C187" s="272" t="s">
        <v>212</v>
      </c>
      <c r="D187" s="291">
        <v>71304</v>
      </c>
      <c r="E187" s="292">
        <v>1.85</v>
      </c>
      <c r="F187" s="293">
        <v>131912</v>
      </c>
      <c r="G187" s="294">
        <v>16</v>
      </c>
      <c r="H187" s="276">
        <v>8244.5</v>
      </c>
      <c r="I187" s="308">
        <v>28.375</v>
      </c>
      <c r="J187" s="267"/>
      <c r="K187" s="260"/>
      <c r="L187" s="261"/>
      <c r="M187" s="261"/>
      <c r="N187" s="261"/>
    </row>
    <row r="188" spans="1:14" s="45" customFormat="1">
      <c r="A188" s="311" t="s">
        <v>153</v>
      </c>
      <c r="B188" s="263"/>
      <c r="C188" s="278"/>
      <c r="D188" s="279"/>
      <c r="E188" s="280"/>
      <c r="F188" s="309"/>
      <c r="G188" s="281" t="s">
        <v>154</v>
      </c>
      <c r="H188" s="287">
        <v>8244.5</v>
      </c>
      <c r="I188" s="328"/>
      <c r="J188" s="267"/>
      <c r="K188" s="260"/>
      <c r="L188" s="261"/>
      <c r="M188" s="261"/>
      <c r="N188" s="261"/>
    </row>
    <row r="189" spans="1:14" s="45" customFormat="1">
      <c r="A189" s="271" t="s">
        <v>155</v>
      </c>
      <c r="B189" s="263"/>
      <c r="C189" s="295" t="s">
        <v>156</v>
      </c>
      <c r="D189" s="279"/>
      <c r="E189" s="280"/>
      <c r="F189" s="309"/>
      <c r="G189" s="281"/>
      <c r="H189" s="282"/>
      <c r="I189" s="310"/>
      <c r="J189" s="267"/>
      <c r="K189" s="260"/>
      <c r="L189" s="261"/>
      <c r="M189" s="261"/>
      <c r="N189" s="261"/>
    </row>
    <row r="190" spans="1:14" s="45" customFormat="1">
      <c r="A190" s="271">
        <v>300026</v>
      </c>
      <c r="B190" s="263" t="s">
        <v>156</v>
      </c>
      <c r="C190" s="272" t="s">
        <v>157</v>
      </c>
      <c r="D190" s="273" t="s">
        <v>158</v>
      </c>
      <c r="E190" s="292">
        <v>0.05</v>
      </c>
      <c r="F190" s="307">
        <v>0</v>
      </c>
      <c r="G190" s="275">
        <v>8244.5</v>
      </c>
      <c r="H190" s="276">
        <v>412.22</v>
      </c>
      <c r="I190" s="308">
        <v>187147.88</v>
      </c>
      <c r="J190" s="267"/>
      <c r="K190" s="260"/>
      <c r="L190" s="261"/>
      <c r="M190" s="261"/>
      <c r="N190" s="261"/>
    </row>
    <row r="191" spans="1:14" s="45" customFormat="1">
      <c r="A191" s="271">
        <v>300002</v>
      </c>
      <c r="B191" s="263" t="s">
        <v>156</v>
      </c>
      <c r="C191" s="272" t="s">
        <v>213</v>
      </c>
      <c r="D191" s="273" t="s">
        <v>214</v>
      </c>
      <c r="E191" s="274">
        <v>0.1</v>
      </c>
      <c r="F191" s="307">
        <v>0</v>
      </c>
      <c r="G191" s="275">
        <v>714</v>
      </c>
      <c r="H191" s="276">
        <v>71.400000000000006</v>
      </c>
      <c r="I191" s="308">
        <v>45.400000000000006</v>
      </c>
      <c r="J191" s="267"/>
      <c r="K191" s="260"/>
      <c r="L191" s="261"/>
      <c r="M191" s="261"/>
      <c r="N191" s="261"/>
    </row>
    <row r="192" spans="1:14" s="45" customFormat="1">
      <c r="A192" s="311" t="s">
        <v>159</v>
      </c>
      <c r="B192" s="263"/>
      <c r="C192" s="278"/>
      <c r="D192" s="279"/>
      <c r="E192" s="280"/>
      <c r="F192" s="309"/>
      <c r="G192" s="281" t="s">
        <v>160</v>
      </c>
      <c r="H192" s="287">
        <v>483.62</v>
      </c>
      <c r="I192" s="310"/>
      <c r="J192" s="267"/>
      <c r="K192" s="260"/>
      <c r="L192" s="261"/>
      <c r="M192" s="261"/>
      <c r="N192" s="261"/>
    </row>
    <row r="193" spans="1:14" s="45" customFormat="1">
      <c r="A193" s="311"/>
      <c r="B193" s="297"/>
      <c r="C193" s="278"/>
      <c r="D193" s="279"/>
      <c r="E193" s="280"/>
      <c r="F193" s="309"/>
      <c r="G193" s="281"/>
      <c r="H193" s="282"/>
      <c r="I193" s="310"/>
      <c r="J193" s="267"/>
      <c r="K193" s="260"/>
      <c r="L193" s="261"/>
      <c r="M193" s="261"/>
      <c r="N193" s="261"/>
    </row>
    <row r="194" spans="1:14" s="45" customFormat="1" ht="15.75" thickBot="1">
      <c r="A194" s="311" t="s">
        <v>26</v>
      </c>
      <c r="B194" s="297"/>
      <c r="C194" s="299"/>
      <c r="D194" s="300"/>
      <c r="E194" s="301"/>
      <c r="F194" s="313" t="s">
        <v>161</v>
      </c>
      <c r="G194" s="303">
        <v>34420.14</v>
      </c>
      <c r="H194" s="304">
        <v>34420</v>
      </c>
      <c r="I194" s="305"/>
      <c r="J194" s="267"/>
      <c r="K194" s="260"/>
      <c r="L194" s="261"/>
      <c r="M194" s="261"/>
      <c r="N194" s="261"/>
    </row>
    <row r="195" spans="1:14" s="45" customFormat="1" ht="15.75" hidden="1" thickTop="1">
      <c r="A195" s="311" t="s">
        <v>188</v>
      </c>
      <c r="B195" s="297"/>
      <c r="C195" s="314" t="s">
        <v>96</v>
      </c>
      <c r="D195" s="315"/>
      <c r="E195" s="316"/>
      <c r="F195" s="317"/>
      <c r="G195" s="318"/>
      <c r="H195" s="319"/>
      <c r="I195" s="310"/>
      <c r="J195" s="267"/>
      <c r="K195" s="260"/>
      <c r="L195" s="261"/>
      <c r="M195" s="261"/>
      <c r="N195" s="261"/>
    </row>
    <row r="196" spans="1:14" s="45" customFormat="1" ht="15.75" hidden="1" thickTop="1">
      <c r="A196" s="271" t="s">
        <v>99</v>
      </c>
      <c r="B196" s="297"/>
      <c r="C196" s="320" t="s">
        <v>100</v>
      </c>
      <c r="D196" s="321"/>
      <c r="E196" s="322"/>
      <c r="F196" s="323">
        <v>0.185</v>
      </c>
      <c r="G196" s="324"/>
      <c r="H196" s="325">
        <v>6367.7</v>
      </c>
      <c r="I196" s="310"/>
      <c r="J196" s="267"/>
      <c r="K196" s="260"/>
      <c r="L196" s="261"/>
      <c r="M196" s="261"/>
      <c r="N196" s="261"/>
    </row>
    <row r="197" spans="1:14" s="45" customFormat="1" ht="15.75" hidden="1" thickTop="1">
      <c r="A197" s="271" t="s">
        <v>189</v>
      </c>
      <c r="B197" s="297"/>
      <c r="C197" s="320" t="s">
        <v>102</v>
      </c>
      <c r="D197" s="321"/>
      <c r="E197" s="322"/>
      <c r="F197" s="323">
        <v>0.05</v>
      </c>
      <c r="G197" s="324"/>
      <c r="H197" s="325">
        <v>1721</v>
      </c>
      <c r="I197" s="310"/>
      <c r="J197" s="267"/>
      <c r="K197" s="260"/>
      <c r="L197" s="261"/>
      <c r="M197" s="261"/>
      <c r="N197" s="261"/>
    </row>
    <row r="198" spans="1:14" s="45" customFormat="1" ht="15.75" hidden="1" thickTop="1">
      <c r="A198" s="271" t="s">
        <v>103</v>
      </c>
      <c r="B198" s="297"/>
      <c r="C198" s="320" t="s">
        <v>104</v>
      </c>
      <c r="D198" s="321"/>
      <c r="E198" s="322"/>
      <c r="F198" s="323">
        <v>0.08</v>
      </c>
      <c r="G198" s="324"/>
      <c r="H198" s="325">
        <v>2753.6</v>
      </c>
      <c r="I198" s="310"/>
      <c r="J198" s="267"/>
      <c r="K198" s="260"/>
      <c r="L198" s="261"/>
      <c r="M198" s="261"/>
      <c r="N198" s="261"/>
    </row>
    <row r="199" spans="1:14" s="45" customFormat="1" ht="15.75" hidden="1" thickTop="1">
      <c r="A199" s="271" t="s">
        <v>106</v>
      </c>
      <c r="B199" s="297"/>
      <c r="C199" s="320" t="s">
        <v>107</v>
      </c>
      <c r="D199" s="321"/>
      <c r="E199" s="322"/>
      <c r="F199" s="323">
        <v>0.16</v>
      </c>
      <c r="G199" s="324"/>
      <c r="H199" s="325">
        <v>440.58</v>
      </c>
      <c r="I199" s="310"/>
      <c r="J199" s="267"/>
      <c r="K199" s="260"/>
      <c r="L199" s="261"/>
      <c r="M199" s="261"/>
      <c r="N199" s="261"/>
    </row>
    <row r="200" spans="1:14" s="45" customFormat="1" ht="15.75" hidden="1" thickTop="1">
      <c r="A200" s="311" t="s">
        <v>190</v>
      </c>
      <c r="B200" s="297"/>
      <c r="C200" s="285" t="s">
        <v>191</v>
      </c>
      <c r="D200" s="279"/>
      <c r="E200" s="280"/>
      <c r="F200" s="309"/>
      <c r="G200" s="326"/>
      <c r="H200" s="327">
        <v>11282.88</v>
      </c>
      <c r="I200" s="328">
        <v>-13723</v>
      </c>
      <c r="J200" s="267"/>
      <c r="K200" s="260"/>
      <c r="L200" s="261"/>
      <c r="M200" s="261"/>
      <c r="N200" s="261"/>
    </row>
    <row r="201" spans="1:14" s="45" customFormat="1" ht="16.5" hidden="1" thickTop="1" thickBot="1">
      <c r="A201" s="311" t="s">
        <v>192</v>
      </c>
      <c r="B201" s="297"/>
      <c r="C201" s="329"/>
      <c r="D201" s="330"/>
      <c r="E201" s="331"/>
      <c r="F201" s="313" t="s">
        <v>193</v>
      </c>
      <c r="G201" s="332">
        <v>45702.879999999997</v>
      </c>
      <c r="H201" s="304">
        <v>45703</v>
      </c>
      <c r="I201" s="305">
        <v>31980</v>
      </c>
      <c r="J201" s="267"/>
      <c r="K201" s="260"/>
      <c r="L201" s="261"/>
      <c r="M201" s="261"/>
      <c r="N201" s="261"/>
    </row>
    <row r="202" spans="1:14" s="45" customFormat="1" ht="15.75" thickTop="1">
      <c r="A202"/>
      <c r="B202"/>
      <c r="C202" s="19"/>
      <c r="D202" s="306"/>
      <c r="E202" s="19"/>
      <c r="F202" s="19"/>
      <c r="G202" s="19"/>
      <c r="H202" s="19"/>
      <c r="I202" s="260"/>
      <c r="J202" s="260"/>
      <c r="K202" s="260"/>
      <c r="L202" s="261"/>
      <c r="M202" s="261"/>
      <c r="N202" s="261"/>
    </row>
    <row r="203" spans="1:14" s="45" customFormat="1" ht="15.75" thickBot="1">
      <c r="A203"/>
      <c r="B203"/>
      <c r="C203" s="19"/>
      <c r="D203" s="306"/>
      <c r="E203" s="19"/>
      <c r="F203" s="19"/>
      <c r="G203" s="19"/>
      <c r="H203" s="19"/>
      <c r="I203" s="260"/>
      <c r="J203" s="260"/>
      <c r="K203" s="260"/>
      <c r="L203" s="261"/>
      <c r="M203" s="261"/>
      <c r="N203" s="261"/>
    </row>
    <row r="204" spans="1:14" s="45" customFormat="1" ht="12.95" customHeight="1" thickTop="1">
      <c r="A204" s="262" t="s">
        <v>215</v>
      </c>
      <c r="B204" s="263"/>
      <c r="C204" s="1651" t="s">
        <v>57</v>
      </c>
      <c r="D204" s="1652"/>
      <c r="E204" s="1652"/>
      <c r="F204" s="1652"/>
      <c r="G204" s="264"/>
      <c r="H204" s="265" t="s">
        <v>201</v>
      </c>
      <c r="I204" s="266" t="s">
        <v>126</v>
      </c>
      <c r="J204" s="267"/>
      <c r="K204" s="260"/>
      <c r="L204" s="261"/>
      <c r="M204" s="261"/>
      <c r="N204" s="261"/>
    </row>
    <row r="205" spans="1:14" s="45" customFormat="1" ht="12.95" customHeight="1">
      <c r="A205" s="262"/>
      <c r="B205" s="263"/>
      <c r="C205" s="1653"/>
      <c r="D205" s="1654"/>
      <c r="E205" s="1654"/>
      <c r="F205" s="1654"/>
      <c r="G205" s="268"/>
      <c r="H205" s="269" t="s">
        <v>179</v>
      </c>
      <c r="I205" s="270">
        <v>6.84</v>
      </c>
      <c r="J205" s="267"/>
      <c r="K205" s="260"/>
      <c r="L205" s="261"/>
      <c r="M205" s="261"/>
      <c r="N205" s="261"/>
    </row>
    <row r="206" spans="1:14" s="45" customFormat="1">
      <c r="A206" s="271" t="s">
        <v>128</v>
      </c>
      <c r="B206" s="263"/>
      <c r="C206" s="272" t="s">
        <v>21</v>
      </c>
      <c r="D206" s="273" t="s">
        <v>22</v>
      </c>
      <c r="E206" s="274" t="s">
        <v>23</v>
      </c>
      <c r="F206" s="307" t="s">
        <v>129</v>
      </c>
      <c r="G206" s="275" t="s">
        <v>130</v>
      </c>
      <c r="H206" s="276" t="s">
        <v>131</v>
      </c>
      <c r="I206" s="308"/>
      <c r="J206" s="267"/>
      <c r="K206" s="260"/>
      <c r="L206" s="261"/>
      <c r="M206" s="261"/>
      <c r="N206" s="261"/>
    </row>
    <row r="207" spans="1:14" s="45" customFormat="1">
      <c r="A207" s="271"/>
      <c r="B207" s="263"/>
      <c r="C207" s="278"/>
      <c r="D207" s="279"/>
      <c r="E207" s="280"/>
      <c r="F207" s="309"/>
      <c r="G207" s="281"/>
      <c r="H207" s="282"/>
      <c r="I207" s="310"/>
      <c r="J207" s="267"/>
      <c r="K207" s="260"/>
      <c r="L207" s="261"/>
      <c r="M207" s="261"/>
      <c r="N207" s="261"/>
    </row>
    <row r="208" spans="1:14" s="45" customFormat="1">
      <c r="A208" s="271" t="s">
        <v>132</v>
      </c>
      <c r="B208" s="263"/>
      <c r="C208" s="285" t="s">
        <v>133</v>
      </c>
      <c r="D208" s="279"/>
      <c r="E208" s="280"/>
      <c r="F208" s="309"/>
      <c r="G208" s="281"/>
      <c r="H208" s="282"/>
      <c r="I208" s="310"/>
      <c r="J208" s="267"/>
      <c r="K208" s="260"/>
      <c r="L208" s="261"/>
      <c r="M208" s="261"/>
      <c r="N208" s="261"/>
    </row>
    <row r="209" spans="1:14" s="45" customFormat="1">
      <c r="A209" s="271">
        <v>100806</v>
      </c>
      <c r="B209" s="263" t="s">
        <v>216</v>
      </c>
      <c r="C209" s="272" t="s">
        <v>217</v>
      </c>
      <c r="D209" s="273" t="s">
        <v>22</v>
      </c>
      <c r="E209" s="274">
        <v>0.1</v>
      </c>
      <c r="F209" s="307">
        <v>0</v>
      </c>
      <c r="G209" s="275">
        <v>9300</v>
      </c>
      <c r="H209" s="276">
        <v>930</v>
      </c>
      <c r="I209" s="308">
        <v>0.68400000000000005</v>
      </c>
      <c r="J209" s="267"/>
      <c r="K209" s="260"/>
      <c r="L209" s="261"/>
      <c r="M209" s="261"/>
      <c r="N209" s="261"/>
    </row>
    <row r="210" spans="1:14" s="45" customFormat="1">
      <c r="A210" s="271">
        <v>101511</v>
      </c>
      <c r="B210" s="263" t="s">
        <v>181</v>
      </c>
      <c r="C210" s="272" t="s">
        <v>218</v>
      </c>
      <c r="D210" s="273" t="s">
        <v>183</v>
      </c>
      <c r="E210" s="274">
        <v>0.2</v>
      </c>
      <c r="F210" s="307">
        <v>0</v>
      </c>
      <c r="G210" s="275">
        <v>2000</v>
      </c>
      <c r="H210" s="276">
        <v>400</v>
      </c>
      <c r="I210" s="308">
        <v>1.3680000000000001</v>
      </c>
      <c r="J210" s="267"/>
      <c r="K210" s="260"/>
      <c r="L210" s="261"/>
      <c r="M210" s="261"/>
      <c r="N210" s="261"/>
    </row>
    <row r="211" spans="1:14" s="45" customFormat="1">
      <c r="A211" s="271">
        <v>101717</v>
      </c>
      <c r="B211" s="263" t="s">
        <v>216</v>
      </c>
      <c r="C211" s="272" t="s">
        <v>219</v>
      </c>
      <c r="D211" s="273" t="s">
        <v>22</v>
      </c>
      <c r="E211" s="274">
        <v>0.115</v>
      </c>
      <c r="F211" s="307">
        <v>0</v>
      </c>
      <c r="G211" s="275">
        <v>8000</v>
      </c>
      <c r="H211" s="276">
        <v>920</v>
      </c>
      <c r="I211" s="308">
        <v>0.78659999999999997</v>
      </c>
      <c r="J211" s="267"/>
      <c r="K211" s="260"/>
      <c r="L211" s="261"/>
      <c r="M211" s="261"/>
      <c r="N211" s="261"/>
    </row>
    <row r="212" spans="1:14" s="45" customFormat="1">
      <c r="A212" s="311" t="s">
        <v>220</v>
      </c>
      <c r="B212" s="263" t="s">
        <v>210</v>
      </c>
      <c r="C212" s="272" t="s">
        <v>221</v>
      </c>
      <c r="D212" s="273" t="s">
        <v>139</v>
      </c>
      <c r="E212" s="274">
        <v>1.05</v>
      </c>
      <c r="F212" s="307">
        <v>0</v>
      </c>
      <c r="G212" s="275">
        <v>236654</v>
      </c>
      <c r="H212" s="276">
        <v>248486.7</v>
      </c>
      <c r="I212" s="308">
        <v>7.1820000000000004</v>
      </c>
      <c r="J212" s="267"/>
      <c r="K212" s="260"/>
      <c r="L212" s="261"/>
      <c r="M212" s="261"/>
      <c r="N212" s="261"/>
    </row>
    <row r="213" spans="1:14" s="45" customFormat="1">
      <c r="A213" s="311" t="s">
        <v>143</v>
      </c>
      <c r="B213" s="263"/>
      <c r="C213" s="278"/>
      <c r="D213" s="279"/>
      <c r="E213" s="280"/>
      <c r="F213" s="309"/>
      <c r="G213" s="281" t="s">
        <v>144</v>
      </c>
      <c r="H213" s="287">
        <v>250736.7</v>
      </c>
      <c r="I213" s="310"/>
      <c r="J213" s="267"/>
      <c r="K213" s="260"/>
      <c r="L213" s="261"/>
      <c r="M213" s="261"/>
      <c r="N213" s="261"/>
    </row>
    <row r="214" spans="1:14" s="45" customFormat="1" ht="27" customHeight="1">
      <c r="A214" s="271" t="s">
        <v>145</v>
      </c>
      <c r="B214" s="263"/>
      <c r="C214" s="288" t="s">
        <v>146</v>
      </c>
      <c r="D214" s="279" t="s">
        <v>147</v>
      </c>
      <c r="E214" s="279" t="s">
        <v>148</v>
      </c>
      <c r="F214" s="312" t="s">
        <v>149</v>
      </c>
      <c r="G214" s="289" t="s">
        <v>150</v>
      </c>
      <c r="H214" s="290" t="s">
        <v>151</v>
      </c>
      <c r="I214" s="310"/>
      <c r="J214" s="267"/>
      <c r="K214" s="260"/>
      <c r="L214" s="261"/>
      <c r="M214" s="261"/>
      <c r="N214" s="261"/>
    </row>
    <row r="215" spans="1:14" s="45" customFormat="1">
      <c r="A215" s="271">
        <v>200007</v>
      </c>
      <c r="B215" s="263" t="s">
        <v>146</v>
      </c>
      <c r="C215" s="272" t="s">
        <v>212</v>
      </c>
      <c r="D215" s="291">
        <v>71304</v>
      </c>
      <c r="E215" s="292">
        <v>1.85</v>
      </c>
      <c r="F215" s="293">
        <v>131912</v>
      </c>
      <c r="G215" s="294">
        <v>2.7120000000000002</v>
      </c>
      <c r="H215" s="276">
        <v>48640.116999999998</v>
      </c>
      <c r="I215" s="308">
        <v>2.5221238938053094</v>
      </c>
      <c r="J215" s="267"/>
      <c r="K215" s="260"/>
      <c r="L215" s="261"/>
      <c r="M215" s="261"/>
      <c r="N215" s="261"/>
    </row>
    <row r="216" spans="1:14" s="45" customFormat="1">
      <c r="A216" s="311" t="s">
        <v>153</v>
      </c>
      <c r="B216" s="263"/>
      <c r="C216" s="278"/>
      <c r="D216" s="279"/>
      <c r="E216" s="280"/>
      <c r="F216" s="309"/>
      <c r="G216" s="281" t="s">
        <v>154</v>
      </c>
      <c r="H216" s="287">
        <v>48640.116999999998</v>
      </c>
      <c r="I216" s="310"/>
      <c r="J216" s="267"/>
      <c r="K216" s="260"/>
      <c r="L216" s="261"/>
      <c r="M216" s="261"/>
      <c r="N216" s="261"/>
    </row>
    <row r="217" spans="1:14" s="45" customFormat="1">
      <c r="A217" s="271" t="s">
        <v>155</v>
      </c>
      <c r="B217" s="263"/>
      <c r="C217" s="295" t="s">
        <v>156</v>
      </c>
      <c r="D217" s="279"/>
      <c r="E217" s="280"/>
      <c r="F217" s="309"/>
      <c r="G217" s="281"/>
      <c r="H217" s="282"/>
      <c r="I217" s="310"/>
      <c r="J217" s="267"/>
      <c r="K217" s="260"/>
      <c r="L217" s="261"/>
      <c r="M217" s="261"/>
      <c r="N217" s="261"/>
    </row>
    <row r="218" spans="1:14" s="45" customFormat="1">
      <c r="A218" s="271">
        <v>307002</v>
      </c>
      <c r="B218" s="263" t="s">
        <v>156</v>
      </c>
      <c r="C218" s="272" t="s">
        <v>222</v>
      </c>
      <c r="D218" s="273" t="s">
        <v>139</v>
      </c>
      <c r="E218" s="274">
        <v>1.5</v>
      </c>
      <c r="F218" s="307">
        <v>0</v>
      </c>
      <c r="G218" s="275">
        <v>7000</v>
      </c>
      <c r="H218" s="276">
        <v>10500</v>
      </c>
      <c r="I218" s="308">
        <v>10.26</v>
      </c>
      <c r="J218" s="267"/>
      <c r="K218" s="260"/>
      <c r="L218" s="261"/>
      <c r="M218" s="261"/>
      <c r="N218" s="261"/>
    </row>
    <row r="219" spans="1:14" s="45" customFormat="1">
      <c r="A219" s="271">
        <v>300026</v>
      </c>
      <c r="B219" s="263" t="s">
        <v>156</v>
      </c>
      <c r="C219" s="272" t="s">
        <v>157</v>
      </c>
      <c r="D219" s="273" t="s">
        <v>158</v>
      </c>
      <c r="E219" s="292">
        <v>0.05</v>
      </c>
      <c r="F219" s="307">
        <v>0</v>
      </c>
      <c r="G219" s="275">
        <v>48640.116999999998</v>
      </c>
      <c r="H219" s="276">
        <v>2432</v>
      </c>
      <c r="I219" s="334">
        <v>16634.88</v>
      </c>
      <c r="J219" s="267"/>
      <c r="K219" s="260"/>
      <c r="L219" s="261"/>
      <c r="M219" s="261"/>
      <c r="N219" s="261"/>
    </row>
    <row r="220" spans="1:14" s="45" customFormat="1">
      <c r="A220" s="311" t="s">
        <v>159</v>
      </c>
      <c r="B220" s="263"/>
      <c r="C220" s="278"/>
      <c r="D220" s="279"/>
      <c r="E220" s="280"/>
      <c r="F220" s="309"/>
      <c r="G220" s="281" t="s">
        <v>160</v>
      </c>
      <c r="H220" s="287">
        <v>12932</v>
      </c>
      <c r="I220" s="310"/>
      <c r="J220" s="267"/>
      <c r="K220" s="260"/>
      <c r="L220" s="261"/>
      <c r="M220" s="261"/>
      <c r="N220" s="261"/>
    </row>
    <row r="221" spans="1:14" s="45" customFormat="1">
      <c r="A221" s="311"/>
      <c r="B221" s="297"/>
      <c r="C221" s="278"/>
      <c r="D221" s="279"/>
      <c r="E221" s="280"/>
      <c r="F221" s="309"/>
      <c r="G221" s="281"/>
      <c r="H221" s="282"/>
      <c r="I221" s="310"/>
      <c r="J221" s="267"/>
      <c r="K221" s="260"/>
      <c r="L221" s="261"/>
      <c r="M221" s="261"/>
      <c r="N221" s="261"/>
    </row>
    <row r="222" spans="1:14" s="45" customFormat="1" ht="15.75" thickBot="1">
      <c r="A222" s="311" t="s">
        <v>26</v>
      </c>
      <c r="B222" s="297"/>
      <c r="C222" s="299"/>
      <c r="D222" s="300"/>
      <c r="E222" s="301"/>
      <c r="F222" s="313" t="s">
        <v>161</v>
      </c>
      <c r="G222" s="303">
        <v>312308.81699999998</v>
      </c>
      <c r="H222" s="304">
        <v>312309</v>
      </c>
      <c r="I222" s="305"/>
      <c r="J222" s="267"/>
      <c r="K222" s="260"/>
      <c r="L222" s="261"/>
      <c r="M222" s="261"/>
      <c r="N222" s="261"/>
    </row>
    <row r="223" spans="1:14" s="45" customFormat="1" ht="15.75" hidden="1" thickTop="1">
      <c r="A223" s="311" t="s">
        <v>188</v>
      </c>
      <c r="B223" s="297"/>
      <c r="C223" s="314" t="s">
        <v>96</v>
      </c>
      <c r="D223" s="315"/>
      <c r="E223" s="316"/>
      <c r="F223" s="317"/>
      <c r="G223" s="318"/>
      <c r="H223" s="319"/>
      <c r="I223" s="310"/>
      <c r="J223" s="267"/>
      <c r="K223" s="260"/>
      <c r="L223" s="261"/>
      <c r="M223" s="261"/>
      <c r="N223" s="261"/>
    </row>
    <row r="224" spans="1:14" s="45" customFormat="1" ht="15.75" hidden="1" thickTop="1">
      <c r="A224" s="271" t="s">
        <v>99</v>
      </c>
      <c r="B224" s="297"/>
      <c r="C224" s="320" t="s">
        <v>100</v>
      </c>
      <c r="D224" s="321"/>
      <c r="E224" s="322"/>
      <c r="F224" s="323">
        <v>0.185</v>
      </c>
      <c r="G224" s="324"/>
      <c r="H224" s="325">
        <v>57777.17</v>
      </c>
      <c r="I224" s="310"/>
      <c r="J224" s="267"/>
      <c r="K224" s="260"/>
      <c r="L224" s="261"/>
      <c r="M224" s="261"/>
      <c r="N224" s="261"/>
    </row>
    <row r="225" spans="1:14" s="45" customFormat="1" ht="15.75" hidden="1" thickTop="1">
      <c r="A225" s="271" t="s">
        <v>189</v>
      </c>
      <c r="B225" s="297"/>
      <c r="C225" s="320" t="s">
        <v>102</v>
      </c>
      <c r="D225" s="321"/>
      <c r="E225" s="322"/>
      <c r="F225" s="323">
        <v>0.05</v>
      </c>
      <c r="G225" s="324"/>
      <c r="H225" s="325">
        <v>15615.45</v>
      </c>
      <c r="I225" s="310"/>
      <c r="J225" s="267"/>
      <c r="K225" s="260"/>
      <c r="L225" s="261"/>
      <c r="M225" s="261"/>
      <c r="N225" s="261"/>
    </row>
    <row r="226" spans="1:14" s="45" customFormat="1" ht="15.75" hidden="1" thickTop="1">
      <c r="A226" s="271" t="s">
        <v>103</v>
      </c>
      <c r="B226" s="297"/>
      <c r="C226" s="320" t="s">
        <v>104</v>
      </c>
      <c r="D226" s="321"/>
      <c r="E226" s="322"/>
      <c r="F226" s="323">
        <v>0.08</v>
      </c>
      <c r="G226" s="324"/>
      <c r="H226" s="325">
        <v>24984.720000000001</v>
      </c>
      <c r="I226" s="310"/>
      <c r="J226" s="267"/>
      <c r="K226" s="260"/>
      <c r="L226" s="261"/>
      <c r="M226" s="261"/>
      <c r="N226" s="261"/>
    </row>
    <row r="227" spans="1:14" s="45" customFormat="1" ht="15.75" hidden="1" thickTop="1">
      <c r="A227" s="271" t="s">
        <v>106</v>
      </c>
      <c r="B227" s="297"/>
      <c r="C227" s="320" t="s">
        <v>107</v>
      </c>
      <c r="D227" s="321"/>
      <c r="E227" s="322"/>
      <c r="F227" s="323">
        <v>0.16</v>
      </c>
      <c r="G227" s="324"/>
      <c r="H227" s="325">
        <v>3997.56</v>
      </c>
      <c r="I227" s="310"/>
      <c r="J227" s="267"/>
      <c r="K227" s="260"/>
      <c r="L227" s="261"/>
      <c r="M227" s="261"/>
      <c r="N227" s="261"/>
    </row>
    <row r="228" spans="1:14" s="45" customFormat="1" ht="15.75" hidden="1" thickTop="1">
      <c r="A228" s="311" t="s">
        <v>190</v>
      </c>
      <c r="B228" s="297"/>
      <c r="C228" s="285" t="s">
        <v>191</v>
      </c>
      <c r="D228" s="279"/>
      <c r="E228" s="280"/>
      <c r="F228" s="309"/>
      <c r="G228" s="326"/>
      <c r="H228" s="327">
        <v>102374.9</v>
      </c>
      <c r="I228" s="328">
        <v>-122284</v>
      </c>
      <c r="J228" s="267"/>
      <c r="K228" s="260"/>
      <c r="L228" s="261"/>
      <c r="M228" s="261"/>
      <c r="N228" s="261"/>
    </row>
    <row r="229" spans="1:14" s="45" customFormat="1" ht="16.5" hidden="1" thickTop="1" thickBot="1">
      <c r="A229" s="311" t="s">
        <v>192</v>
      </c>
      <c r="B229" s="297"/>
      <c r="C229" s="329"/>
      <c r="D229" s="330"/>
      <c r="E229" s="331"/>
      <c r="F229" s="313" t="s">
        <v>193</v>
      </c>
      <c r="G229" s="332">
        <v>414683.9</v>
      </c>
      <c r="H229" s="304">
        <v>414684</v>
      </c>
      <c r="I229" s="305">
        <v>292400</v>
      </c>
      <c r="J229" s="267"/>
      <c r="K229" s="260"/>
      <c r="L229" s="261"/>
      <c r="M229" s="261"/>
      <c r="N229" s="261"/>
    </row>
    <row r="230" spans="1:14" s="45" customFormat="1" ht="15.75" thickTop="1">
      <c r="A230"/>
      <c r="B230"/>
      <c r="C230" s="19"/>
      <c r="D230" s="306"/>
      <c r="E230" s="19"/>
      <c r="F230" s="19"/>
      <c r="G230" s="19"/>
      <c r="H230" s="19"/>
      <c r="I230" s="260"/>
      <c r="J230" s="260"/>
      <c r="K230" s="260"/>
      <c r="L230" s="261"/>
      <c r="M230" s="261"/>
      <c r="N230" s="261"/>
    </row>
    <row r="231" spans="1:14" s="45" customFormat="1" ht="15.75" thickBot="1">
      <c r="A231"/>
      <c r="B231"/>
      <c r="C231" s="19"/>
      <c r="D231" s="306"/>
      <c r="E231" s="19"/>
      <c r="F231" s="19"/>
      <c r="G231" s="19"/>
      <c r="H231" s="19"/>
      <c r="I231" s="260"/>
      <c r="J231" s="260"/>
      <c r="K231" s="260"/>
      <c r="L231" s="261"/>
      <c r="M231" s="261"/>
      <c r="N231" s="261"/>
    </row>
    <row r="232" spans="1:14" s="45" customFormat="1" ht="12.95" customHeight="1" thickTop="1">
      <c r="A232" s="262" t="s">
        <v>223</v>
      </c>
      <c r="B232" s="263"/>
      <c r="C232" s="1651" t="s">
        <v>58</v>
      </c>
      <c r="D232" s="1652"/>
      <c r="E232" s="1652"/>
      <c r="F232" s="1652"/>
      <c r="G232" s="264"/>
      <c r="H232" s="265" t="s">
        <v>224</v>
      </c>
      <c r="I232" s="266" t="s">
        <v>126</v>
      </c>
      <c r="J232" s="267"/>
      <c r="K232" s="260"/>
      <c r="L232" s="261"/>
      <c r="M232" s="261"/>
      <c r="N232" s="261"/>
    </row>
    <row r="233" spans="1:14" s="45" customFormat="1" ht="12.95" customHeight="1">
      <c r="A233" s="262"/>
      <c r="B233" s="263"/>
      <c r="C233" s="1653"/>
      <c r="D233" s="1654"/>
      <c r="E233" s="1654"/>
      <c r="F233" s="1654"/>
      <c r="G233" s="268"/>
      <c r="H233" s="269" t="s">
        <v>179</v>
      </c>
      <c r="I233" s="270">
        <v>134</v>
      </c>
      <c r="J233" s="267"/>
      <c r="K233" s="260"/>
      <c r="L233" s="261"/>
      <c r="M233" s="261"/>
      <c r="N233" s="261"/>
    </row>
    <row r="234" spans="1:14" s="45" customFormat="1">
      <c r="A234" s="271" t="s">
        <v>128</v>
      </c>
      <c r="B234" s="263"/>
      <c r="C234" s="272" t="s">
        <v>21</v>
      </c>
      <c r="D234" s="273" t="s">
        <v>22</v>
      </c>
      <c r="E234" s="274" t="s">
        <v>23</v>
      </c>
      <c r="F234" s="307" t="s">
        <v>129</v>
      </c>
      <c r="G234" s="275" t="s">
        <v>130</v>
      </c>
      <c r="H234" s="276" t="s">
        <v>131</v>
      </c>
      <c r="I234" s="308"/>
      <c r="J234" s="267"/>
      <c r="K234" s="260"/>
      <c r="L234" s="261"/>
      <c r="M234" s="261"/>
      <c r="N234" s="261"/>
    </row>
    <row r="235" spans="1:14" s="45" customFormat="1">
      <c r="A235" s="271"/>
      <c r="B235" s="263"/>
      <c r="C235" s="278"/>
      <c r="D235" s="279"/>
      <c r="E235" s="280"/>
      <c r="F235" s="309"/>
      <c r="G235" s="281"/>
      <c r="H235" s="282"/>
      <c r="I235" s="310"/>
      <c r="J235" s="267"/>
      <c r="K235" s="260"/>
      <c r="L235" s="261"/>
      <c r="M235" s="261"/>
      <c r="N235" s="261"/>
    </row>
    <row r="236" spans="1:14" s="45" customFormat="1">
      <c r="A236" s="271" t="s">
        <v>132</v>
      </c>
      <c r="B236" s="263"/>
      <c r="C236" s="285" t="s">
        <v>133</v>
      </c>
      <c r="D236" s="279"/>
      <c r="E236" s="280"/>
      <c r="F236" s="309"/>
      <c r="G236" s="281"/>
      <c r="H236" s="282"/>
      <c r="I236" s="310"/>
      <c r="J236" s="267"/>
      <c r="K236" s="260"/>
      <c r="L236" s="261"/>
      <c r="M236" s="261"/>
      <c r="N236" s="261"/>
    </row>
    <row r="237" spans="1:14" s="45" customFormat="1">
      <c r="A237" s="271">
        <v>101509</v>
      </c>
      <c r="B237" s="263" t="s">
        <v>181</v>
      </c>
      <c r="C237" s="272" t="s">
        <v>182</v>
      </c>
      <c r="D237" s="273" t="s">
        <v>183</v>
      </c>
      <c r="E237" s="274">
        <v>0.15</v>
      </c>
      <c r="F237" s="307">
        <v>0</v>
      </c>
      <c r="G237" s="275">
        <v>2000</v>
      </c>
      <c r="H237" s="276">
        <v>300</v>
      </c>
      <c r="I237" s="308">
        <v>20.099999999999998</v>
      </c>
      <c r="J237" s="267"/>
      <c r="K237" s="260"/>
      <c r="L237" s="261"/>
      <c r="M237" s="261"/>
      <c r="N237" s="261"/>
    </row>
    <row r="238" spans="1:14" s="45" customFormat="1">
      <c r="A238" s="271">
        <v>101717</v>
      </c>
      <c r="B238" s="263" t="s">
        <v>216</v>
      </c>
      <c r="C238" s="272" t="s">
        <v>219</v>
      </c>
      <c r="D238" s="273" t="s">
        <v>22</v>
      </c>
      <c r="E238" s="274">
        <v>0.7</v>
      </c>
      <c r="F238" s="307">
        <v>0</v>
      </c>
      <c r="G238" s="275">
        <v>8000</v>
      </c>
      <c r="H238" s="276">
        <v>5600</v>
      </c>
      <c r="I238" s="308">
        <v>93.8</v>
      </c>
      <c r="J238" s="267"/>
      <c r="K238" s="260"/>
      <c r="L238" s="261"/>
      <c r="M238" s="261"/>
      <c r="N238" s="261"/>
    </row>
    <row r="239" spans="1:14" s="45" customFormat="1">
      <c r="A239" s="271">
        <v>102387</v>
      </c>
      <c r="B239" s="263" t="s">
        <v>216</v>
      </c>
      <c r="C239" s="272" t="s">
        <v>225</v>
      </c>
      <c r="D239" s="273" t="s">
        <v>22</v>
      </c>
      <c r="E239" s="274">
        <v>0.5</v>
      </c>
      <c r="F239" s="307">
        <v>0</v>
      </c>
      <c r="G239" s="275">
        <v>2400</v>
      </c>
      <c r="H239" s="276">
        <v>1200</v>
      </c>
      <c r="I239" s="334">
        <v>67</v>
      </c>
      <c r="J239" s="267"/>
      <c r="K239" s="260"/>
      <c r="L239" s="261"/>
      <c r="M239" s="261"/>
      <c r="N239" s="261"/>
    </row>
    <row r="240" spans="1:14" s="45" customFormat="1">
      <c r="A240" s="311" t="s">
        <v>220</v>
      </c>
      <c r="B240" s="263" t="s">
        <v>210</v>
      </c>
      <c r="C240" s="272" t="s">
        <v>221</v>
      </c>
      <c r="D240" s="273" t="s">
        <v>139</v>
      </c>
      <c r="E240" s="274">
        <v>2.4E-2</v>
      </c>
      <c r="F240" s="307">
        <v>0</v>
      </c>
      <c r="G240" s="275">
        <v>236654</v>
      </c>
      <c r="H240" s="276">
        <v>5679.69</v>
      </c>
      <c r="I240" s="308">
        <v>3.2160000000000002</v>
      </c>
      <c r="J240" s="267"/>
      <c r="K240" s="260"/>
      <c r="L240" s="261"/>
      <c r="M240" s="261"/>
      <c r="N240" s="261"/>
    </row>
    <row r="241" spans="1:14" s="45" customFormat="1">
      <c r="A241" s="311" t="s">
        <v>143</v>
      </c>
      <c r="B241" s="263"/>
      <c r="C241" s="278"/>
      <c r="D241" s="279"/>
      <c r="E241" s="280"/>
      <c r="F241" s="309"/>
      <c r="G241" s="281" t="s">
        <v>144</v>
      </c>
      <c r="H241" s="287">
        <v>12779.689999999999</v>
      </c>
      <c r="I241" s="310"/>
      <c r="J241" s="267"/>
      <c r="K241" s="260"/>
      <c r="L241" s="261"/>
      <c r="M241" s="261"/>
      <c r="N241" s="261"/>
    </row>
    <row r="242" spans="1:14" s="45" customFormat="1" ht="27" customHeight="1">
      <c r="A242" s="271" t="s">
        <v>145</v>
      </c>
      <c r="B242" s="263"/>
      <c r="C242" s="288" t="s">
        <v>146</v>
      </c>
      <c r="D242" s="279" t="s">
        <v>147</v>
      </c>
      <c r="E242" s="279" t="s">
        <v>148</v>
      </c>
      <c r="F242" s="312" t="s">
        <v>149</v>
      </c>
      <c r="G242" s="289" t="s">
        <v>150</v>
      </c>
      <c r="H242" s="290" t="s">
        <v>151</v>
      </c>
      <c r="I242" s="310"/>
      <c r="J242" s="267"/>
      <c r="K242" s="260"/>
      <c r="L242" s="261"/>
      <c r="M242" s="261"/>
      <c r="N242" s="261"/>
    </row>
    <row r="243" spans="1:14" s="45" customFormat="1">
      <c r="A243" s="271">
        <v>200007</v>
      </c>
      <c r="B243" s="263" t="s">
        <v>146</v>
      </c>
      <c r="C243" s="272" t="s">
        <v>212</v>
      </c>
      <c r="D243" s="291">
        <v>71304</v>
      </c>
      <c r="E243" s="292">
        <v>1.85</v>
      </c>
      <c r="F243" s="293">
        <v>131912</v>
      </c>
      <c r="G243" s="294">
        <v>16</v>
      </c>
      <c r="H243" s="276">
        <v>8244.5</v>
      </c>
      <c r="I243" s="308">
        <v>8.375</v>
      </c>
      <c r="J243" s="267"/>
      <c r="K243" s="260"/>
      <c r="L243" s="261"/>
      <c r="M243" s="261"/>
      <c r="N243" s="261"/>
    </row>
    <row r="244" spans="1:14" s="45" customFormat="1">
      <c r="A244" s="311" t="s">
        <v>153</v>
      </c>
      <c r="B244" s="263"/>
      <c r="C244" s="278"/>
      <c r="D244" s="279"/>
      <c r="E244" s="280"/>
      <c r="F244" s="309"/>
      <c r="G244" s="281" t="s">
        <v>154</v>
      </c>
      <c r="H244" s="287">
        <v>8244.5</v>
      </c>
      <c r="I244" s="310"/>
      <c r="J244" s="267"/>
      <c r="K244" s="260"/>
      <c r="L244" s="261"/>
      <c r="M244" s="261"/>
      <c r="N244" s="261"/>
    </row>
    <row r="245" spans="1:14" s="45" customFormat="1">
      <c r="A245" s="271" t="s">
        <v>155</v>
      </c>
      <c r="B245" s="263"/>
      <c r="C245" s="295" t="s">
        <v>156</v>
      </c>
      <c r="D245" s="279"/>
      <c r="E245" s="280"/>
      <c r="F245" s="309"/>
      <c r="G245" s="281"/>
      <c r="H245" s="282"/>
      <c r="I245" s="310"/>
      <c r="J245" s="267"/>
      <c r="K245" s="260"/>
      <c r="L245" s="261"/>
      <c r="M245" s="261"/>
      <c r="N245" s="261"/>
    </row>
    <row r="246" spans="1:14" s="45" customFormat="1">
      <c r="A246" s="271">
        <v>307002</v>
      </c>
      <c r="B246" s="263" t="s">
        <v>156</v>
      </c>
      <c r="C246" s="272" t="s">
        <v>222</v>
      </c>
      <c r="D246" s="273" t="s">
        <v>139</v>
      </c>
      <c r="E246" s="274">
        <v>3.5999999999999997E-2</v>
      </c>
      <c r="F246" s="307">
        <v>0</v>
      </c>
      <c r="G246" s="275">
        <v>7000</v>
      </c>
      <c r="H246" s="276">
        <v>252</v>
      </c>
      <c r="I246" s="308">
        <v>4.8239999999999998</v>
      </c>
      <c r="J246" s="267"/>
      <c r="K246" s="260"/>
      <c r="L246" s="261"/>
      <c r="M246" s="261"/>
      <c r="N246" s="261"/>
    </row>
    <row r="247" spans="1:14" s="45" customFormat="1">
      <c r="A247" s="271">
        <v>300026</v>
      </c>
      <c r="B247" s="263" t="s">
        <v>156</v>
      </c>
      <c r="C247" s="272" t="s">
        <v>157</v>
      </c>
      <c r="D247" s="273" t="s">
        <v>158</v>
      </c>
      <c r="E247" s="292">
        <v>0.05</v>
      </c>
      <c r="F247" s="307">
        <v>0</v>
      </c>
      <c r="G247" s="275">
        <v>8244.5</v>
      </c>
      <c r="H247" s="276">
        <v>412.22</v>
      </c>
      <c r="I247" s="308">
        <v>55237.48</v>
      </c>
      <c r="J247" s="267"/>
      <c r="K247" s="260"/>
      <c r="L247" s="261"/>
      <c r="M247" s="261"/>
      <c r="N247" s="261"/>
    </row>
    <row r="248" spans="1:14" s="45" customFormat="1">
      <c r="A248" s="271">
        <v>300002</v>
      </c>
      <c r="B248" s="263" t="s">
        <v>156</v>
      </c>
      <c r="C248" s="272" t="s">
        <v>213</v>
      </c>
      <c r="D248" s="273" t="s">
        <v>214</v>
      </c>
      <c r="E248" s="274">
        <v>0.2</v>
      </c>
      <c r="F248" s="307">
        <v>0</v>
      </c>
      <c r="G248" s="275">
        <v>714</v>
      </c>
      <c r="H248" s="276">
        <v>142.80000000000001</v>
      </c>
      <c r="I248" s="308">
        <v>26.8</v>
      </c>
      <c r="J248" s="267"/>
      <c r="K248" s="260"/>
      <c r="L248" s="261"/>
      <c r="M248" s="261"/>
      <c r="N248" s="261"/>
    </row>
    <row r="249" spans="1:14" s="45" customFormat="1">
      <c r="A249" s="311" t="s">
        <v>159</v>
      </c>
      <c r="B249" s="263"/>
      <c r="C249" s="278"/>
      <c r="D249" s="279"/>
      <c r="E249" s="280"/>
      <c r="F249" s="309"/>
      <c r="G249" s="281" t="s">
        <v>160</v>
      </c>
      <c r="H249" s="287">
        <v>807.02</v>
      </c>
      <c r="I249" s="310"/>
      <c r="J249" s="267"/>
      <c r="K249" s="260"/>
      <c r="L249" s="261"/>
      <c r="M249" s="261"/>
      <c r="N249" s="261"/>
    </row>
    <row r="250" spans="1:14" s="45" customFormat="1">
      <c r="A250" s="311"/>
      <c r="B250" s="297"/>
      <c r="C250" s="278"/>
      <c r="D250" s="279"/>
      <c r="E250" s="280"/>
      <c r="F250" s="309"/>
      <c r="G250" s="281"/>
      <c r="H250" s="282"/>
      <c r="I250" s="310"/>
      <c r="J250" s="267"/>
      <c r="K250" s="260"/>
      <c r="L250" s="261"/>
      <c r="M250" s="261"/>
      <c r="N250" s="261"/>
    </row>
    <row r="251" spans="1:14" s="45" customFormat="1" ht="15.75" thickBot="1">
      <c r="A251" s="311" t="s">
        <v>26</v>
      </c>
      <c r="B251" s="297"/>
      <c r="C251" s="299"/>
      <c r="D251" s="300"/>
      <c r="E251" s="301"/>
      <c r="F251" s="313" t="s">
        <v>161</v>
      </c>
      <c r="G251" s="303">
        <v>21831.21</v>
      </c>
      <c r="H251" s="304">
        <v>21831</v>
      </c>
      <c r="I251" s="305"/>
      <c r="J251" s="267"/>
      <c r="K251" s="260"/>
      <c r="L251" s="261"/>
      <c r="M251" s="261"/>
      <c r="N251" s="261"/>
    </row>
    <row r="252" spans="1:14" s="45" customFormat="1" ht="15.75" hidden="1" thickTop="1">
      <c r="A252" s="311" t="s">
        <v>188</v>
      </c>
      <c r="B252" s="297"/>
      <c r="C252" s="314" t="s">
        <v>96</v>
      </c>
      <c r="D252" s="315"/>
      <c r="E252" s="316"/>
      <c r="F252" s="317"/>
      <c r="G252" s="318"/>
      <c r="H252" s="319"/>
      <c r="I252" s="310"/>
      <c r="J252" s="267"/>
      <c r="K252" s="260"/>
      <c r="L252" s="261"/>
      <c r="M252" s="261"/>
      <c r="N252" s="261"/>
    </row>
    <row r="253" spans="1:14" s="45" customFormat="1" ht="15.75" hidden="1" thickTop="1">
      <c r="A253" s="271" t="s">
        <v>99</v>
      </c>
      <c r="B253" s="297"/>
      <c r="C253" s="320" t="s">
        <v>100</v>
      </c>
      <c r="D253" s="321"/>
      <c r="E253" s="322"/>
      <c r="F253" s="323">
        <v>0.185</v>
      </c>
      <c r="G253" s="324"/>
      <c r="H253" s="325">
        <v>4038.74</v>
      </c>
      <c r="I253" s="310"/>
      <c r="J253" s="267"/>
      <c r="K253" s="260"/>
      <c r="L253" s="261"/>
      <c r="M253" s="261"/>
      <c r="N253" s="261"/>
    </row>
    <row r="254" spans="1:14" s="45" customFormat="1" ht="15.75" hidden="1" thickTop="1">
      <c r="A254" s="271" t="s">
        <v>189</v>
      </c>
      <c r="B254" s="297"/>
      <c r="C254" s="320" t="s">
        <v>102</v>
      </c>
      <c r="D254" s="321"/>
      <c r="E254" s="322"/>
      <c r="F254" s="323">
        <v>0.05</v>
      </c>
      <c r="G254" s="324"/>
      <c r="H254" s="325">
        <v>1091.55</v>
      </c>
      <c r="I254" s="310"/>
      <c r="J254" s="267"/>
      <c r="K254" s="260"/>
      <c r="L254" s="261"/>
      <c r="M254" s="261"/>
      <c r="N254" s="261"/>
    </row>
    <row r="255" spans="1:14" s="45" customFormat="1" ht="15.75" hidden="1" thickTop="1">
      <c r="A255" s="271" t="s">
        <v>103</v>
      </c>
      <c r="B255" s="297"/>
      <c r="C255" s="320" t="s">
        <v>104</v>
      </c>
      <c r="D255" s="321"/>
      <c r="E255" s="322"/>
      <c r="F255" s="323">
        <v>0.08</v>
      </c>
      <c r="G255" s="324"/>
      <c r="H255" s="325">
        <v>1746.48</v>
      </c>
      <c r="I255" s="310"/>
      <c r="J255" s="267"/>
      <c r="K255" s="260"/>
      <c r="L255" s="261"/>
      <c r="M255" s="261"/>
      <c r="N255" s="261"/>
    </row>
    <row r="256" spans="1:14" s="45" customFormat="1" ht="15.75" hidden="1" thickTop="1">
      <c r="A256" s="271" t="s">
        <v>106</v>
      </c>
      <c r="B256" s="297"/>
      <c r="C256" s="320" t="s">
        <v>107</v>
      </c>
      <c r="D256" s="321"/>
      <c r="E256" s="322"/>
      <c r="F256" s="323">
        <v>0.16</v>
      </c>
      <c r="G256" s="324"/>
      <c r="H256" s="325">
        <v>279.44</v>
      </c>
      <c r="I256" s="310"/>
      <c r="J256" s="267"/>
      <c r="K256" s="260"/>
      <c r="L256" s="261"/>
      <c r="M256" s="261"/>
      <c r="N256" s="261"/>
    </row>
    <row r="257" spans="1:14" s="45" customFormat="1" ht="15.75" hidden="1" thickTop="1">
      <c r="A257" s="311" t="s">
        <v>190</v>
      </c>
      <c r="B257" s="297"/>
      <c r="C257" s="285" t="s">
        <v>191</v>
      </c>
      <c r="D257" s="279"/>
      <c r="E257" s="280"/>
      <c r="F257" s="309"/>
      <c r="G257" s="326"/>
      <c r="H257" s="327">
        <v>7156.21</v>
      </c>
      <c r="I257" s="328">
        <v>-9127</v>
      </c>
      <c r="J257" s="267"/>
      <c r="K257" s="260"/>
      <c r="L257" s="261"/>
      <c r="M257" s="261"/>
      <c r="N257" s="261"/>
    </row>
    <row r="258" spans="1:14" s="45" customFormat="1" ht="16.5" hidden="1" thickTop="1" thickBot="1">
      <c r="A258" s="311" t="s">
        <v>192</v>
      </c>
      <c r="B258" s="297"/>
      <c r="C258" s="329"/>
      <c r="D258" s="330"/>
      <c r="E258" s="331"/>
      <c r="F258" s="313" t="s">
        <v>193</v>
      </c>
      <c r="G258" s="332">
        <v>28987.21</v>
      </c>
      <c r="H258" s="304">
        <v>28987</v>
      </c>
      <c r="I258" s="305">
        <v>19860</v>
      </c>
      <c r="J258" s="267"/>
      <c r="K258" s="260"/>
      <c r="L258" s="261"/>
      <c r="M258" s="261"/>
      <c r="N258" s="261"/>
    </row>
    <row r="259" spans="1:14" s="45" customFormat="1" ht="15.75" thickTop="1">
      <c r="A259"/>
      <c r="B259"/>
      <c r="C259" s="19"/>
      <c r="D259" s="306"/>
      <c r="E259" s="19"/>
      <c r="F259" s="19"/>
      <c r="G259" s="19"/>
      <c r="H259" s="19"/>
      <c r="I259" s="260"/>
      <c r="J259" s="260"/>
      <c r="K259" s="260"/>
      <c r="L259" s="261"/>
      <c r="M259" s="261"/>
      <c r="N259" s="261"/>
    </row>
    <row r="260" spans="1:14" s="45" customFormat="1" ht="15.75" thickBot="1">
      <c r="A260"/>
      <c r="B260"/>
      <c r="C260" s="19"/>
      <c r="D260" s="306"/>
      <c r="E260" s="19"/>
      <c r="F260" s="19"/>
      <c r="G260" s="19"/>
      <c r="H260" s="19"/>
      <c r="I260" s="260"/>
      <c r="J260" s="260"/>
      <c r="K260" s="260"/>
      <c r="L260" s="261"/>
      <c r="M260" s="261"/>
      <c r="N260" s="261"/>
    </row>
    <row r="261" spans="1:14" s="45" customFormat="1" ht="12.95" customHeight="1" thickTop="1">
      <c r="A261" s="262" t="s">
        <v>226</v>
      </c>
      <c r="B261" s="263"/>
      <c r="C261" s="1651" t="s">
        <v>59</v>
      </c>
      <c r="D261" s="1652"/>
      <c r="E261" s="1652"/>
      <c r="F261" s="1652"/>
      <c r="G261" s="264"/>
      <c r="H261" s="265" t="s">
        <v>201</v>
      </c>
      <c r="I261" s="266" t="s">
        <v>126</v>
      </c>
      <c r="J261" s="267"/>
      <c r="K261" s="260"/>
      <c r="L261" s="261"/>
      <c r="M261" s="261"/>
      <c r="N261" s="261"/>
    </row>
    <row r="262" spans="1:14" s="45" customFormat="1" ht="12.95" customHeight="1">
      <c r="A262" s="262"/>
      <c r="B262" s="263"/>
      <c r="C262" s="1653"/>
      <c r="D262" s="1654"/>
      <c r="E262" s="1654"/>
      <c r="F262" s="1654"/>
      <c r="G262" s="268"/>
      <c r="H262" s="269" t="s">
        <v>179</v>
      </c>
      <c r="I262" s="270">
        <v>13.68</v>
      </c>
      <c r="J262" s="267"/>
      <c r="K262" s="260"/>
      <c r="L262" s="261"/>
      <c r="M262" s="261"/>
      <c r="N262" s="261"/>
    </row>
    <row r="263" spans="1:14" s="45" customFormat="1">
      <c r="A263" s="271" t="s">
        <v>128</v>
      </c>
      <c r="B263" s="263"/>
      <c r="C263" s="272" t="s">
        <v>21</v>
      </c>
      <c r="D263" s="273" t="s">
        <v>22</v>
      </c>
      <c r="E263" s="274" t="s">
        <v>23</v>
      </c>
      <c r="F263" s="307" t="s">
        <v>129</v>
      </c>
      <c r="G263" s="275" t="s">
        <v>130</v>
      </c>
      <c r="H263" s="276" t="s">
        <v>131</v>
      </c>
      <c r="I263" s="308"/>
      <c r="J263" s="267"/>
      <c r="K263" s="260"/>
      <c r="L263" s="261"/>
      <c r="M263" s="261"/>
      <c r="N263" s="261"/>
    </row>
    <row r="264" spans="1:14" s="45" customFormat="1">
      <c r="A264" s="271"/>
      <c r="B264" s="263"/>
      <c r="C264" s="278"/>
      <c r="D264" s="279"/>
      <c r="E264" s="280"/>
      <c r="F264" s="309"/>
      <c r="G264" s="281"/>
      <c r="H264" s="282"/>
      <c r="I264" s="310"/>
      <c r="J264" s="267"/>
      <c r="K264" s="260"/>
      <c r="L264" s="261"/>
      <c r="M264" s="261"/>
      <c r="N264" s="261"/>
    </row>
    <row r="265" spans="1:14" s="45" customFormat="1">
      <c r="A265" s="271" t="s">
        <v>132</v>
      </c>
      <c r="B265" s="263"/>
      <c r="C265" s="285" t="s">
        <v>133</v>
      </c>
      <c r="D265" s="279"/>
      <c r="E265" s="280"/>
      <c r="F265" s="309"/>
      <c r="G265" s="281"/>
      <c r="H265" s="282"/>
      <c r="I265" s="310"/>
      <c r="J265" s="267"/>
      <c r="K265" s="260"/>
      <c r="L265" s="261"/>
      <c r="M265" s="261"/>
      <c r="N265" s="261"/>
    </row>
    <row r="266" spans="1:14" s="45" customFormat="1">
      <c r="A266" s="271">
        <v>100111</v>
      </c>
      <c r="B266" s="263" t="s">
        <v>168</v>
      </c>
      <c r="C266" s="272" t="s">
        <v>227</v>
      </c>
      <c r="D266" s="273" t="s">
        <v>142</v>
      </c>
      <c r="E266" s="274">
        <v>2</v>
      </c>
      <c r="F266" s="307">
        <v>0</v>
      </c>
      <c r="G266" s="275">
        <v>6300</v>
      </c>
      <c r="H266" s="276">
        <v>12600</v>
      </c>
      <c r="I266" s="308">
        <v>27.36</v>
      </c>
      <c r="J266" s="267"/>
      <c r="K266" s="260"/>
      <c r="L266" s="261"/>
      <c r="M266" s="261"/>
      <c r="N266" s="261"/>
    </row>
    <row r="267" spans="1:14" s="45" customFormat="1">
      <c r="A267" s="271">
        <v>103048</v>
      </c>
      <c r="B267" s="263" t="s">
        <v>134</v>
      </c>
      <c r="C267" s="272" t="s">
        <v>228</v>
      </c>
      <c r="D267" s="273" t="s">
        <v>142</v>
      </c>
      <c r="E267" s="274">
        <v>2</v>
      </c>
      <c r="F267" s="307">
        <v>0</v>
      </c>
      <c r="G267" s="275">
        <v>11800</v>
      </c>
      <c r="H267" s="276">
        <v>23600</v>
      </c>
      <c r="I267" s="308">
        <v>27.36</v>
      </c>
      <c r="J267" s="267"/>
      <c r="K267" s="260"/>
      <c r="L267" s="261"/>
      <c r="M267" s="261"/>
      <c r="N267" s="261"/>
    </row>
    <row r="268" spans="1:14" s="45" customFormat="1">
      <c r="A268" s="271">
        <v>103050</v>
      </c>
      <c r="B268" s="263" t="s">
        <v>168</v>
      </c>
      <c r="C268" s="272" t="s">
        <v>229</v>
      </c>
      <c r="D268" s="273" t="s">
        <v>142</v>
      </c>
      <c r="E268" s="274">
        <v>0.2</v>
      </c>
      <c r="F268" s="307">
        <v>0</v>
      </c>
      <c r="G268" s="275">
        <v>6300</v>
      </c>
      <c r="H268" s="276">
        <v>1260</v>
      </c>
      <c r="I268" s="308">
        <v>2.7360000000000002</v>
      </c>
      <c r="J268" s="267"/>
      <c r="K268" s="260"/>
      <c r="L268" s="261"/>
      <c r="M268" s="261"/>
      <c r="N268" s="261"/>
    </row>
    <row r="269" spans="1:14" s="45" customFormat="1">
      <c r="A269" s="271">
        <v>100806</v>
      </c>
      <c r="B269" s="263" t="s">
        <v>216</v>
      </c>
      <c r="C269" s="272" t="s">
        <v>217</v>
      </c>
      <c r="D269" s="273" t="s">
        <v>22</v>
      </c>
      <c r="E269" s="274">
        <v>5.67</v>
      </c>
      <c r="F269" s="307">
        <v>0</v>
      </c>
      <c r="G269" s="275">
        <v>9300</v>
      </c>
      <c r="H269" s="276">
        <v>52731</v>
      </c>
      <c r="I269" s="308">
        <v>77.565600000000003</v>
      </c>
      <c r="J269" s="267"/>
      <c r="K269" s="260"/>
      <c r="L269" s="261"/>
      <c r="M269" s="261"/>
      <c r="N269" s="261"/>
    </row>
    <row r="270" spans="1:14" s="45" customFormat="1">
      <c r="A270" s="271">
        <v>101509</v>
      </c>
      <c r="B270" s="263" t="s">
        <v>181</v>
      </c>
      <c r="C270" s="272" t="s">
        <v>182</v>
      </c>
      <c r="D270" s="273" t="s">
        <v>183</v>
      </c>
      <c r="E270" s="274">
        <v>8</v>
      </c>
      <c r="F270" s="307">
        <v>0</v>
      </c>
      <c r="G270" s="275">
        <v>2000</v>
      </c>
      <c r="H270" s="276">
        <v>16000</v>
      </c>
      <c r="I270" s="308">
        <v>109.44</v>
      </c>
      <c r="J270" s="267"/>
      <c r="K270" s="260"/>
      <c r="L270" s="261"/>
      <c r="M270" s="261"/>
      <c r="N270" s="261"/>
    </row>
    <row r="271" spans="1:14" s="45" customFormat="1">
      <c r="A271" s="271">
        <v>101717</v>
      </c>
      <c r="B271" s="263" t="s">
        <v>216</v>
      </c>
      <c r="C271" s="272" t="s">
        <v>219</v>
      </c>
      <c r="D271" s="273" t="s">
        <v>22</v>
      </c>
      <c r="E271" s="274">
        <v>5</v>
      </c>
      <c r="F271" s="307">
        <v>0</v>
      </c>
      <c r="G271" s="275">
        <v>8000</v>
      </c>
      <c r="H271" s="276">
        <v>40000</v>
      </c>
      <c r="I271" s="308">
        <v>68.400000000000006</v>
      </c>
      <c r="J271" s="267"/>
      <c r="K271" s="260"/>
      <c r="L271" s="261"/>
      <c r="M271" s="261"/>
      <c r="N271" s="261"/>
    </row>
    <row r="272" spans="1:14" s="45" customFormat="1">
      <c r="A272" s="271">
        <v>102387</v>
      </c>
      <c r="B272" s="263" t="s">
        <v>216</v>
      </c>
      <c r="C272" s="272" t="s">
        <v>225</v>
      </c>
      <c r="D272" s="273" t="s">
        <v>22</v>
      </c>
      <c r="E272" s="274">
        <v>4.33</v>
      </c>
      <c r="F272" s="307">
        <v>0</v>
      </c>
      <c r="G272" s="275">
        <v>2400</v>
      </c>
      <c r="H272" s="276">
        <v>10392</v>
      </c>
      <c r="I272" s="308">
        <v>59.234400000000001</v>
      </c>
      <c r="J272" s="267"/>
      <c r="K272" s="260"/>
      <c r="L272" s="261"/>
      <c r="M272" s="261"/>
      <c r="N272" s="261"/>
    </row>
    <row r="273" spans="1:14" s="45" customFormat="1">
      <c r="A273" s="311" t="s">
        <v>220</v>
      </c>
      <c r="B273" s="263" t="s">
        <v>210</v>
      </c>
      <c r="C273" s="272" t="s">
        <v>221</v>
      </c>
      <c r="D273" s="273" t="s">
        <v>139</v>
      </c>
      <c r="E273" s="274">
        <v>1.05</v>
      </c>
      <c r="F273" s="307">
        <v>0</v>
      </c>
      <c r="G273" s="275">
        <v>236654</v>
      </c>
      <c r="H273" s="276">
        <v>248486.7</v>
      </c>
      <c r="I273" s="308">
        <v>14.364000000000001</v>
      </c>
      <c r="J273" s="267"/>
      <c r="K273" s="260"/>
      <c r="L273" s="261"/>
      <c r="M273" s="261"/>
      <c r="N273" s="261"/>
    </row>
    <row r="274" spans="1:14" s="45" customFormat="1">
      <c r="A274" s="311" t="s">
        <v>143</v>
      </c>
      <c r="B274" s="263"/>
      <c r="C274" s="278"/>
      <c r="D274" s="279"/>
      <c r="E274" s="280"/>
      <c r="F274" s="309"/>
      <c r="G274" s="281" t="s">
        <v>144</v>
      </c>
      <c r="H274" s="287">
        <v>405069.7</v>
      </c>
      <c r="I274" s="310"/>
      <c r="J274" s="267"/>
      <c r="K274" s="260"/>
      <c r="L274" s="261"/>
      <c r="M274" s="261"/>
      <c r="N274" s="261"/>
    </row>
    <row r="275" spans="1:14" s="45" customFormat="1" ht="27" customHeight="1">
      <c r="A275" s="271" t="s">
        <v>145</v>
      </c>
      <c r="B275" s="263"/>
      <c r="C275" s="288" t="s">
        <v>146</v>
      </c>
      <c r="D275" s="279" t="s">
        <v>147</v>
      </c>
      <c r="E275" s="279" t="s">
        <v>148</v>
      </c>
      <c r="F275" s="312" t="s">
        <v>149</v>
      </c>
      <c r="G275" s="289" t="s">
        <v>150</v>
      </c>
      <c r="H275" s="290" t="s">
        <v>151</v>
      </c>
      <c r="I275" s="328"/>
      <c r="J275" s="267"/>
      <c r="K275" s="260"/>
      <c r="L275" s="261"/>
      <c r="M275" s="261"/>
      <c r="N275" s="261"/>
    </row>
    <row r="276" spans="1:14" s="45" customFormat="1">
      <c r="A276" s="271">
        <v>200011</v>
      </c>
      <c r="B276" s="263" t="s">
        <v>146</v>
      </c>
      <c r="C276" s="272" t="s">
        <v>230</v>
      </c>
      <c r="D276" s="291">
        <v>124817</v>
      </c>
      <c r="E276" s="292">
        <v>1.85</v>
      </c>
      <c r="F276" s="293">
        <v>230911</v>
      </c>
      <c r="G276" s="294">
        <v>1.0529999999999999</v>
      </c>
      <c r="H276" s="276">
        <v>219288.698</v>
      </c>
      <c r="I276" s="308">
        <v>12.991452991452991</v>
      </c>
      <c r="J276" s="267"/>
      <c r="K276" s="260"/>
      <c r="L276" s="261"/>
      <c r="M276" s="261"/>
      <c r="N276" s="261"/>
    </row>
    <row r="277" spans="1:14" s="45" customFormat="1">
      <c r="A277" s="311" t="s">
        <v>153</v>
      </c>
      <c r="B277" s="263"/>
      <c r="C277" s="278"/>
      <c r="D277" s="279"/>
      <c r="E277" s="280"/>
      <c r="F277" s="309"/>
      <c r="G277" s="281" t="s">
        <v>154</v>
      </c>
      <c r="H277" s="287">
        <v>219288.698</v>
      </c>
      <c r="I277" s="310"/>
      <c r="J277" s="267"/>
      <c r="K277" s="260"/>
      <c r="L277" s="261"/>
      <c r="M277" s="261"/>
      <c r="N277" s="261"/>
    </row>
    <row r="278" spans="1:14" s="45" customFormat="1">
      <c r="A278" s="271" t="s">
        <v>155</v>
      </c>
      <c r="B278" s="263"/>
      <c r="C278" s="295" t="s">
        <v>156</v>
      </c>
      <c r="D278" s="279"/>
      <c r="E278" s="280"/>
      <c r="F278" s="309"/>
      <c r="G278" s="281"/>
      <c r="H278" s="282"/>
      <c r="I278" s="310"/>
      <c r="J278" s="267"/>
      <c r="K278" s="260"/>
      <c r="L278" s="261"/>
      <c r="M278" s="261"/>
      <c r="N278" s="261"/>
    </row>
    <row r="279" spans="1:14" s="45" customFormat="1">
      <c r="A279" s="271">
        <v>300055</v>
      </c>
      <c r="B279" s="263" t="s">
        <v>156</v>
      </c>
      <c r="C279" s="272" t="s">
        <v>231</v>
      </c>
      <c r="D279" s="273" t="s">
        <v>173</v>
      </c>
      <c r="E279" s="274">
        <v>0.1</v>
      </c>
      <c r="F279" s="307">
        <v>0</v>
      </c>
      <c r="G279" s="275">
        <v>32800</v>
      </c>
      <c r="H279" s="276">
        <v>3280</v>
      </c>
      <c r="I279" s="308">
        <v>1.3680000000000001</v>
      </c>
      <c r="J279" s="267"/>
      <c r="K279" s="260"/>
      <c r="L279" s="261"/>
      <c r="M279" s="261"/>
      <c r="N279" s="261"/>
    </row>
    <row r="280" spans="1:14" s="45" customFormat="1">
      <c r="A280" s="271">
        <v>307002</v>
      </c>
      <c r="B280" s="263" t="s">
        <v>156</v>
      </c>
      <c r="C280" s="272" t="s">
        <v>222</v>
      </c>
      <c r="D280" s="273" t="s">
        <v>139</v>
      </c>
      <c r="E280" s="274">
        <v>1.5</v>
      </c>
      <c r="F280" s="307">
        <v>0</v>
      </c>
      <c r="G280" s="275">
        <v>7000</v>
      </c>
      <c r="H280" s="276">
        <v>10500</v>
      </c>
      <c r="I280" s="308">
        <v>20.52</v>
      </c>
      <c r="J280" s="267"/>
      <c r="K280" s="260"/>
      <c r="L280" s="261"/>
      <c r="M280" s="261"/>
      <c r="N280" s="261"/>
    </row>
    <row r="281" spans="1:14" s="45" customFormat="1">
      <c r="A281" s="271">
        <v>300026</v>
      </c>
      <c r="B281" s="263" t="s">
        <v>156</v>
      </c>
      <c r="C281" s="272" t="s">
        <v>157</v>
      </c>
      <c r="D281" s="273" t="s">
        <v>158</v>
      </c>
      <c r="E281" s="292">
        <v>0.05</v>
      </c>
      <c r="F281" s="307">
        <v>0</v>
      </c>
      <c r="G281" s="275">
        <v>219288.698</v>
      </c>
      <c r="H281" s="276">
        <v>10964.43</v>
      </c>
      <c r="I281" s="308">
        <v>149993.40239999999</v>
      </c>
      <c r="J281" s="267"/>
      <c r="K281" s="260"/>
      <c r="L281" s="261"/>
      <c r="M281" s="261"/>
      <c r="N281" s="261"/>
    </row>
    <row r="282" spans="1:14" s="45" customFormat="1">
      <c r="A282" s="271">
        <v>300051</v>
      </c>
      <c r="B282" s="263" t="s">
        <v>156</v>
      </c>
      <c r="C282" s="272" t="s">
        <v>232</v>
      </c>
      <c r="D282" s="273" t="s">
        <v>173</v>
      </c>
      <c r="E282" s="274">
        <v>24</v>
      </c>
      <c r="F282" s="307">
        <v>0</v>
      </c>
      <c r="G282" s="275">
        <v>170</v>
      </c>
      <c r="H282" s="276">
        <v>4080</v>
      </c>
      <c r="I282" s="308">
        <v>328.32</v>
      </c>
      <c r="J282" s="267"/>
      <c r="K282" s="260"/>
      <c r="L282" s="261"/>
      <c r="M282" s="261"/>
      <c r="N282" s="261"/>
    </row>
    <row r="283" spans="1:14" s="45" customFormat="1">
      <c r="A283" s="271">
        <v>300002</v>
      </c>
      <c r="B283" s="263" t="s">
        <v>156</v>
      </c>
      <c r="C283" s="272" t="s">
        <v>213</v>
      </c>
      <c r="D283" s="273" t="s">
        <v>214</v>
      </c>
      <c r="E283" s="274">
        <v>4</v>
      </c>
      <c r="F283" s="307">
        <v>0</v>
      </c>
      <c r="G283" s="275">
        <v>714</v>
      </c>
      <c r="H283" s="276">
        <v>2856</v>
      </c>
      <c r="I283" s="308">
        <v>54.72</v>
      </c>
      <c r="J283" s="267"/>
      <c r="K283" s="260"/>
      <c r="L283" s="261"/>
      <c r="M283" s="261"/>
      <c r="N283" s="261"/>
    </row>
    <row r="284" spans="1:14" s="45" customFormat="1">
      <c r="A284" s="311" t="s">
        <v>159</v>
      </c>
      <c r="B284" s="263"/>
      <c r="C284" s="278"/>
      <c r="D284" s="279"/>
      <c r="E284" s="280"/>
      <c r="F284" s="309"/>
      <c r="G284" s="281" t="s">
        <v>160</v>
      </c>
      <c r="H284" s="287">
        <v>31680.43</v>
      </c>
      <c r="I284" s="310"/>
      <c r="J284" s="267"/>
      <c r="K284" s="260"/>
      <c r="L284" s="261"/>
      <c r="M284" s="261"/>
      <c r="N284" s="261"/>
    </row>
    <row r="285" spans="1:14" s="45" customFormat="1">
      <c r="A285" s="311"/>
      <c r="B285" s="297"/>
      <c r="C285" s="278"/>
      <c r="D285" s="279"/>
      <c r="E285" s="280"/>
      <c r="F285" s="309"/>
      <c r="G285" s="281"/>
      <c r="H285" s="282"/>
      <c r="I285" s="310"/>
      <c r="J285" s="267"/>
      <c r="K285" s="260"/>
      <c r="L285" s="261"/>
      <c r="M285" s="261"/>
      <c r="N285" s="261"/>
    </row>
    <row r="286" spans="1:14" s="45" customFormat="1" ht="15.75" thickBot="1">
      <c r="A286" s="311" t="s">
        <v>26</v>
      </c>
      <c r="B286" s="297"/>
      <c r="C286" s="299"/>
      <c r="D286" s="300"/>
      <c r="E286" s="301"/>
      <c r="F286" s="313" t="s">
        <v>161</v>
      </c>
      <c r="G286" s="303">
        <v>656038.82799999998</v>
      </c>
      <c r="H286" s="304">
        <v>656039</v>
      </c>
      <c r="I286" s="305"/>
      <c r="J286" s="267"/>
      <c r="K286" s="260"/>
      <c r="L286" s="261"/>
      <c r="M286" s="261"/>
      <c r="N286" s="261"/>
    </row>
    <row r="287" spans="1:14" s="45" customFormat="1" ht="15.75" hidden="1" thickTop="1">
      <c r="A287" s="311" t="s">
        <v>188</v>
      </c>
      <c r="B287" s="297"/>
      <c r="C287" s="314" t="s">
        <v>96</v>
      </c>
      <c r="D287" s="315"/>
      <c r="E287" s="316"/>
      <c r="F287" s="317"/>
      <c r="G287" s="318"/>
      <c r="H287" s="319"/>
      <c r="I287" s="310"/>
      <c r="J287" s="267"/>
      <c r="K287" s="260"/>
      <c r="L287" s="261"/>
      <c r="M287" s="261"/>
      <c r="N287" s="261"/>
    </row>
    <row r="288" spans="1:14" s="45" customFormat="1" ht="15.75" hidden="1" thickTop="1">
      <c r="A288" s="271" t="s">
        <v>99</v>
      </c>
      <c r="B288" s="297"/>
      <c r="C288" s="320" t="s">
        <v>100</v>
      </c>
      <c r="D288" s="321"/>
      <c r="E288" s="322"/>
      <c r="F288" s="323">
        <v>0.185</v>
      </c>
      <c r="G288" s="324"/>
      <c r="H288" s="325">
        <v>121367.22</v>
      </c>
      <c r="I288" s="310"/>
      <c r="J288" s="267"/>
      <c r="K288" s="260"/>
      <c r="L288" s="261"/>
      <c r="M288" s="261"/>
      <c r="N288" s="261"/>
    </row>
    <row r="289" spans="1:14" s="45" customFormat="1" ht="15.75" hidden="1" thickTop="1">
      <c r="A289" s="271" t="s">
        <v>189</v>
      </c>
      <c r="B289" s="297"/>
      <c r="C289" s="320" t="s">
        <v>102</v>
      </c>
      <c r="D289" s="321"/>
      <c r="E289" s="322"/>
      <c r="F289" s="323">
        <v>0.05</v>
      </c>
      <c r="G289" s="324"/>
      <c r="H289" s="325">
        <v>32801.949999999997</v>
      </c>
      <c r="I289" s="310"/>
      <c r="J289" s="267"/>
      <c r="K289" s="260"/>
      <c r="L289" s="261"/>
      <c r="M289" s="261"/>
      <c r="N289" s="261"/>
    </row>
    <row r="290" spans="1:14" s="45" customFormat="1" ht="15.75" hidden="1" thickTop="1">
      <c r="A290" s="271" t="s">
        <v>103</v>
      </c>
      <c r="B290" s="297"/>
      <c r="C290" s="320" t="s">
        <v>104</v>
      </c>
      <c r="D290" s="321"/>
      <c r="E290" s="322"/>
      <c r="F290" s="323">
        <v>0.08</v>
      </c>
      <c r="G290" s="324"/>
      <c r="H290" s="325">
        <v>52483.12</v>
      </c>
      <c r="I290" s="310"/>
      <c r="J290" s="267"/>
      <c r="K290" s="260"/>
      <c r="L290" s="261"/>
      <c r="M290" s="261"/>
      <c r="N290" s="261"/>
    </row>
    <row r="291" spans="1:14" s="45" customFormat="1" ht="15.75" hidden="1" thickTop="1">
      <c r="A291" s="271" t="s">
        <v>106</v>
      </c>
      <c r="B291" s="297"/>
      <c r="C291" s="320" t="s">
        <v>107</v>
      </c>
      <c r="D291" s="321"/>
      <c r="E291" s="322"/>
      <c r="F291" s="323">
        <v>0.16</v>
      </c>
      <c r="G291" s="324"/>
      <c r="H291" s="325">
        <v>8397.2999999999993</v>
      </c>
      <c r="I291" s="310"/>
      <c r="J291" s="267"/>
      <c r="K291" s="260"/>
      <c r="L291" s="261"/>
      <c r="M291" s="261"/>
      <c r="N291" s="261"/>
    </row>
    <row r="292" spans="1:14" s="45" customFormat="1" ht="15.75" hidden="1" thickTop="1">
      <c r="A292" s="311" t="s">
        <v>190</v>
      </c>
      <c r="B292" s="297"/>
      <c r="C292" s="285" t="s">
        <v>191</v>
      </c>
      <c r="D292" s="279"/>
      <c r="E292" s="280"/>
      <c r="F292" s="309"/>
      <c r="G292" s="326"/>
      <c r="H292" s="327">
        <v>215049.58999999997</v>
      </c>
      <c r="I292" s="328">
        <v>-272579</v>
      </c>
      <c r="J292" s="267"/>
      <c r="K292" s="260"/>
      <c r="L292" s="261"/>
      <c r="M292" s="261"/>
      <c r="N292" s="261"/>
    </row>
    <row r="293" spans="1:14" s="45" customFormat="1" ht="16.5" hidden="1" thickTop="1" thickBot="1">
      <c r="A293" s="311" t="s">
        <v>192</v>
      </c>
      <c r="B293" s="297"/>
      <c r="C293" s="329"/>
      <c r="D293" s="330"/>
      <c r="E293" s="331"/>
      <c r="F293" s="313" t="s">
        <v>193</v>
      </c>
      <c r="G293" s="332">
        <v>871088.59</v>
      </c>
      <c r="H293" s="304">
        <v>871089</v>
      </c>
      <c r="I293" s="305">
        <v>598510</v>
      </c>
      <c r="J293" s="267"/>
      <c r="K293" s="260"/>
      <c r="L293" s="261"/>
      <c r="M293" s="261"/>
      <c r="N293" s="261"/>
    </row>
    <row r="294" spans="1:14" s="45" customFormat="1" ht="15.75" thickTop="1">
      <c r="A294"/>
      <c r="B294"/>
      <c r="C294" s="19"/>
      <c r="D294" s="306"/>
      <c r="E294" s="19"/>
      <c r="F294" s="19"/>
      <c r="G294" s="19"/>
      <c r="H294" s="19"/>
      <c r="I294" s="260"/>
      <c r="J294" s="260"/>
      <c r="K294" s="260"/>
      <c r="L294" s="261"/>
      <c r="M294" s="261"/>
      <c r="N294" s="261"/>
    </row>
    <row r="295" spans="1:14" s="45" customFormat="1" ht="15.75" thickBot="1">
      <c r="A295"/>
      <c r="B295"/>
      <c r="C295" s="19"/>
      <c r="D295" s="306"/>
      <c r="E295" s="19"/>
      <c r="F295" s="19"/>
      <c r="G295" s="19"/>
      <c r="H295" s="19"/>
      <c r="I295" s="260"/>
      <c r="J295" s="260"/>
      <c r="K295" s="260"/>
      <c r="L295" s="261"/>
      <c r="M295" s="261"/>
      <c r="N295" s="261"/>
    </row>
    <row r="296" spans="1:14" s="45" customFormat="1" ht="12.95" customHeight="1" thickTop="1">
      <c r="A296" s="262" t="s">
        <v>233</v>
      </c>
      <c r="B296" s="263"/>
      <c r="C296" s="1651" t="s">
        <v>60</v>
      </c>
      <c r="D296" s="1652"/>
      <c r="E296" s="1652"/>
      <c r="F296" s="1652"/>
      <c r="G296" s="264"/>
      <c r="H296" s="265" t="s">
        <v>234</v>
      </c>
      <c r="I296" s="266" t="s">
        <v>126</v>
      </c>
      <c r="J296" s="267"/>
      <c r="K296" s="260"/>
      <c r="L296" s="261"/>
      <c r="M296" s="261"/>
      <c r="N296" s="261"/>
    </row>
    <row r="297" spans="1:14" s="45" customFormat="1" ht="12.95" customHeight="1">
      <c r="A297" s="262"/>
      <c r="B297" s="263"/>
      <c r="C297" s="1653"/>
      <c r="D297" s="1654"/>
      <c r="E297" s="1654"/>
      <c r="F297" s="1654"/>
      <c r="G297" s="268"/>
      <c r="H297" s="269" t="s">
        <v>179</v>
      </c>
      <c r="I297" s="270">
        <v>3950</v>
      </c>
      <c r="J297" s="267"/>
      <c r="K297" s="260"/>
      <c r="L297" s="261"/>
      <c r="M297" s="261"/>
      <c r="N297" s="261"/>
    </row>
    <row r="298" spans="1:14" s="45" customFormat="1">
      <c r="A298" s="271" t="s">
        <v>128</v>
      </c>
      <c r="B298" s="263"/>
      <c r="C298" s="272" t="s">
        <v>21</v>
      </c>
      <c r="D298" s="273" t="s">
        <v>22</v>
      </c>
      <c r="E298" s="274" t="s">
        <v>23</v>
      </c>
      <c r="F298" s="307" t="s">
        <v>129</v>
      </c>
      <c r="G298" s="275" t="s">
        <v>130</v>
      </c>
      <c r="H298" s="276" t="s">
        <v>131</v>
      </c>
      <c r="I298" s="308"/>
      <c r="J298" s="267"/>
      <c r="K298" s="260"/>
      <c r="L298" s="261"/>
      <c r="M298" s="261"/>
      <c r="N298" s="261"/>
    </row>
    <row r="299" spans="1:14" s="45" customFormat="1">
      <c r="A299" s="271"/>
      <c r="B299" s="263"/>
      <c r="C299" s="278"/>
      <c r="D299" s="279"/>
      <c r="E299" s="280"/>
      <c r="F299" s="309"/>
      <c r="G299" s="281"/>
      <c r="H299" s="282"/>
      <c r="I299" s="310"/>
      <c r="J299" s="267"/>
      <c r="K299" s="260"/>
      <c r="L299" s="261"/>
      <c r="M299" s="261"/>
      <c r="N299" s="261"/>
    </row>
    <row r="300" spans="1:14" s="45" customFormat="1">
      <c r="A300" s="271" t="s">
        <v>132</v>
      </c>
      <c r="B300" s="263"/>
      <c r="C300" s="285" t="s">
        <v>133</v>
      </c>
      <c r="D300" s="279"/>
      <c r="E300" s="280"/>
      <c r="F300" s="309"/>
      <c r="G300" s="281"/>
      <c r="H300" s="282"/>
      <c r="I300" s="310"/>
      <c r="J300" s="267"/>
      <c r="K300" s="260"/>
      <c r="L300" s="261"/>
      <c r="M300" s="261"/>
      <c r="N300" s="261"/>
    </row>
    <row r="301" spans="1:14" s="45" customFormat="1">
      <c r="A301" s="271">
        <v>100076</v>
      </c>
      <c r="B301" s="263" t="s">
        <v>181</v>
      </c>
      <c r="C301" s="272" t="s">
        <v>235</v>
      </c>
      <c r="D301" s="273" t="s">
        <v>142</v>
      </c>
      <c r="E301" s="274">
        <v>0.03</v>
      </c>
      <c r="F301" s="307">
        <v>0.03</v>
      </c>
      <c r="G301" s="275">
        <v>3000</v>
      </c>
      <c r="H301" s="276">
        <v>90.02</v>
      </c>
      <c r="I301" s="308">
        <v>118.53554999999999</v>
      </c>
      <c r="J301" s="267"/>
      <c r="K301" s="260"/>
      <c r="L301" s="261"/>
      <c r="M301" s="261"/>
      <c r="N301" s="261"/>
    </row>
    <row r="302" spans="1:14" s="45" customFormat="1">
      <c r="A302" s="271">
        <v>101605</v>
      </c>
      <c r="B302" s="263" t="s">
        <v>236</v>
      </c>
      <c r="C302" s="272" t="s">
        <v>237</v>
      </c>
      <c r="D302" s="273" t="s">
        <v>22</v>
      </c>
      <c r="E302" s="274">
        <v>0.03</v>
      </c>
      <c r="F302" s="307">
        <v>0.03</v>
      </c>
      <c r="G302" s="275">
        <v>2552</v>
      </c>
      <c r="H302" s="276">
        <v>76.58</v>
      </c>
      <c r="I302" s="308">
        <v>118.53554999999999</v>
      </c>
      <c r="J302" s="267"/>
      <c r="K302" s="260"/>
      <c r="L302" s="261"/>
      <c r="M302" s="261"/>
      <c r="N302" s="261"/>
    </row>
    <row r="303" spans="1:14" s="45" customFormat="1">
      <c r="A303" s="271">
        <v>101007</v>
      </c>
      <c r="B303" s="263" t="s">
        <v>181</v>
      </c>
      <c r="C303" s="272" t="s">
        <v>238</v>
      </c>
      <c r="D303" s="273" t="s">
        <v>142</v>
      </c>
      <c r="E303" s="274">
        <v>1.03</v>
      </c>
      <c r="F303" s="307">
        <v>0</v>
      </c>
      <c r="G303" s="275">
        <v>3000</v>
      </c>
      <c r="H303" s="276">
        <f>+G303*E303</f>
        <v>3090</v>
      </c>
      <c r="I303" s="308">
        <v>4068.5</v>
      </c>
      <c r="J303" s="267"/>
      <c r="K303" s="260"/>
      <c r="L303" s="261"/>
      <c r="M303" s="261"/>
      <c r="N303" s="261"/>
    </row>
    <row r="304" spans="1:14" s="45" customFormat="1">
      <c r="A304" s="311" t="s">
        <v>143</v>
      </c>
      <c r="B304" s="263"/>
      <c r="C304" s="278"/>
      <c r="D304" s="279"/>
      <c r="E304" s="280"/>
      <c r="F304" s="309"/>
      <c r="G304" s="281" t="s">
        <v>144</v>
      </c>
      <c r="H304" s="287">
        <f>+H303+H302+H301</f>
        <v>3256.6</v>
      </c>
      <c r="I304" s="310"/>
      <c r="J304" s="267"/>
      <c r="K304" s="260"/>
      <c r="L304" s="261"/>
      <c r="M304" s="261"/>
      <c r="N304" s="261"/>
    </row>
    <row r="305" spans="1:14" s="45" customFormat="1" ht="27" customHeight="1">
      <c r="A305" s="271" t="s">
        <v>145</v>
      </c>
      <c r="B305" s="263"/>
      <c r="C305" s="288" t="s">
        <v>146</v>
      </c>
      <c r="D305" s="279" t="s">
        <v>147</v>
      </c>
      <c r="E305" s="279" t="s">
        <v>148</v>
      </c>
      <c r="F305" s="312" t="s">
        <v>149</v>
      </c>
      <c r="G305" s="289" t="s">
        <v>150</v>
      </c>
      <c r="H305" s="290" t="s">
        <v>151</v>
      </c>
      <c r="I305" s="310"/>
      <c r="J305" s="267"/>
      <c r="K305" s="260"/>
      <c r="L305" s="261"/>
      <c r="M305" s="261"/>
      <c r="N305" s="261"/>
    </row>
    <row r="306" spans="1:14" s="45" customFormat="1">
      <c r="A306" s="271">
        <v>200006</v>
      </c>
      <c r="B306" s="263" t="s">
        <v>146</v>
      </c>
      <c r="C306" s="272" t="s">
        <v>239</v>
      </c>
      <c r="D306" s="291">
        <v>26759</v>
      </c>
      <c r="E306" s="292">
        <v>1.85</v>
      </c>
      <c r="F306" s="293">
        <v>49504</v>
      </c>
      <c r="G306" s="294">
        <v>205.13</v>
      </c>
      <c r="H306" s="276">
        <v>241.32900000000001</v>
      </c>
      <c r="I306" s="308">
        <v>19.256081509286794</v>
      </c>
      <c r="J306" s="267"/>
      <c r="K306" s="260"/>
      <c r="L306" s="261"/>
      <c r="M306" s="261"/>
      <c r="N306" s="261"/>
    </row>
    <row r="307" spans="1:14" s="45" customFormat="1">
      <c r="A307" s="311" t="s">
        <v>153</v>
      </c>
      <c r="B307" s="263"/>
      <c r="C307" s="278"/>
      <c r="D307" s="279"/>
      <c r="E307" s="280"/>
      <c r="F307" s="309"/>
      <c r="G307" s="281" t="s">
        <v>154</v>
      </c>
      <c r="H307" s="287">
        <v>241.32900000000001</v>
      </c>
      <c r="I307" s="310"/>
      <c r="J307" s="267"/>
      <c r="K307" s="260"/>
      <c r="L307" s="261"/>
      <c r="M307" s="261"/>
      <c r="N307" s="261"/>
    </row>
    <row r="308" spans="1:14" s="45" customFormat="1">
      <c r="A308" s="311"/>
      <c r="B308" s="297"/>
      <c r="C308" s="278"/>
      <c r="D308" s="279"/>
      <c r="E308" s="280"/>
      <c r="F308" s="309"/>
      <c r="G308" s="281"/>
      <c r="H308" s="282"/>
      <c r="I308" s="310"/>
      <c r="J308" s="267"/>
      <c r="K308" s="260"/>
      <c r="L308" s="261"/>
      <c r="M308" s="261"/>
      <c r="N308" s="261"/>
    </row>
    <row r="309" spans="1:14" s="45" customFormat="1" ht="15.75" thickBot="1">
      <c r="A309" s="311" t="s">
        <v>26</v>
      </c>
      <c r="B309" s="297"/>
      <c r="C309" s="299"/>
      <c r="D309" s="300"/>
      <c r="E309" s="301"/>
      <c r="F309" s="313" t="s">
        <v>161</v>
      </c>
      <c r="G309" s="303"/>
      <c r="H309" s="583">
        <f>+H307+H304</f>
        <v>3497.9290000000001</v>
      </c>
      <c r="I309" s="305"/>
      <c r="J309" s="267"/>
      <c r="K309" s="260"/>
      <c r="L309" s="261"/>
      <c r="M309" s="261"/>
      <c r="N309" s="261"/>
    </row>
    <row r="310" spans="1:14" s="45" customFormat="1" ht="15.75" hidden="1" thickTop="1">
      <c r="A310" s="311" t="s">
        <v>188</v>
      </c>
      <c r="B310" s="297"/>
      <c r="C310" s="314" t="s">
        <v>96</v>
      </c>
      <c r="D310" s="315"/>
      <c r="E310" s="316"/>
      <c r="F310" s="317"/>
      <c r="G310" s="318"/>
      <c r="H310" s="319"/>
      <c r="I310" s="310"/>
      <c r="J310" s="267"/>
      <c r="K310" s="260"/>
      <c r="L310" s="261"/>
      <c r="M310" s="261"/>
      <c r="N310" s="261"/>
    </row>
    <row r="311" spans="1:14" s="45" customFormat="1" ht="15.75" hidden="1" thickTop="1">
      <c r="A311" s="271" t="s">
        <v>99</v>
      </c>
      <c r="B311" s="297"/>
      <c r="C311" s="320" t="s">
        <v>100</v>
      </c>
      <c r="D311" s="321"/>
      <c r="E311" s="322"/>
      <c r="F311" s="323">
        <v>0.185</v>
      </c>
      <c r="G311" s="324"/>
      <c r="H311" s="325">
        <v>519.48</v>
      </c>
      <c r="I311" s="310"/>
      <c r="J311" s="267"/>
      <c r="K311" s="260"/>
      <c r="L311" s="261"/>
      <c r="M311" s="261"/>
      <c r="N311" s="261"/>
    </row>
    <row r="312" spans="1:14" s="45" customFormat="1" ht="15.75" hidden="1" thickTop="1">
      <c r="A312" s="271" t="s">
        <v>189</v>
      </c>
      <c r="B312" s="297"/>
      <c r="C312" s="320" t="s">
        <v>102</v>
      </c>
      <c r="D312" s="321"/>
      <c r="E312" s="322"/>
      <c r="F312" s="323">
        <v>0.05</v>
      </c>
      <c r="G312" s="324"/>
      <c r="H312" s="325">
        <v>140.4</v>
      </c>
      <c r="I312" s="310"/>
      <c r="J312" s="267"/>
      <c r="K312" s="260"/>
      <c r="L312" s="261"/>
      <c r="M312" s="261"/>
      <c r="N312" s="261"/>
    </row>
    <row r="313" spans="1:14" s="45" customFormat="1" ht="15.75" hidden="1" thickTop="1">
      <c r="A313" s="271" t="s">
        <v>103</v>
      </c>
      <c r="B313" s="297"/>
      <c r="C313" s="320" t="s">
        <v>104</v>
      </c>
      <c r="D313" s="321"/>
      <c r="E313" s="322"/>
      <c r="F313" s="323">
        <v>0.08</v>
      </c>
      <c r="G313" s="324"/>
      <c r="H313" s="325">
        <v>224.64</v>
      </c>
      <c r="I313" s="310"/>
      <c r="J313" s="267"/>
      <c r="K313" s="260"/>
      <c r="L313" s="261"/>
      <c r="M313" s="261"/>
      <c r="N313" s="261"/>
    </row>
    <row r="314" spans="1:14" s="45" customFormat="1" ht="15.75" hidden="1" thickTop="1">
      <c r="A314" s="271" t="s">
        <v>106</v>
      </c>
      <c r="B314" s="297"/>
      <c r="C314" s="320" t="s">
        <v>107</v>
      </c>
      <c r="D314" s="321"/>
      <c r="E314" s="322"/>
      <c r="F314" s="323">
        <v>0.16</v>
      </c>
      <c r="G314" s="324"/>
      <c r="H314" s="325">
        <v>35.94</v>
      </c>
      <c r="I314" s="310"/>
      <c r="J314" s="267"/>
      <c r="K314" s="260"/>
      <c r="L314" s="261"/>
      <c r="M314" s="261"/>
      <c r="N314" s="261"/>
    </row>
    <row r="315" spans="1:14" s="45" customFormat="1" ht="15.75" hidden="1" thickTop="1">
      <c r="A315" s="311" t="s">
        <v>190</v>
      </c>
      <c r="B315" s="297"/>
      <c r="C315" s="285" t="s">
        <v>191</v>
      </c>
      <c r="D315" s="279"/>
      <c r="E315" s="280"/>
      <c r="F315" s="309"/>
      <c r="G315" s="326"/>
      <c r="H315" s="327">
        <v>920.46</v>
      </c>
      <c r="I315" s="328">
        <v>-608</v>
      </c>
      <c r="J315" s="267"/>
      <c r="K315" s="260"/>
      <c r="L315" s="261"/>
      <c r="M315" s="261"/>
      <c r="N315" s="261"/>
    </row>
    <row r="316" spans="1:14" s="45" customFormat="1" ht="16.5" hidden="1" thickTop="1" thickBot="1">
      <c r="A316" s="311" t="s">
        <v>192</v>
      </c>
      <c r="B316" s="297"/>
      <c r="C316" s="329"/>
      <c r="D316" s="330"/>
      <c r="E316" s="331"/>
      <c r="F316" s="313" t="s">
        <v>193</v>
      </c>
      <c r="G316" s="332">
        <v>3728.46</v>
      </c>
      <c r="H316" s="304">
        <v>3728</v>
      </c>
      <c r="I316" s="305">
        <v>3120</v>
      </c>
      <c r="J316" s="267"/>
      <c r="K316" s="260"/>
      <c r="L316" s="261"/>
      <c r="M316" s="261"/>
      <c r="N316" s="261"/>
    </row>
    <row r="317" spans="1:14" s="45" customFormat="1" ht="15.75" thickTop="1">
      <c r="A317"/>
      <c r="B317"/>
      <c r="C317" s="19"/>
      <c r="D317" s="306"/>
      <c r="E317" s="19"/>
      <c r="F317" s="19"/>
      <c r="G317" s="19"/>
      <c r="H317" s="19"/>
      <c r="I317" s="260"/>
      <c r="J317" s="260"/>
      <c r="K317" s="260"/>
      <c r="L317" s="261"/>
      <c r="M317" s="261"/>
      <c r="N317" s="261"/>
    </row>
    <row r="318" spans="1:14" s="45" customFormat="1" ht="15.75" thickBot="1">
      <c r="A318"/>
      <c r="B318"/>
      <c r="C318" s="19"/>
      <c r="D318" s="306"/>
      <c r="E318" s="19"/>
      <c r="F318" s="19"/>
      <c r="G318" s="19"/>
      <c r="H318" s="19"/>
      <c r="I318" s="260"/>
      <c r="J318" s="260"/>
      <c r="K318" s="260"/>
      <c r="L318" s="261"/>
      <c r="M318" s="261"/>
      <c r="N318" s="261"/>
    </row>
    <row r="319" spans="1:14" s="45" customFormat="1" ht="12.95" customHeight="1" thickTop="1">
      <c r="A319" s="262" t="s">
        <v>240</v>
      </c>
      <c r="B319" s="263"/>
      <c r="C319" s="1651" t="s">
        <v>62</v>
      </c>
      <c r="D319" s="1652"/>
      <c r="E319" s="1652"/>
      <c r="F319" s="1652"/>
      <c r="G319" s="264"/>
      <c r="H319" s="265" t="s">
        <v>234</v>
      </c>
      <c r="I319" s="266" t="s">
        <v>126</v>
      </c>
      <c r="J319" s="267"/>
      <c r="K319" s="260"/>
      <c r="L319" s="261"/>
      <c r="M319" s="261"/>
      <c r="N319" s="261"/>
    </row>
    <row r="320" spans="1:14" s="45" customFormat="1" ht="12.95" customHeight="1">
      <c r="A320" s="262"/>
      <c r="B320" s="263"/>
      <c r="C320" s="1653"/>
      <c r="D320" s="1654"/>
      <c r="E320" s="1654"/>
      <c r="F320" s="1654"/>
      <c r="G320" s="268"/>
      <c r="H320" s="269" t="s">
        <v>179</v>
      </c>
      <c r="I320" s="270">
        <v>2360</v>
      </c>
      <c r="J320" s="267"/>
      <c r="K320" s="260"/>
      <c r="L320" s="261"/>
      <c r="M320" s="261"/>
      <c r="N320" s="261"/>
    </row>
    <row r="321" spans="1:14" s="45" customFormat="1">
      <c r="A321" s="271" t="s">
        <v>128</v>
      </c>
      <c r="B321" s="263"/>
      <c r="C321" s="272" t="s">
        <v>21</v>
      </c>
      <c r="D321" s="273" t="s">
        <v>22</v>
      </c>
      <c r="E321" s="274" t="s">
        <v>23</v>
      </c>
      <c r="F321" s="307" t="s">
        <v>129</v>
      </c>
      <c r="G321" s="275" t="s">
        <v>130</v>
      </c>
      <c r="H321" s="276" t="s">
        <v>131</v>
      </c>
      <c r="I321" s="308"/>
      <c r="J321" s="267"/>
      <c r="K321" s="260"/>
      <c r="L321" s="261"/>
      <c r="M321" s="261"/>
      <c r="N321" s="261"/>
    </row>
    <row r="322" spans="1:14" s="45" customFormat="1">
      <c r="A322" s="271"/>
      <c r="B322" s="263"/>
      <c r="C322" s="278"/>
      <c r="D322" s="279"/>
      <c r="E322" s="280"/>
      <c r="F322" s="309"/>
      <c r="G322" s="281"/>
      <c r="H322" s="282"/>
      <c r="I322" s="310"/>
      <c r="J322" s="267"/>
      <c r="K322" s="260"/>
      <c r="L322" s="261"/>
      <c r="M322" s="261"/>
      <c r="N322" s="261"/>
    </row>
    <row r="323" spans="1:14" s="45" customFormat="1">
      <c r="A323" s="271" t="s">
        <v>132</v>
      </c>
      <c r="B323" s="263"/>
      <c r="C323" s="285" t="s">
        <v>133</v>
      </c>
      <c r="D323" s="279"/>
      <c r="E323" s="280"/>
      <c r="F323" s="309"/>
      <c r="G323" s="281"/>
      <c r="H323" s="282"/>
      <c r="I323" s="310"/>
      <c r="J323" s="267"/>
      <c r="K323" s="260"/>
      <c r="L323" s="261"/>
      <c r="M323" s="261"/>
      <c r="N323" s="261"/>
    </row>
    <row r="324" spans="1:14" s="45" customFormat="1">
      <c r="A324" s="271">
        <v>100076</v>
      </c>
      <c r="B324" s="263" t="s">
        <v>181</v>
      </c>
      <c r="C324" s="272" t="s">
        <v>235</v>
      </c>
      <c r="D324" s="273" t="s">
        <v>142</v>
      </c>
      <c r="E324" s="274">
        <v>0.03</v>
      </c>
      <c r="F324" s="307">
        <v>0.03</v>
      </c>
      <c r="G324" s="275">
        <v>3000</v>
      </c>
      <c r="H324" s="276">
        <v>90.02</v>
      </c>
      <c r="I324" s="308">
        <v>70.821239999999989</v>
      </c>
      <c r="J324" s="267"/>
      <c r="K324" s="260"/>
      <c r="L324" s="261"/>
      <c r="M324" s="261"/>
      <c r="N324" s="261"/>
    </row>
    <row r="325" spans="1:14" s="45" customFormat="1">
      <c r="A325" s="271">
        <v>101605</v>
      </c>
      <c r="B325" s="263" t="s">
        <v>236</v>
      </c>
      <c r="C325" s="272" t="s">
        <v>237</v>
      </c>
      <c r="D325" s="273" t="s">
        <v>22</v>
      </c>
      <c r="E325" s="274">
        <v>0.03</v>
      </c>
      <c r="F325" s="307">
        <v>0.03</v>
      </c>
      <c r="G325" s="275">
        <v>2552</v>
      </c>
      <c r="H325" s="276">
        <v>76.58</v>
      </c>
      <c r="I325" s="308">
        <v>70.821239999999989</v>
      </c>
      <c r="J325" s="267"/>
      <c r="K325" s="260"/>
      <c r="L325" s="261"/>
      <c r="M325" s="261"/>
      <c r="N325" s="261"/>
    </row>
    <row r="326" spans="1:14" s="45" customFormat="1">
      <c r="A326" s="271">
        <v>101008</v>
      </c>
      <c r="B326" s="263" t="s">
        <v>181</v>
      </c>
      <c r="C326" s="272" t="s">
        <v>241</v>
      </c>
      <c r="D326" s="273" t="s">
        <v>142</v>
      </c>
      <c r="E326" s="274">
        <v>1.03</v>
      </c>
      <c r="F326" s="307">
        <v>0</v>
      </c>
      <c r="G326" s="275">
        <v>3000</v>
      </c>
      <c r="H326" s="276">
        <f>+G326*E326</f>
        <v>3090</v>
      </c>
      <c r="I326" s="308">
        <v>2430.8000000000002</v>
      </c>
      <c r="J326" s="267"/>
      <c r="K326" s="260"/>
      <c r="L326" s="261"/>
      <c r="M326" s="261"/>
      <c r="N326" s="261"/>
    </row>
    <row r="327" spans="1:14" s="45" customFormat="1">
      <c r="A327" s="311" t="s">
        <v>143</v>
      </c>
      <c r="B327" s="263"/>
      <c r="C327" s="278"/>
      <c r="D327" s="279"/>
      <c r="E327" s="280"/>
      <c r="F327" s="309"/>
      <c r="G327" s="281" t="s">
        <v>144</v>
      </c>
      <c r="H327" s="287">
        <f>+H326+H325+H324</f>
        <v>3256.6</v>
      </c>
      <c r="I327" s="310"/>
      <c r="J327" s="267"/>
      <c r="K327" s="260"/>
      <c r="L327" s="261"/>
      <c r="M327" s="261"/>
      <c r="N327" s="261"/>
    </row>
    <row r="328" spans="1:14" s="45" customFormat="1" ht="27" customHeight="1">
      <c r="A328" s="271" t="s">
        <v>145</v>
      </c>
      <c r="B328" s="263"/>
      <c r="C328" s="288" t="s">
        <v>146</v>
      </c>
      <c r="D328" s="279" t="s">
        <v>147</v>
      </c>
      <c r="E328" s="279" t="s">
        <v>148</v>
      </c>
      <c r="F328" s="312" t="s">
        <v>149</v>
      </c>
      <c r="G328" s="289" t="s">
        <v>150</v>
      </c>
      <c r="H328" s="290" t="s">
        <v>151</v>
      </c>
      <c r="I328" s="310"/>
      <c r="J328" s="267"/>
      <c r="K328" s="260"/>
      <c r="L328" s="261"/>
      <c r="M328" s="261"/>
      <c r="N328" s="261"/>
    </row>
    <row r="329" spans="1:14" s="45" customFormat="1">
      <c r="A329" s="271">
        <v>200006</v>
      </c>
      <c r="B329" s="263" t="s">
        <v>146</v>
      </c>
      <c r="C329" s="272" t="s">
        <v>239</v>
      </c>
      <c r="D329" s="291">
        <v>26759</v>
      </c>
      <c r="E329" s="292">
        <v>1.85</v>
      </c>
      <c r="F329" s="293">
        <v>49504</v>
      </c>
      <c r="G329" s="294">
        <v>205.13</v>
      </c>
      <c r="H329" s="276">
        <v>241.32900000000001</v>
      </c>
      <c r="I329" s="308">
        <v>11.504899332130844</v>
      </c>
      <c r="J329" s="267"/>
      <c r="K329" s="260"/>
      <c r="L329" s="261"/>
      <c r="M329" s="261"/>
      <c r="N329" s="261"/>
    </row>
    <row r="330" spans="1:14" s="45" customFormat="1">
      <c r="A330" s="311" t="s">
        <v>153</v>
      </c>
      <c r="B330" s="263"/>
      <c r="C330" s="278"/>
      <c r="D330" s="279"/>
      <c r="E330" s="280"/>
      <c r="F330" s="309"/>
      <c r="G330" s="281" t="s">
        <v>154</v>
      </c>
      <c r="H330" s="287">
        <v>241.32900000000001</v>
      </c>
      <c r="I330" s="310"/>
      <c r="J330" s="267"/>
      <c r="K330" s="260"/>
      <c r="L330" s="261"/>
      <c r="M330" s="261"/>
      <c r="N330" s="261"/>
    </row>
    <row r="331" spans="1:14" s="45" customFormat="1">
      <c r="A331" s="311"/>
      <c r="B331" s="297"/>
      <c r="C331" s="278"/>
      <c r="D331" s="279"/>
      <c r="E331" s="280"/>
      <c r="F331" s="309"/>
      <c r="G331" s="281"/>
      <c r="H331" s="282"/>
      <c r="I331" s="310"/>
      <c r="J331" s="267"/>
      <c r="K331" s="260"/>
      <c r="L331" s="261"/>
      <c r="M331" s="261"/>
      <c r="N331" s="261"/>
    </row>
    <row r="332" spans="1:14" s="45" customFormat="1" ht="15.75" thickBot="1">
      <c r="A332" s="311" t="s">
        <v>26</v>
      </c>
      <c r="B332" s="297"/>
      <c r="C332" s="299"/>
      <c r="D332" s="300"/>
      <c r="E332" s="301"/>
      <c r="F332" s="313" t="s">
        <v>161</v>
      </c>
      <c r="G332" s="303"/>
      <c r="H332" s="583">
        <f>+H330+H327</f>
        <v>3497.9290000000001</v>
      </c>
      <c r="I332" s="305"/>
      <c r="J332" s="267"/>
      <c r="K332" s="260"/>
      <c r="L332" s="261"/>
      <c r="M332" s="261"/>
      <c r="N332" s="261"/>
    </row>
    <row r="333" spans="1:14" s="45" customFormat="1" ht="15.75" hidden="1" thickTop="1">
      <c r="A333" s="311" t="s">
        <v>188</v>
      </c>
      <c r="B333" s="297"/>
      <c r="C333" s="314" t="s">
        <v>96</v>
      </c>
      <c r="D333" s="315"/>
      <c r="E333" s="316"/>
      <c r="F333" s="317"/>
      <c r="G333" s="318"/>
      <c r="H333" s="319"/>
      <c r="I333" s="310"/>
      <c r="J333" s="267"/>
      <c r="K333" s="260"/>
      <c r="L333" s="261"/>
      <c r="M333" s="261"/>
      <c r="N333" s="261"/>
    </row>
    <row r="334" spans="1:14" s="45" customFormat="1" ht="15.75" hidden="1" thickTop="1">
      <c r="A334" s="271" t="s">
        <v>99</v>
      </c>
      <c r="B334" s="297"/>
      <c r="C334" s="320" t="s">
        <v>100</v>
      </c>
      <c r="D334" s="321"/>
      <c r="E334" s="322"/>
      <c r="F334" s="323">
        <v>0.185</v>
      </c>
      <c r="G334" s="324"/>
      <c r="H334" s="325">
        <v>519.48</v>
      </c>
      <c r="I334" s="310"/>
      <c r="J334" s="267"/>
      <c r="K334" s="260"/>
      <c r="L334" s="261"/>
      <c r="M334" s="261"/>
      <c r="N334" s="261"/>
    </row>
    <row r="335" spans="1:14" s="45" customFormat="1" ht="15.75" hidden="1" thickTop="1">
      <c r="A335" s="271" t="s">
        <v>189</v>
      </c>
      <c r="B335" s="297"/>
      <c r="C335" s="320" t="s">
        <v>102</v>
      </c>
      <c r="D335" s="321"/>
      <c r="E335" s="322"/>
      <c r="F335" s="323">
        <v>0.05</v>
      </c>
      <c r="G335" s="324"/>
      <c r="H335" s="325">
        <v>140.4</v>
      </c>
      <c r="I335" s="310"/>
      <c r="J335" s="267"/>
      <c r="K335" s="260"/>
      <c r="L335" s="261"/>
      <c r="M335" s="261"/>
      <c r="N335" s="261"/>
    </row>
    <row r="336" spans="1:14" s="45" customFormat="1" ht="15.75" hidden="1" thickTop="1">
      <c r="A336" s="271" t="s">
        <v>103</v>
      </c>
      <c r="B336" s="297"/>
      <c r="C336" s="320" t="s">
        <v>104</v>
      </c>
      <c r="D336" s="321"/>
      <c r="E336" s="322"/>
      <c r="F336" s="323">
        <v>0.08</v>
      </c>
      <c r="G336" s="324"/>
      <c r="H336" s="325">
        <v>224.64</v>
      </c>
      <c r="I336" s="310"/>
      <c r="J336" s="267"/>
      <c r="K336" s="260"/>
      <c r="L336" s="261"/>
      <c r="M336" s="261"/>
      <c r="N336" s="261"/>
    </row>
    <row r="337" spans="1:14" s="45" customFormat="1" ht="15.75" hidden="1" thickTop="1">
      <c r="A337" s="271" t="s">
        <v>106</v>
      </c>
      <c r="B337" s="297"/>
      <c r="C337" s="320" t="s">
        <v>107</v>
      </c>
      <c r="D337" s="321"/>
      <c r="E337" s="322"/>
      <c r="F337" s="323">
        <v>0.16</v>
      </c>
      <c r="G337" s="324"/>
      <c r="H337" s="325">
        <v>35.94</v>
      </c>
      <c r="I337" s="310"/>
      <c r="J337" s="267"/>
      <c r="K337" s="260"/>
      <c r="L337" s="261"/>
      <c r="M337" s="261"/>
      <c r="N337" s="261"/>
    </row>
    <row r="338" spans="1:14" s="45" customFormat="1" ht="15.75" hidden="1" thickTop="1">
      <c r="A338" s="311" t="s">
        <v>190</v>
      </c>
      <c r="B338" s="297"/>
      <c r="C338" s="285" t="s">
        <v>191</v>
      </c>
      <c r="D338" s="279"/>
      <c r="E338" s="280"/>
      <c r="F338" s="309"/>
      <c r="G338" s="326"/>
      <c r="H338" s="327">
        <v>920.46</v>
      </c>
      <c r="I338" s="328">
        <v>-608</v>
      </c>
      <c r="J338" s="267"/>
      <c r="K338" s="260"/>
      <c r="L338" s="261"/>
      <c r="M338" s="261"/>
      <c r="N338" s="261"/>
    </row>
    <row r="339" spans="1:14" s="45" customFormat="1" ht="16.5" hidden="1" thickTop="1" thickBot="1">
      <c r="A339" s="311" t="s">
        <v>192</v>
      </c>
      <c r="B339" s="297"/>
      <c r="C339" s="329"/>
      <c r="D339" s="330"/>
      <c r="E339" s="331"/>
      <c r="F339" s="313" t="s">
        <v>193</v>
      </c>
      <c r="G339" s="332">
        <v>3728.46</v>
      </c>
      <c r="H339" s="304">
        <v>3728</v>
      </c>
      <c r="I339" s="305">
        <v>3120</v>
      </c>
      <c r="J339" s="267"/>
      <c r="K339" s="260"/>
      <c r="L339" s="261"/>
      <c r="M339" s="261"/>
      <c r="N339" s="261"/>
    </row>
    <row r="340" spans="1:14" s="45" customFormat="1" ht="15.75" thickTop="1">
      <c r="A340"/>
      <c r="B340"/>
      <c r="C340" s="19"/>
      <c r="D340" s="306"/>
      <c r="E340" s="19"/>
      <c r="F340" s="19"/>
      <c r="G340" s="19"/>
      <c r="H340" s="19"/>
      <c r="I340" s="260"/>
      <c r="J340" s="260"/>
      <c r="K340" s="260"/>
      <c r="L340" s="261"/>
      <c r="M340" s="261"/>
      <c r="N340" s="261"/>
    </row>
    <row r="341" spans="1:14" s="45" customFormat="1" ht="15.75" thickBot="1">
      <c r="A341"/>
      <c r="B341"/>
      <c r="C341" s="19"/>
      <c r="D341" s="306"/>
      <c r="E341" s="19"/>
      <c r="F341" s="19"/>
      <c r="G341" s="19"/>
      <c r="H341" s="19"/>
      <c r="I341" s="260"/>
      <c r="J341" s="260"/>
      <c r="K341" s="260"/>
      <c r="L341" s="261"/>
      <c r="M341" s="261"/>
      <c r="N341" s="261"/>
    </row>
    <row r="342" spans="1:14" s="45" customFormat="1" ht="12.95" customHeight="1" thickTop="1">
      <c r="A342" s="262" t="s">
        <v>242</v>
      </c>
      <c r="B342" s="263"/>
      <c r="C342" s="1651" t="s">
        <v>63</v>
      </c>
      <c r="D342" s="1652"/>
      <c r="E342" s="1652"/>
      <c r="F342" s="1652"/>
      <c r="G342" s="264"/>
      <c r="H342" s="265" t="s">
        <v>201</v>
      </c>
      <c r="I342" s="266" t="s">
        <v>126</v>
      </c>
      <c r="J342" s="267"/>
      <c r="K342" s="260"/>
      <c r="L342" s="261"/>
      <c r="M342" s="261"/>
      <c r="N342" s="261"/>
    </row>
    <row r="343" spans="1:14" s="45" customFormat="1" ht="12.95" customHeight="1">
      <c r="A343" s="262"/>
      <c r="B343" s="263"/>
      <c r="C343" s="1653"/>
      <c r="D343" s="1654"/>
      <c r="E343" s="1654"/>
      <c r="F343" s="1654"/>
      <c r="G343" s="268"/>
      <c r="H343" s="269" t="s">
        <v>179</v>
      </c>
      <c r="I343" s="270">
        <v>2.4</v>
      </c>
      <c r="J343" s="267"/>
      <c r="K343" s="260"/>
      <c r="L343" s="261"/>
      <c r="M343" s="261"/>
      <c r="N343" s="261"/>
    </row>
    <row r="344" spans="1:14" s="45" customFormat="1">
      <c r="A344" s="271" t="s">
        <v>128</v>
      </c>
      <c r="B344" s="263"/>
      <c r="C344" s="272" t="s">
        <v>21</v>
      </c>
      <c r="D344" s="273" t="s">
        <v>22</v>
      </c>
      <c r="E344" s="274" t="s">
        <v>23</v>
      </c>
      <c r="F344" s="307" t="s">
        <v>129</v>
      </c>
      <c r="G344" s="275" t="s">
        <v>130</v>
      </c>
      <c r="H344" s="276" t="s">
        <v>131</v>
      </c>
      <c r="I344" s="308"/>
      <c r="J344" s="267"/>
      <c r="K344" s="260"/>
      <c r="L344" s="261"/>
      <c r="M344" s="261"/>
      <c r="N344" s="261"/>
    </row>
    <row r="345" spans="1:14" s="45" customFormat="1">
      <c r="A345" s="271"/>
      <c r="B345" s="263"/>
      <c r="C345" s="278"/>
      <c r="D345" s="279"/>
      <c r="E345" s="280"/>
      <c r="F345" s="309"/>
      <c r="G345" s="281"/>
      <c r="H345" s="282"/>
      <c r="I345" s="310"/>
      <c r="J345" s="267"/>
      <c r="K345" s="260"/>
      <c r="L345" s="261"/>
      <c r="M345" s="261"/>
      <c r="N345" s="261"/>
    </row>
    <row r="346" spans="1:14" s="45" customFormat="1">
      <c r="A346" s="271" t="s">
        <v>132</v>
      </c>
      <c r="B346" s="263"/>
      <c r="C346" s="285" t="s">
        <v>133</v>
      </c>
      <c r="D346" s="279"/>
      <c r="E346" s="280"/>
      <c r="F346" s="309"/>
      <c r="G346" s="281"/>
      <c r="H346" s="282"/>
      <c r="I346" s="310"/>
      <c r="J346" s="267"/>
      <c r="K346" s="260"/>
      <c r="L346" s="261"/>
      <c r="M346" s="261"/>
      <c r="N346" s="261"/>
    </row>
    <row r="347" spans="1:14" s="45" customFormat="1">
      <c r="A347" s="271">
        <v>100806</v>
      </c>
      <c r="B347" s="263" t="s">
        <v>216</v>
      </c>
      <c r="C347" s="272" t="s">
        <v>217</v>
      </c>
      <c r="D347" s="273" t="s">
        <v>22</v>
      </c>
      <c r="E347" s="274">
        <v>3</v>
      </c>
      <c r="F347" s="307">
        <v>0</v>
      </c>
      <c r="G347" s="275">
        <v>9300</v>
      </c>
      <c r="H347" s="276">
        <v>27900</v>
      </c>
      <c r="I347" s="334">
        <v>7.1999999999999993</v>
      </c>
      <c r="J347" s="267"/>
      <c r="K347" s="260"/>
      <c r="L347" s="261"/>
      <c r="M347" s="261"/>
      <c r="N347" s="261"/>
    </row>
    <row r="348" spans="1:14" s="45" customFormat="1">
      <c r="A348" s="271">
        <v>100977</v>
      </c>
      <c r="B348" s="263" t="s">
        <v>216</v>
      </c>
      <c r="C348" s="272" t="s">
        <v>243</v>
      </c>
      <c r="D348" s="273" t="s">
        <v>22</v>
      </c>
      <c r="E348" s="274">
        <v>8</v>
      </c>
      <c r="F348" s="307">
        <v>0</v>
      </c>
      <c r="G348" s="275">
        <v>2400</v>
      </c>
      <c r="H348" s="276">
        <v>19200</v>
      </c>
      <c r="I348" s="308">
        <v>19.2</v>
      </c>
      <c r="J348" s="267"/>
      <c r="K348" s="260"/>
      <c r="L348" s="261"/>
      <c r="M348" s="261"/>
      <c r="N348" s="261"/>
    </row>
    <row r="349" spans="1:14" s="45" customFormat="1">
      <c r="A349" s="271">
        <v>101509</v>
      </c>
      <c r="B349" s="263" t="s">
        <v>181</v>
      </c>
      <c r="C349" s="272" t="s">
        <v>182</v>
      </c>
      <c r="D349" s="273" t="s">
        <v>183</v>
      </c>
      <c r="E349" s="274">
        <v>3.8</v>
      </c>
      <c r="F349" s="307">
        <v>0</v>
      </c>
      <c r="G349" s="275">
        <v>2000</v>
      </c>
      <c r="H349" s="276">
        <v>7600</v>
      </c>
      <c r="I349" s="308">
        <v>9.1199999999999992</v>
      </c>
      <c r="J349" s="267"/>
      <c r="K349" s="260"/>
      <c r="L349" s="261"/>
      <c r="M349" s="261"/>
      <c r="N349" s="261"/>
    </row>
    <row r="350" spans="1:14" s="45" customFormat="1">
      <c r="A350" s="271">
        <v>101717</v>
      </c>
      <c r="B350" s="263" t="s">
        <v>216</v>
      </c>
      <c r="C350" s="272" t="s">
        <v>219</v>
      </c>
      <c r="D350" s="273" t="s">
        <v>22</v>
      </c>
      <c r="E350" s="274">
        <v>7</v>
      </c>
      <c r="F350" s="307">
        <v>0</v>
      </c>
      <c r="G350" s="275">
        <v>8000</v>
      </c>
      <c r="H350" s="276">
        <v>56000</v>
      </c>
      <c r="I350" s="308">
        <v>16.8</v>
      </c>
      <c r="J350" s="267"/>
      <c r="K350" s="260"/>
      <c r="L350" s="261"/>
      <c r="M350" s="261"/>
      <c r="N350" s="261"/>
    </row>
    <row r="351" spans="1:14" s="45" customFormat="1">
      <c r="A351" s="271">
        <v>102387</v>
      </c>
      <c r="B351" s="263" t="s">
        <v>216</v>
      </c>
      <c r="C351" s="272" t="s">
        <v>225</v>
      </c>
      <c r="D351" s="273" t="s">
        <v>22</v>
      </c>
      <c r="E351" s="274">
        <v>2</v>
      </c>
      <c r="F351" s="307">
        <v>0</v>
      </c>
      <c r="G351" s="275">
        <v>2400</v>
      </c>
      <c r="H351" s="276">
        <v>4800</v>
      </c>
      <c r="I351" s="308">
        <v>4.8</v>
      </c>
      <c r="J351" s="267"/>
      <c r="K351" s="260"/>
      <c r="L351" s="261"/>
      <c r="M351" s="261"/>
      <c r="N351" s="261"/>
    </row>
    <row r="352" spans="1:14" s="45" customFormat="1">
      <c r="A352" s="311" t="s">
        <v>220</v>
      </c>
      <c r="B352" s="263" t="s">
        <v>210</v>
      </c>
      <c r="C352" s="272" t="s">
        <v>221</v>
      </c>
      <c r="D352" s="273" t="s">
        <v>139</v>
      </c>
      <c r="E352" s="274">
        <v>1.05</v>
      </c>
      <c r="F352" s="307">
        <v>0</v>
      </c>
      <c r="G352" s="275">
        <v>236654</v>
      </c>
      <c r="H352" s="276">
        <v>248486.7</v>
      </c>
      <c r="I352" s="308">
        <v>2.52</v>
      </c>
      <c r="J352" s="267"/>
      <c r="K352" s="260"/>
      <c r="L352" s="261"/>
      <c r="M352" s="261"/>
      <c r="N352" s="261"/>
    </row>
    <row r="353" spans="1:14" s="45" customFormat="1">
      <c r="A353" s="311" t="s">
        <v>143</v>
      </c>
      <c r="B353" s="263"/>
      <c r="C353" s="278"/>
      <c r="D353" s="279"/>
      <c r="E353" s="280"/>
      <c r="F353" s="309"/>
      <c r="G353" s="281" t="s">
        <v>144</v>
      </c>
      <c r="H353" s="287">
        <v>363986.7</v>
      </c>
      <c r="I353" s="310"/>
      <c r="J353" s="267"/>
      <c r="K353" s="260"/>
      <c r="L353" s="261"/>
      <c r="M353" s="261"/>
      <c r="N353" s="261"/>
    </row>
    <row r="354" spans="1:14" s="45" customFormat="1" ht="27" customHeight="1">
      <c r="A354" s="271" t="s">
        <v>145</v>
      </c>
      <c r="B354" s="263"/>
      <c r="C354" s="288" t="s">
        <v>146</v>
      </c>
      <c r="D354" s="279" t="s">
        <v>147</v>
      </c>
      <c r="E354" s="279" t="s">
        <v>148</v>
      </c>
      <c r="F354" s="312" t="s">
        <v>149</v>
      </c>
      <c r="G354" s="289" t="s">
        <v>150</v>
      </c>
      <c r="H354" s="290" t="s">
        <v>151</v>
      </c>
      <c r="I354" s="310"/>
      <c r="J354" s="267"/>
      <c r="K354" s="260"/>
      <c r="L354" s="261"/>
      <c r="M354" s="261"/>
      <c r="N354" s="261"/>
    </row>
    <row r="355" spans="1:14" s="45" customFormat="1">
      <c r="A355" s="271">
        <v>200009</v>
      </c>
      <c r="B355" s="263" t="s">
        <v>146</v>
      </c>
      <c r="C355" s="272" t="s">
        <v>186</v>
      </c>
      <c r="D355" s="291">
        <v>98063</v>
      </c>
      <c r="E355" s="292">
        <v>1.85</v>
      </c>
      <c r="F355" s="293">
        <v>181416</v>
      </c>
      <c r="G355" s="294">
        <v>0.72799999999999998</v>
      </c>
      <c r="H355" s="276">
        <v>249197.802</v>
      </c>
      <c r="I355" s="308">
        <v>3.2967032967032965</v>
      </c>
      <c r="J355" s="267"/>
      <c r="K355" s="260"/>
      <c r="L355" s="261"/>
      <c r="M355" s="261"/>
      <c r="N355" s="261"/>
    </row>
    <row r="356" spans="1:14" s="45" customFormat="1">
      <c r="A356" s="311" t="s">
        <v>153</v>
      </c>
      <c r="B356" s="263"/>
      <c r="C356" s="278"/>
      <c r="D356" s="279"/>
      <c r="E356" s="280"/>
      <c r="F356" s="309"/>
      <c r="G356" s="281" t="s">
        <v>154</v>
      </c>
      <c r="H356" s="287">
        <v>249197.802</v>
      </c>
      <c r="I356" s="310"/>
      <c r="J356" s="267"/>
      <c r="K356" s="260"/>
      <c r="L356" s="261"/>
      <c r="M356" s="261"/>
      <c r="N356" s="261"/>
    </row>
    <row r="357" spans="1:14" s="45" customFormat="1">
      <c r="A357" s="271" t="s">
        <v>155</v>
      </c>
      <c r="B357" s="263"/>
      <c r="C357" s="295" t="s">
        <v>156</v>
      </c>
      <c r="D357" s="279"/>
      <c r="E357" s="280"/>
      <c r="F357" s="309"/>
      <c r="G357" s="281"/>
      <c r="H357" s="282"/>
      <c r="I357" s="310"/>
      <c r="J357" s="267"/>
      <c r="K357" s="260"/>
      <c r="L357" s="261"/>
      <c r="M357" s="261"/>
      <c r="N357" s="261"/>
    </row>
    <row r="358" spans="1:14" s="45" customFormat="1">
      <c r="A358" s="271">
        <v>300055</v>
      </c>
      <c r="B358" s="263" t="s">
        <v>156</v>
      </c>
      <c r="C358" s="272" t="s">
        <v>231</v>
      </c>
      <c r="D358" s="273" t="s">
        <v>173</v>
      </c>
      <c r="E358" s="274">
        <v>0.05</v>
      </c>
      <c r="F358" s="307">
        <v>0</v>
      </c>
      <c r="G358" s="275">
        <v>32800</v>
      </c>
      <c r="H358" s="276">
        <v>1640</v>
      </c>
      <c r="I358" s="308">
        <v>0.12</v>
      </c>
      <c r="J358" s="267"/>
      <c r="K358" s="260"/>
      <c r="L358" s="261"/>
      <c r="M358" s="261"/>
      <c r="N358" s="261"/>
    </row>
    <row r="359" spans="1:14" s="45" customFormat="1">
      <c r="A359" s="271">
        <v>307002</v>
      </c>
      <c r="B359" s="263" t="s">
        <v>156</v>
      </c>
      <c r="C359" s="272" t="s">
        <v>222</v>
      </c>
      <c r="D359" s="273" t="s">
        <v>139</v>
      </c>
      <c r="E359" s="274">
        <v>1.5</v>
      </c>
      <c r="F359" s="307">
        <v>0</v>
      </c>
      <c r="G359" s="275">
        <v>7000</v>
      </c>
      <c r="H359" s="276">
        <v>10500</v>
      </c>
      <c r="I359" s="308">
        <v>3.5999999999999996</v>
      </c>
      <c r="J359" s="267"/>
      <c r="K359" s="260"/>
      <c r="L359" s="261"/>
      <c r="M359" s="261"/>
      <c r="N359" s="261"/>
    </row>
    <row r="360" spans="1:14" s="45" customFormat="1">
      <c r="A360" s="271">
        <v>300026</v>
      </c>
      <c r="B360" s="263" t="s">
        <v>156</v>
      </c>
      <c r="C360" s="272" t="s">
        <v>157</v>
      </c>
      <c r="D360" s="273" t="s">
        <v>158</v>
      </c>
      <c r="E360" s="292">
        <v>0.05</v>
      </c>
      <c r="F360" s="307">
        <v>0</v>
      </c>
      <c r="G360" s="275">
        <v>249197.802</v>
      </c>
      <c r="H360" s="276">
        <v>12459.89</v>
      </c>
      <c r="I360" s="308">
        <v>29903.735999999997</v>
      </c>
      <c r="J360" s="267"/>
      <c r="K360" s="260"/>
      <c r="L360" s="261"/>
      <c r="M360" s="261"/>
      <c r="N360" s="261"/>
    </row>
    <row r="361" spans="1:14" s="45" customFormat="1">
      <c r="A361" s="271">
        <v>300002</v>
      </c>
      <c r="B361" s="263" t="s">
        <v>156</v>
      </c>
      <c r="C361" s="272" t="s">
        <v>213</v>
      </c>
      <c r="D361" s="273" t="s">
        <v>214</v>
      </c>
      <c r="E361" s="274">
        <v>4</v>
      </c>
      <c r="F361" s="307">
        <v>0</v>
      </c>
      <c r="G361" s="275">
        <v>714</v>
      </c>
      <c r="H361" s="276">
        <v>2856</v>
      </c>
      <c r="I361" s="308">
        <v>9.6</v>
      </c>
      <c r="J361" s="267"/>
      <c r="K361" s="260"/>
      <c r="L361" s="261"/>
      <c r="M361" s="261"/>
      <c r="N361" s="261"/>
    </row>
    <row r="362" spans="1:14" s="45" customFormat="1">
      <c r="A362" s="311" t="s">
        <v>159</v>
      </c>
      <c r="B362" s="263"/>
      <c r="C362" s="278"/>
      <c r="D362" s="279"/>
      <c r="E362" s="280"/>
      <c r="F362" s="309"/>
      <c r="G362" s="281" t="s">
        <v>160</v>
      </c>
      <c r="H362" s="287">
        <v>27455.89</v>
      </c>
      <c r="I362" s="310"/>
      <c r="J362" s="267"/>
      <c r="K362" s="260"/>
      <c r="L362" s="261"/>
      <c r="M362" s="261"/>
      <c r="N362" s="261"/>
    </row>
    <row r="363" spans="1:14" s="45" customFormat="1">
      <c r="A363" s="311"/>
      <c r="B363" s="297"/>
      <c r="C363" s="278"/>
      <c r="D363" s="279"/>
      <c r="E363" s="280"/>
      <c r="F363" s="309"/>
      <c r="G363" s="281"/>
      <c r="H363" s="282"/>
      <c r="I363" s="310"/>
      <c r="J363" s="267"/>
      <c r="K363" s="260"/>
      <c r="L363" s="261"/>
      <c r="M363" s="261"/>
      <c r="N363" s="261"/>
    </row>
    <row r="364" spans="1:14" s="45" customFormat="1" ht="15.75" thickBot="1">
      <c r="A364" s="311" t="s">
        <v>26</v>
      </c>
      <c r="B364" s="297"/>
      <c r="C364" s="299"/>
      <c r="D364" s="300"/>
      <c r="E364" s="301"/>
      <c r="F364" s="313" t="s">
        <v>161</v>
      </c>
      <c r="G364" s="303">
        <v>640640.39199999988</v>
      </c>
      <c r="H364" s="304">
        <v>640640</v>
      </c>
      <c r="I364" s="305"/>
      <c r="J364" s="267"/>
      <c r="K364" s="260"/>
      <c r="L364" s="261"/>
      <c r="M364" s="261"/>
      <c r="N364" s="261"/>
    </row>
    <row r="365" spans="1:14" s="45" customFormat="1" ht="15.75" hidden="1" thickTop="1">
      <c r="A365" s="311" t="s">
        <v>188</v>
      </c>
      <c r="B365" s="297"/>
      <c r="C365" s="314" t="s">
        <v>96</v>
      </c>
      <c r="D365" s="315"/>
      <c r="E365" s="316"/>
      <c r="F365" s="317"/>
      <c r="G365" s="318"/>
      <c r="H365" s="319"/>
      <c r="I365" s="310"/>
      <c r="J365" s="267"/>
      <c r="K365" s="260"/>
      <c r="L365" s="261"/>
      <c r="M365" s="261"/>
      <c r="N365" s="261"/>
    </row>
    <row r="366" spans="1:14" s="45" customFormat="1" ht="15.75" hidden="1" thickTop="1">
      <c r="A366" s="271" t="s">
        <v>99</v>
      </c>
      <c r="B366" s="297"/>
      <c r="C366" s="320" t="s">
        <v>100</v>
      </c>
      <c r="D366" s="321"/>
      <c r="E366" s="322"/>
      <c r="F366" s="323">
        <v>0.185</v>
      </c>
      <c r="G366" s="324"/>
      <c r="H366" s="325">
        <v>118518.39999999999</v>
      </c>
      <c r="I366" s="310"/>
      <c r="J366" s="267"/>
      <c r="K366" s="260"/>
      <c r="L366" s="261"/>
      <c r="M366" s="261"/>
      <c r="N366" s="261"/>
    </row>
    <row r="367" spans="1:14" s="45" customFormat="1" ht="15.75" hidden="1" thickTop="1">
      <c r="A367" s="271" t="s">
        <v>189</v>
      </c>
      <c r="B367" s="297"/>
      <c r="C367" s="320" t="s">
        <v>102</v>
      </c>
      <c r="D367" s="321"/>
      <c r="E367" s="322"/>
      <c r="F367" s="323">
        <v>0.05</v>
      </c>
      <c r="G367" s="324"/>
      <c r="H367" s="325">
        <v>32032</v>
      </c>
      <c r="I367" s="310"/>
      <c r="J367" s="267"/>
      <c r="K367" s="260"/>
      <c r="L367" s="261"/>
      <c r="M367" s="261"/>
      <c r="N367" s="261"/>
    </row>
    <row r="368" spans="1:14" s="45" customFormat="1" ht="15.75" hidden="1" thickTop="1">
      <c r="A368" s="271" t="s">
        <v>103</v>
      </c>
      <c r="B368" s="297"/>
      <c r="C368" s="320" t="s">
        <v>104</v>
      </c>
      <c r="D368" s="321"/>
      <c r="E368" s="322"/>
      <c r="F368" s="323">
        <v>0.08</v>
      </c>
      <c r="G368" s="324"/>
      <c r="H368" s="325">
        <v>51251.199999999997</v>
      </c>
      <c r="I368" s="310"/>
      <c r="J368" s="267"/>
      <c r="K368" s="260"/>
      <c r="L368" s="261"/>
      <c r="M368" s="261"/>
      <c r="N368" s="261"/>
    </row>
    <row r="369" spans="1:14" s="45" customFormat="1" ht="15.75" hidden="1" thickTop="1">
      <c r="A369" s="271" t="s">
        <v>106</v>
      </c>
      <c r="B369" s="297"/>
      <c r="C369" s="320" t="s">
        <v>107</v>
      </c>
      <c r="D369" s="321"/>
      <c r="E369" s="322"/>
      <c r="F369" s="323">
        <v>0.16</v>
      </c>
      <c r="G369" s="324"/>
      <c r="H369" s="325">
        <v>8200.19</v>
      </c>
      <c r="I369" s="310"/>
      <c r="J369" s="267"/>
      <c r="K369" s="260"/>
      <c r="L369" s="261"/>
      <c r="M369" s="261"/>
      <c r="N369" s="261"/>
    </row>
    <row r="370" spans="1:14" s="45" customFormat="1" ht="15.75" hidden="1" thickTop="1">
      <c r="A370" s="311" t="s">
        <v>190</v>
      </c>
      <c r="B370" s="297"/>
      <c r="C370" s="285" t="s">
        <v>191</v>
      </c>
      <c r="D370" s="279"/>
      <c r="E370" s="280"/>
      <c r="F370" s="309"/>
      <c r="G370" s="326"/>
      <c r="H370" s="327">
        <v>210001.78999999998</v>
      </c>
      <c r="I370" s="328">
        <v>-268732</v>
      </c>
      <c r="J370" s="267"/>
      <c r="K370" s="260"/>
      <c r="L370" s="261"/>
      <c r="M370" s="261"/>
      <c r="N370" s="261"/>
    </row>
    <row r="371" spans="1:14" s="45" customFormat="1" ht="16.5" hidden="1" thickTop="1" thickBot="1">
      <c r="A371" s="311" t="s">
        <v>192</v>
      </c>
      <c r="B371" s="297"/>
      <c r="C371" s="329"/>
      <c r="D371" s="330"/>
      <c r="E371" s="331"/>
      <c r="F371" s="313" t="s">
        <v>193</v>
      </c>
      <c r="G371" s="332">
        <v>850641.79</v>
      </c>
      <c r="H371" s="304">
        <v>850642</v>
      </c>
      <c r="I371" s="305">
        <v>581910</v>
      </c>
      <c r="J371" s="267"/>
      <c r="K371" s="260"/>
      <c r="L371" s="261"/>
      <c r="M371" s="261"/>
      <c r="N371" s="261"/>
    </row>
    <row r="372" spans="1:14" s="45" customFormat="1" ht="15.75" thickTop="1">
      <c r="A372"/>
      <c r="B372"/>
      <c r="C372" s="19"/>
      <c r="D372" s="306"/>
      <c r="E372" s="19"/>
      <c r="F372" s="19"/>
      <c r="G372" s="19"/>
      <c r="H372" s="19"/>
      <c r="I372" s="260"/>
      <c r="J372" s="260"/>
      <c r="K372" s="260"/>
      <c r="L372" s="261"/>
      <c r="M372" s="261"/>
      <c r="N372" s="261"/>
    </row>
    <row r="373" spans="1:14" s="45" customFormat="1" ht="15.75" thickBot="1">
      <c r="A373"/>
      <c r="B373"/>
      <c r="C373" s="19"/>
      <c r="D373" s="306"/>
      <c r="E373" s="19"/>
      <c r="F373" s="19"/>
      <c r="G373" s="19"/>
      <c r="H373" s="19"/>
      <c r="I373" s="260"/>
      <c r="J373" s="260"/>
      <c r="K373" s="260"/>
      <c r="L373" s="261"/>
      <c r="M373" s="261"/>
      <c r="N373" s="261"/>
    </row>
    <row r="374" spans="1:14" s="45" customFormat="1" ht="12.95" customHeight="1" thickTop="1">
      <c r="A374" s="262" t="s">
        <v>244</v>
      </c>
      <c r="B374" s="263"/>
      <c r="C374" s="1651" t="s">
        <v>65</v>
      </c>
      <c r="D374" s="1652"/>
      <c r="E374" s="1652"/>
      <c r="F374" s="1652"/>
      <c r="G374" s="264"/>
      <c r="H374" s="265" t="s">
        <v>205</v>
      </c>
      <c r="I374" s="266" t="s">
        <v>126</v>
      </c>
      <c r="J374" s="267"/>
      <c r="K374" s="260"/>
      <c r="L374" s="261"/>
      <c r="M374" s="261"/>
      <c r="N374" s="261"/>
    </row>
    <row r="375" spans="1:14" s="45" customFormat="1" ht="12.95" customHeight="1">
      <c r="A375" s="262"/>
      <c r="B375" s="263"/>
      <c r="C375" s="1653"/>
      <c r="D375" s="1654"/>
      <c r="E375" s="1654"/>
      <c r="F375" s="1654"/>
      <c r="G375" s="268"/>
      <c r="H375" s="269" t="s">
        <v>179</v>
      </c>
      <c r="I375" s="270">
        <v>260</v>
      </c>
      <c r="J375" s="267"/>
      <c r="K375" s="260"/>
      <c r="L375" s="261"/>
      <c r="M375" s="261"/>
      <c r="N375" s="261"/>
    </row>
    <row r="376" spans="1:14" s="45" customFormat="1">
      <c r="A376" s="271" t="s">
        <v>128</v>
      </c>
      <c r="B376" s="263"/>
      <c r="C376" s="272" t="s">
        <v>21</v>
      </c>
      <c r="D376" s="273" t="s">
        <v>22</v>
      </c>
      <c r="E376" s="274" t="s">
        <v>23</v>
      </c>
      <c r="F376" s="274" t="s">
        <v>129</v>
      </c>
      <c r="G376" s="275" t="s">
        <v>130</v>
      </c>
      <c r="H376" s="276" t="s">
        <v>131</v>
      </c>
      <c r="I376" s="277"/>
      <c r="J376" s="267"/>
      <c r="K376" s="260"/>
      <c r="L376" s="261"/>
      <c r="M376" s="261"/>
      <c r="N376" s="261"/>
    </row>
    <row r="377" spans="1:14" s="45" customFormat="1">
      <c r="A377" s="271"/>
      <c r="B377" s="263"/>
      <c r="C377" s="278"/>
      <c r="D377" s="279"/>
      <c r="E377" s="280"/>
      <c r="F377" s="280"/>
      <c r="G377" s="281"/>
      <c r="H377" s="282"/>
      <c r="I377" s="283"/>
      <c r="J377" s="267"/>
      <c r="K377" s="260"/>
      <c r="L377" s="261"/>
      <c r="M377" s="261"/>
      <c r="N377" s="261"/>
    </row>
    <row r="378" spans="1:14" s="45" customFormat="1">
      <c r="A378" s="284" t="s">
        <v>132</v>
      </c>
      <c r="B378" s="263"/>
      <c r="C378" s="285" t="s">
        <v>133</v>
      </c>
      <c r="D378" s="279"/>
      <c r="E378" s="280"/>
      <c r="F378" s="280"/>
      <c r="G378" s="281"/>
      <c r="H378" s="282"/>
      <c r="I378" s="283"/>
      <c r="J378" s="267"/>
      <c r="K378" s="260"/>
      <c r="L378" s="261"/>
      <c r="M378" s="261"/>
      <c r="N378" s="261"/>
    </row>
    <row r="379" spans="1:14" s="45" customFormat="1">
      <c r="A379" s="284">
        <v>101874</v>
      </c>
      <c r="B379" s="263" t="s">
        <v>64</v>
      </c>
      <c r="C379" s="272" t="s">
        <v>245</v>
      </c>
      <c r="D379" s="273" t="s">
        <v>22</v>
      </c>
      <c r="E379" s="274">
        <v>32</v>
      </c>
      <c r="F379" s="274">
        <v>0</v>
      </c>
      <c r="G379" s="275">
        <v>730</v>
      </c>
      <c r="H379" s="276">
        <v>23360</v>
      </c>
      <c r="I379" s="277">
        <v>8320</v>
      </c>
      <c r="J379" s="267"/>
      <c r="K379" s="260"/>
      <c r="L379" s="261"/>
      <c r="M379" s="261"/>
      <c r="N379" s="261"/>
    </row>
    <row r="380" spans="1:14" s="45" customFormat="1">
      <c r="A380" s="286" t="s">
        <v>143</v>
      </c>
      <c r="B380" s="263"/>
      <c r="C380" s="278"/>
      <c r="D380" s="279"/>
      <c r="E380" s="280"/>
      <c r="F380" s="280"/>
      <c r="G380" s="281" t="s">
        <v>144</v>
      </c>
      <c r="H380" s="287">
        <v>23360</v>
      </c>
      <c r="I380" s="283"/>
      <c r="J380" s="267"/>
      <c r="K380" s="260"/>
      <c r="L380" s="261"/>
      <c r="M380" s="261"/>
      <c r="N380" s="261"/>
    </row>
    <row r="381" spans="1:14" s="45" customFormat="1" ht="27" customHeight="1">
      <c r="A381" s="284" t="s">
        <v>145</v>
      </c>
      <c r="B381" s="263"/>
      <c r="C381" s="288" t="s">
        <v>146</v>
      </c>
      <c r="D381" s="279" t="s">
        <v>147</v>
      </c>
      <c r="E381" s="279" t="s">
        <v>148</v>
      </c>
      <c r="F381" s="279" t="s">
        <v>149</v>
      </c>
      <c r="G381" s="289" t="s">
        <v>150</v>
      </c>
      <c r="H381" s="290" t="s">
        <v>151</v>
      </c>
      <c r="I381" s="283"/>
      <c r="J381" s="267"/>
      <c r="K381" s="260"/>
      <c r="L381" s="261"/>
      <c r="M381" s="261"/>
      <c r="N381" s="261"/>
    </row>
    <row r="382" spans="1:14" s="45" customFormat="1">
      <c r="A382" s="284">
        <v>200007</v>
      </c>
      <c r="B382" s="263" t="s">
        <v>146</v>
      </c>
      <c r="C382" s="272" t="s">
        <v>212</v>
      </c>
      <c r="D382" s="291">
        <v>71304</v>
      </c>
      <c r="E382" s="292">
        <v>1.85</v>
      </c>
      <c r="F382" s="293">
        <v>131912</v>
      </c>
      <c r="G382" s="294">
        <v>32</v>
      </c>
      <c r="H382" s="276">
        <v>4122.25</v>
      </c>
      <c r="I382" s="277">
        <v>8.125</v>
      </c>
      <c r="J382" s="267"/>
      <c r="K382" s="260"/>
      <c r="L382" s="261"/>
      <c r="M382" s="261"/>
      <c r="N382" s="261"/>
    </row>
    <row r="383" spans="1:14" s="45" customFormat="1">
      <c r="A383" s="286" t="s">
        <v>153</v>
      </c>
      <c r="B383" s="263"/>
      <c r="C383" s="278"/>
      <c r="D383" s="279"/>
      <c r="E383" s="280"/>
      <c r="F383" s="280"/>
      <c r="G383" s="281" t="s">
        <v>154</v>
      </c>
      <c r="H383" s="287">
        <v>4122.25</v>
      </c>
      <c r="I383" s="283"/>
      <c r="J383" s="267"/>
      <c r="K383" s="260"/>
      <c r="L383" s="261"/>
      <c r="M383" s="261"/>
      <c r="N383" s="261"/>
    </row>
    <row r="384" spans="1:14" s="45" customFormat="1">
      <c r="A384" s="284" t="s">
        <v>155</v>
      </c>
      <c r="B384" s="263"/>
      <c r="C384" s="295" t="s">
        <v>156</v>
      </c>
      <c r="D384" s="279"/>
      <c r="E384" s="280"/>
      <c r="F384" s="280"/>
      <c r="G384" s="281"/>
      <c r="H384" s="282"/>
      <c r="I384" s="283"/>
      <c r="J384" s="267"/>
      <c r="K384" s="260"/>
      <c r="L384" s="261"/>
      <c r="M384" s="261"/>
      <c r="N384" s="261"/>
    </row>
    <row r="385" spans="1:14" s="45" customFormat="1">
      <c r="A385" s="284">
        <v>300026</v>
      </c>
      <c r="B385" s="263" t="s">
        <v>156</v>
      </c>
      <c r="C385" s="272" t="s">
        <v>157</v>
      </c>
      <c r="D385" s="273" t="s">
        <v>158</v>
      </c>
      <c r="E385" s="292">
        <v>0.05</v>
      </c>
      <c r="F385" s="274">
        <v>0</v>
      </c>
      <c r="G385" s="275">
        <v>4122.25</v>
      </c>
      <c r="H385" s="276">
        <v>206.11</v>
      </c>
      <c r="I385" s="277">
        <v>53588.600000000006</v>
      </c>
      <c r="J385" s="267"/>
      <c r="K385" s="260"/>
      <c r="L385" s="261"/>
      <c r="M385" s="261"/>
      <c r="N385" s="261"/>
    </row>
    <row r="386" spans="1:14" s="45" customFormat="1">
      <c r="A386" s="286" t="s">
        <v>159</v>
      </c>
      <c r="B386" s="263"/>
      <c r="C386" s="278"/>
      <c r="D386" s="279"/>
      <c r="E386" s="280"/>
      <c r="F386" s="280"/>
      <c r="G386" s="281" t="s">
        <v>160</v>
      </c>
      <c r="H386" s="287">
        <v>206.11</v>
      </c>
      <c r="I386" s="283"/>
      <c r="J386" s="267"/>
      <c r="K386" s="260"/>
      <c r="L386" s="261"/>
      <c r="M386" s="261"/>
      <c r="N386" s="261"/>
    </row>
    <row r="387" spans="1:14" s="45" customFormat="1">
      <c r="A387" s="296"/>
      <c r="B387" s="297"/>
      <c r="C387" s="278"/>
      <c r="D387" s="279"/>
      <c r="E387" s="280"/>
      <c r="F387" s="280"/>
      <c r="G387" s="281"/>
      <c r="H387" s="282"/>
      <c r="I387" s="283"/>
      <c r="J387" s="267"/>
      <c r="K387" s="260"/>
      <c r="L387" s="261"/>
      <c r="M387" s="261"/>
      <c r="N387" s="261"/>
    </row>
    <row r="388" spans="1:14" s="45" customFormat="1" ht="15.75" thickBot="1">
      <c r="A388" s="296" t="s">
        <v>26</v>
      </c>
      <c r="B388" s="297"/>
      <c r="C388" s="299"/>
      <c r="D388" s="300"/>
      <c r="E388" s="301"/>
      <c r="F388" s="302" t="s">
        <v>161</v>
      </c>
      <c r="G388" s="303">
        <v>27688.36</v>
      </c>
      <c r="H388" s="304">
        <v>27688</v>
      </c>
      <c r="I388" s="305"/>
      <c r="J388" s="267"/>
      <c r="K388" s="260"/>
      <c r="L388" s="261"/>
      <c r="M388" s="261"/>
      <c r="N388" s="261"/>
    </row>
    <row r="389" spans="1:14" s="45" customFormat="1" ht="15.75" hidden="1" thickTop="1">
      <c r="A389" s="296" t="s">
        <v>188</v>
      </c>
      <c r="B389" s="297"/>
      <c r="C389" s="314" t="s">
        <v>96</v>
      </c>
      <c r="D389" s="315"/>
      <c r="E389" s="316"/>
      <c r="F389" s="316"/>
      <c r="G389" s="318"/>
      <c r="H389" s="319"/>
      <c r="I389" s="283"/>
      <c r="J389" s="267"/>
      <c r="K389" s="260"/>
      <c r="L389" s="261"/>
      <c r="M389" s="261"/>
      <c r="N389" s="261"/>
    </row>
    <row r="390" spans="1:14" s="45" customFormat="1" ht="15.75" hidden="1" thickTop="1">
      <c r="A390" s="284" t="s">
        <v>99</v>
      </c>
      <c r="B390" s="297"/>
      <c r="C390" s="320" t="s">
        <v>100</v>
      </c>
      <c r="D390" s="321"/>
      <c r="E390" s="322"/>
      <c r="F390" s="323">
        <v>0.185</v>
      </c>
      <c r="G390" s="324"/>
      <c r="H390" s="325">
        <v>5122.28</v>
      </c>
      <c r="I390" s="283"/>
      <c r="J390" s="267"/>
      <c r="K390" s="260"/>
      <c r="L390" s="261"/>
      <c r="M390" s="261"/>
      <c r="N390" s="261"/>
    </row>
    <row r="391" spans="1:14" s="45" customFormat="1" ht="15.75" hidden="1" thickTop="1">
      <c r="A391" s="284" t="s">
        <v>189</v>
      </c>
      <c r="B391" s="297"/>
      <c r="C391" s="320" t="s">
        <v>102</v>
      </c>
      <c r="D391" s="321"/>
      <c r="E391" s="322"/>
      <c r="F391" s="323">
        <v>0.05</v>
      </c>
      <c r="G391" s="324"/>
      <c r="H391" s="325">
        <v>1384.4</v>
      </c>
      <c r="I391" s="283"/>
      <c r="J391" s="267"/>
      <c r="K391" s="260"/>
      <c r="L391" s="261"/>
      <c r="M391" s="261"/>
      <c r="N391" s="261"/>
    </row>
    <row r="392" spans="1:14" s="45" customFormat="1" ht="15.75" hidden="1" thickTop="1">
      <c r="A392" s="284" t="s">
        <v>103</v>
      </c>
      <c r="B392" s="297"/>
      <c r="C392" s="320" t="s">
        <v>104</v>
      </c>
      <c r="D392" s="321"/>
      <c r="E392" s="322"/>
      <c r="F392" s="323">
        <v>0.08</v>
      </c>
      <c r="G392" s="324"/>
      <c r="H392" s="325">
        <v>2215.04</v>
      </c>
      <c r="I392" s="283"/>
      <c r="J392" s="267"/>
      <c r="K392" s="260"/>
      <c r="L392" s="261"/>
      <c r="M392" s="261"/>
      <c r="N392" s="261"/>
    </row>
    <row r="393" spans="1:14" s="45" customFormat="1" ht="15.75" hidden="1" thickTop="1">
      <c r="A393" s="284" t="s">
        <v>106</v>
      </c>
      <c r="B393" s="297"/>
      <c r="C393" s="320" t="s">
        <v>107</v>
      </c>
      <c r="D393" s="321"/>
      <c r="E393" s="322"/>
      <c r="F393" s="323">
        <v>0.16</v>
      </c>
      <c r="G393" s="324"/>
      <c r="H393" s="325">
        <v>354.41</v>
      </c>
      <c r="I393" s="283"/>
      <c r="J393" s="267"/>
      <c r="K393" s="260"/>
      <c r="L393" s="261"/>
      <c r="M393" s="261"/>
      <c r="N393" s="261"/>
    </row>
    <row r="394" spans="1:14" s="45" customFormat="1" ht="15.75" hidden="1" thickTop="1">
      <c r="A394" s="296" t="s">
        <v>190</v>
      </c>
      <c r="B394" s="297"/>
      <c r="C394" s="285" t="s">
        <v>191</v>
      </c>
      <c r="D394" s="279"/>
      <c r="E394" s="280"/>
      <c r="F394" s="280"/>
      <c r="G394" s="326"/>
      <c r="H394" s="327">
        <v>9076.130000000001</v>
      </c>
      <c r="I394" s="298">
        <v>-23364</v>
      </c>
      <c r="J394" s="267"/>
      <c r="K394" s="260"/>
      <c r="L394" s="261"/>
      <c r="M394" s="261"/>
      <c r="N394" s="261"/>
    </row>
    <row r="395" spans="1:14" s="45" customFormat="1" ht="16.5" hidden="1" thickTop="1" thickBot="1">
      <c r="A395" s="296" t="s">
        <v>192</v>
      </c>
      <c r="B395" s="297"/>
      <c r="C395" s="329"/>
      <c r="D395" s="330"/>
      <c r="E395" s="331"/>
      <c r="F395" s="302" t="s">
        <v>193</v>
      </c>
      <c r="G395" s="332">
        <v>36764.130000000005</v>
      </c>
      <c r="H395" s="304">
        <v>36764</v>
      </c>
      <c r="I395" s="305">
        <v>13400</v>
      </c>
      <c r="J395" s="267"/>
      <c r="K395" s="260"/>
      <c r="L395" s="261"/>
      <c r="M395" s="261"/>
      <c r="N395" s="261"/>
    </row>
    <row r="396" spans="1:14" s="45" customFormat="1" ht="15.75" thickTop="1">
      <c r="A396"/>
      <c r="B396"/>
      <c r="C396" s="19"/>
      <c r="D396" s="306"/>
      <c r="E396" s="19"/>
      <c r="F396" s="19"/>
      <c r="G396" s="19"/>
      <c r="H396" s="19"/>
      <c r="I396" s="260"/>
      <c r="J396" s="260"/>
      <c r="K396" s="260"/>
      <c r="L396" s="261"/>
      <c r="M396" s="261"/>
      <c r="N396" s="261"/>
    </row>
    <row r="397" spans="1:14" s="45" customFormat="1" ht="15.75" thickBot="1">
      <c r="A397"/>
      <c r="B397"/>
      <c r="C397" s="19"/>
      <c r="D397" s="306"/>
      <c r="E397" s="19"/>
      <c r="F397" s="19"/>
      <c r="G397" s="19"/>
      <c r="H397" s="19"/>
      <c r="I397" s="260"/>
      <c r="J397" s="260"/>
      <c r="K397" s="260"/>
      <c r="L397" s="261"/>
      <c r="M397" s="261"/>
      <c r="N397" s="261"/>
    </row>
    <row r="398" spans="1:14" s="45" customFormat="1" ht="12.95" customHeight="1" thickTop="1">
      <c r="A398" s="262" t="s">
        <v>246</v>
      </c>
      <c r="B398" s="263"/>
      <c r="C398" s="1651" t="s">
        <v>66</v>
      </c>
      <c r="D398" s="1652"/>
      <c r="E398" s="1652"/>
      <c r="F398" s="1652"/>
      <c r="G398" s="264"/>
      <c r="H398" s="265" t="s">
        <v>224</v>
      </c>
      <c r="I398" s="266" t="s">
        <v>126</v>
      </c>
      <c r="J398" s="267"/>
      <c r="K398" s="260"/>
      <c r="L398" s="261"/>
      <c r="M398" s="261"/>
      <c r="N398" s="261"/>
    </row>
    <row r="399" spans="1:14" s="45" customFormat="1" ht="12.95" customHeight="1">
      <c r="A399" s="262"/>
      <c r="B399" s="263"/>
      <c r="C399" s="1653"/>
      <c r="D399" s="1654"/>
      <c r="E399" s="1654"/>
      <c r="F399" s="1654"/>
      <c r="G399" s="268"/>
      <c r="H399" s="269" t="s">
        <v>179</v>
      </c>
      <c r="I399" s="270">
        <v>80</v>
      </c>
      <c r="J399" s="267"/>
      <c r="K399" s="260"/>
      <c r="L399" s="261"/>
      <c r="M399" s="261"/>
      <c r="N399" s="261"/>
    </row>
    <row r="400" spans="1:14" s="45" customFormat="1">
      <c r="A400" s="271" t="s">
        <v>128</v>
      </c>
      <c r="B400" s="263"/>
      <c r="C400" s="272" t="s">
        <v>21</v>
      </c>
      <c r="D400" s="273" t="s">
        <v>22</v>
      </c>
      <c r="E400" s="274" t="s">
        <v>23</v>
      </c>
      <c r="F400" s="274" t="s">
        <v>129</v>
      </c>
      <c r="G400" s="275" t="s">
        <v>130</v>
      </c>
      <c r="H400" s="276" t="s">
        <v>131</v>
      </c>
      <c r="I400" s="277"/>
      <c r="J400" s="267"/>
      <c r="K400" s="260"/>
      <c r="L400" s="261"/>
      <c r="M400" s="261"/>
      <c r="N400" s="261"/>
    </row>
    <row r="401" spans="1:14" s="45" customFormat="1">
      <c r="A401" s="271"/>
      <c r="B401" s="263"/>
      <c r="C401" s="278"/>
      <c r="D401" s="279"/>
      <c r="E401" s="280"/>
      <c r="F401" s="280"/>
      <c r="G401" s="281"/>
      <c r="H401" s="282"/>
      <c r="I401" s="283"/>
      <c r="J401" s="267"/>
      <c r="K401" s="260"/>
      <c r="L401" s="261"/>
      <c r="M401" s="261"/>
      <c r="N401" s="261"/>
    </row>
    <row r="402" spans="1:14" s="45" customFormat="1">
      <c r="A402" s="284" t="s">
        <v>132</v>
      </c>
      <c r="B402" s="263"/>
      <c r="C402" s="285" t="s">
        <v>133</v>
      </c>
      <c r="D402" s="279"/>
      <c r="E402" s="280"/>
      <c r="F402" s="280"/>
      <c r="G402" s="281"/>
      <c r="H402" s="282"/>
      <c r="I402" s="283"/>
      <c r="J402" s="267"/>
      <c r="K402" s="260"/>
      <c r="L402" s="261"/>
      <c r="M402" s="261"/>
      <c r="N402" s="261"/>
    </row>
    <row r="403" spans="1:14" s="45" customFormat="1">
      <c r="A403" s="284">
        <v>100930</v>
      </c>
      <c r="B403" s="263" t="s">
        <v>64</v>
      </c>
      <c r="C403" s="272" t="s">
        <v>247</v>
      </c>
      <c r="D403" s="273" t="s">
        <v>22</v>
      </c>
      <c r="E403" s="274">
        <v>1.5</v>
      </c>
      <c r="F403" s="274">
        <v>0</v>
      </c>
      <c r="G403" s="275">
        <v>353</v>
      </c>
      <c r="H403" s="276">
        <v>529.5</v>
      </c>
      <c r="I403" s="277">
        <v>120</v>
      </c>
      <c r="J403" s="267"/>
      <c r="K403" s="260"/>
      <c r="L403" s="261"/>
      <c r="M403" s="261"/>
      <c r="N403" s="261"/>
    </row>
    <row r="404" spans="1:14" s="45" customFormat="1">
      <c r="A404" s="284">
        <v>101026</v>
      </c>
      <c r="B404" s="263" t="s">
        <v>168</v>
      </c>
      <c r="C404" s="272" t="s">
        <v>248</v>
      </c>
      <c r="D404" s="273" t="s">
        <v>142</v>
      </c>
      <c r="E404" s="274">
        <v>0.1</v>
      </c>
      <c r="F404" s="274">
        <v>0</v>
      </c>
      <c r="G404" s="275">
        <v>13100</v>
      </c>
      <c r="H404" s="276">
        <v>1310</v>
      </c>
      <c r="I404" s="277">
        <v>8</v>
      </c>
      <c r="J404" s="267"/>
      <c r="K404" s="260"/>
      <c r="L404" s="261"/>
      <c r="M404" s="261"/>
      <c r="N404" s="261"/>
    </row>
    <row r="405" spans="1:14" s="45" customFormat="1">
      <c r="A405" s="284">
        <v>101120</v>
      </c>
      <c r="B405" s="263" t="s">
        <v>64</v>
      </c>
      <c r="C405" s="272" t="s">
        <v>249</v>
      </c>
      <c r="D405" s="273" t="s">
        <v>22</v>
      </c>
      <c r="E405" s="274">
        <v>0.4</v>
      </c>
      <c r="F405" s="274">
        <v>0</v>
      </c>
      <c r="G405" s="275">
        <v>15500</v>
      </c>
      <c r="H405" s="276">
        <v>6200</v>
      </c>
      <c r="I405" s="277">
        <v>32</v>
      </c>
      <c r="J405" s="267"/>
      <c r="K405" s="260"/>
      <c r="L405" s="261"/>
      <c r="M405" s="261"/>
      <c r="N405" s="261"/>
    </row>
    <row r="406" spans="1:14" s="45" customFormat="1">
      <c r="A406" s="286" t="s">
        <v>143</v>
      </c>
      <c r="B406" s="263"/>
      <c r="C406" s="278"/>
      <c r="D406" s="279"/>
      <c r="E406" s="280"/>
      <c r="F406" s="280"/>
      <c r="G406" s="281" t="s">
        <v>144</v>
      </c>
      <c r="H406" s="287">
        <v>8039.5</v>
      </c>
      <c r="I406" s="283"/>
      <c r="J406" s="267"/>
      <c r="K406" s="260"/>
      <c r="L406" s="261"/>
      <c r="M406" s="261"/>
      <c r="N406" s="261"/>
    </row>
    <row r="407" spans="1:14" s="45" customFormat="1" ht="27" customHeight="1">
      <c r="A407" s="284" t="s">
        <v>145</v>
      </c>
      <c r="B407" s="263"/>
      <c r="C407" s="288" t="s">
        <v>146</v>
      </c>
      <c r="D407" s="279" t="s">
        <v>147</v>
      </c>
      <c r="E407" s="279" t="s">
        <v>148</v>
      </c>
      <c r="F407" s="279" t="s">
        <v>149</v>
      </c>
      <c r="G407" s="289" t="s">
        <v>150</v>
      </c>
      <c r="H407" s="290" t="s">
        <v>151</v>
      </c>
      <c r="I407" s="283"/>
      <c r="J407" s="267"/>
      <c r="K407" s="260"/>
      <c r="L407" s="261"/>
      <c r="M407" s="261"/>
      <c r="N407" s="261"/>
    </row>
    <row r="408" spans="1:14" s="45" customFormat="1">
      <c r="A408" s="284">
        <v>200007</v>
      </c>
      <c r="B408" s="263" t="s">
        <v>146</v>
      </c>
      <c r="C408" s="272" t="s">
        <v>212</v>
      </c>
      <c r="D408" s="291">
        <v>71304</v>
      </c>
      <c r="E408" s="292">
        <v>1.85</v>
      </c>
      <c r="F408" s="293">
        <v>131912</v>
      </c>
      <c r="G408" s="294">
        <v>26.667000000000002</v>
      </c>
      <c r="H408" s="276">
        <v>4946.6379999999999</v>
      </c>
      <c r="I408" s="277">
        <v>2.9999625004687438</v>
      </c>
      <c r="J408" s="267"/>
      <c r="K408" s="260"/>
      <c r="L408" s="261"/>
      <c r="M408" s="261"/>
      <c r="N408" s="261"/>
    </row>
    <row r="409" spans="1:14" s="45" customFormat="1">
      <c r="A409" s="286" t="s">
        <v>153</v>
      </c>
      <c r="B409" s="263"/>
      <c r="C409" s="278"/>
      <c r="D409" s="279"/>
      <c r="E409" s="280"/>
      <c r="F409" s="280"/>
      <c r="G409" s="281" t="s">
        <v>154</v>
      </c>
      <c r="H409" s="287">
        <v>4946.6379999999999</v>
      </c>
      <c r="I409" s="283"/>
      <c r="J409" s="267"/>
      <c r="K409" s="260"/>
      <c r="L409" s="261"/>
      <c r="M409" s="261"/>
      <c r="N409" s="261"/>
    </row>
    <row r="410" spans="1:14" s="45" customFormat="1">
      <c r="A410" s="284" t="s">
        <v>155</v>
      </c>
      <c r="B410" s="263"/>
      <c r="C410" s="295" t="s">
        <v>156</v>
      </c>
      <c r="D410" s="279"/>
      <c r="E410" s="280"/>
      <c r="F410" s="280"/>
      <c r="G410" s="281"/>
      <c r="H410" s="282"/>
      <c r="I410" s="283"/>
      <c r="J410" s="267"/>
      <c r="K410" s="260"/>
      <c r="L410" s="261"/>
      <c r="M410" s="261"/>
      <c r="N410" s="261"/>
    </row>
    <row r="411" spans="1:14" s="45" customFormat="1">
      <c r="A411" s="284">
        <v>300026</v>
      </c>
      <c r="B411" s="263" t="s">
        <v>156</v>
      </c>
      <c r="C411" s="272" t="s">
        <v>157</v>
      </c>
      <c r="D411" s="273" t="s">
        <v>158</v>
      </c>
      <c r="E411" s="292">
        <v>0.05</v>
      </c>
      <c r="F411" s="274">
        <v>0</v>
      </c>
      <c r="G411" s="275">
        <v>4946.6379999999999</v>
      </c>
      <c r="H411" s="276">
        <v>247.33</v>
      </c>
      <c r="I411" s="277">
        <v>19786.400000000001</v>
      </c>
      <c r="J411" s="267"/>
      <c r="K411" s="260"/>
      <c r="L411" s="261"/>
      <c r="M411" s="261"/>
      <c r="N411" s="261"/>
    </row>
    <row r="412" spans="1:14" s="45" customFormat="1">
      <c r="A412" s="286" t="s">
        <v>159</v>
      </c>
      <c r="B412" s="263"/>
      <c r="C412" s="278"/>
      <c r="D412" s="279"/>
      <c r="E412" s="280"/>
      <c r="F412" s="280"/>
      <c r="G412" s="281" t="s">
        <v>160</v>
      </c>
      <c r="H412" s="287">
        <v>247.33</v>
      </c>
      <c r="I412" s="283"/>
      <c r="J412" s="267"/>
      <c r="K412" s="260"/>
      <c r="L412" s="261"/>
      <c r="M412" s="261"/>
      <c r="N412" s="261"/>
    </row>
    <row r="413" spans="1:14" s="45" customFormat="1">
      <c r="A413" s="296"/>
      <c r="B413" s="297"/>
      <c r="C413" s="278"/>
      <c r="D413" s="279"/>
      <c r="E413" s="280"/>
      <c r="F413" s="280"/>
      <c r="G413" s="281"/>
      <c r="H413" s="282"/>
      <c r="I413" s="283"/>
      <c r="J413" s="267"/>
      <c r="K413" s="260"/>
      <c r="L413" s="261"/>
      <c r="M413" s="261"/>
      <c r="N413" s="261"/>
    </row>
    <row r="414" spans="1:14" s="45" customFormat="1" ht="15.75" thickBot="1">
      <c r="A414" s="296" t="s">
        <v>26</v>
      </c>
      <c r="B414" s="297"/>
      <c r="C414" s="299"/>
      <c r="D414" s="300"/>
      <c r="E414" s="301"/>
      <c r="F414" s="302" t="s">
        <v>161</v>
      </c>
      <c r="G414" s="303">
        <v>13233.468000000001</v>
      </c>
      <c r="H414" s="304">
        <v>13233</v>
      </c>
      <c r="I414" s="305"/>
      <c r="J414" s="267"/>
      <c r="K414" s="260"/>
      <c r="L414" s="261"/>
      <c r="M414" s="261"/>
      <c r="N414" s="261"/>
    </row>
    <row r="415" spans="1:14" s="45" customFormat="1" ht="15.75" hidden="1" thickTop="1">
      <c r="A415" s="296" t="s">
        <v>188</v>
      </c>
      <c r="B415" s="297"/>
      <c r="C415" s="314" t="s">
        <v>96</v>
      </c>
      <c r="D415" s="315"/>
      <c r="E415" s="316"/>
      <c r="F415" s="316"/>
      <c r="G415" s="318"/>
      <c r="H415" s="319"/>
      <c r="I415" s="283"/>
      <c r="J415" s="267"/>
      <c r="K415" s="260"/>
      <c r="L415" s="261"/>
      <c r="M415" s="261"/>
      <c r="N415" s="261"/>
    </row>
    <row r="416" spans="1:14" s="45" customFormat="1" ht="15.75" hidden="1" thickTop="1">
      <c r="A416" s="284" t="s">
        <v>99</v>
      </c>
      <c r="B416" s="297"/>
      <c r="C416" s="320" t="s">
        <v>100</v>
      </c>
      <c r="D416" s="321"/>
      <c r="E416" s="322"/>
      <c r="F416" s="323">
        <v>0.185</v>
      </c>
      <c r="G416" s="324"/>
      <c r="H416" s="325">
        <v>2448.11</v>
      </c>
      <c r="I416" s="283"/>
      <c r="J416" s="267"/>
      <c r="K416" s="260"/>
      <c r="L416" s="261"/>
      <c r="M416" s="261"/>
      <c r="N416" s="261"/>
    </row>
    <row r="417" spans="1:14" s="45" customFormat="1" ht="15.75" hidden="1" thickTop="1">
      <c r="A417" s="284" t="s">
        <v>189</v>
      </c>
      <c r="B417" s="297"/>
      <c r="C417" s="320" t="s">
        <v>102</v>
      </c>
      <c r="D417" s="321"/>
      <c r="E417" s="322"/>
      <c r="F417" s="323">
        <v>0.05</v>
      </c>
      <c r="G417" s="324"/>
      <c r="H417" s="325">
        <v>661.65</v>
      </c>
      <c r="I417" s="283"/>
      <c r="J417" s="267"/>
      <c r="K417" s="260"/>
      <c r="L417" s="261"/>
      <c r="M417" s="261"/>
      <c r="N417" s="261"/>
    </row>
    <row r="418" spans="1:14" s="45" customFormat="1" ht="15.75" hidden="1" thickTop="1">
      <c r="A418" s="284" t="s">
        <v>103</v>
      </c>
      <c r="B418" s="297"/>
      <c r="C418" s="320" t="s">
        <v>104</v>
      </c>
      <c r="D418" s="321"/>
      <c r="E418" s="322"/>
      <c r="F418" s="323">
        <v>0.08</v>
      </c>
      <c r="G418" s="324"/>
      <c r="H418" s="325">
        <v>1058.6400000000001</v>
      </c>
      <c r="I418" s="283"/>
      <c r="J418" s="267"/>
      <c r="K418" s="260"/>
      <c r="L418" s="261"/>
      <c r="M418" s="261"/>
      <c r="N418" s="261"/>
    </row>
    <row r="419" spans="1:14" s="45" customFormat="1" ht="15.75" hidden="1" thickTop="1">
      <c r="A419" s="284" t="s">
        <v>106</v>
      </c>
      <c r="B419" s="297"/>
      <c r="C419" s="320" t="s">
        <v>107</v>
      </c>
      <c r="D419" s="321"/>
      <c r="E419" s="322"/>
      <c r="F419" s="323">
        <v>0.16</v>
      </c>
      <c r="G419" s="324"/>
      <c r="H419" s="325">
        <v>169.38</v>
      </c>
      <c r="I419" s="283"/>
      <c r="J419" s="267"/>
      <c r="K419" s="260"/>
      <c r="L419" s="261"/>
      <c r="M419" s="261"/>
      <c r="N419" s="261"/>
    </row>
    <row r="420" spans="1:14" s="45" customFormat="1" ht="15.75" hidden="1" thickTop="1">
      <c r="A420" s="296" t="s">
        <v>190</v>
      </c>
      <c r="B420" s="297"/>
      <c r="C420" s="285" t="s">
        <v>191</v>
      </c>
      <c r="D420" s="279"/>
      <c r="E420" s="280"/>
      <c r="F420" s="280"/>
      <c r="G420" s="326"/>
      <c r="H420" s="327">
        <v>4337.7800000000007</v>
      </c>
      <c r="I420" s="298">
        <v>-4871</v>
      </c>
      <c r="J420" s="267"/>
      <c r="K420" s="260"/>
      <c r="L420" s="261"/>
      <c r="M420" s="261"/>
      <c r="N420" s="261"/>
    </row>
    <row r="421" spans="1:14" s="45" customFormat="1" ht="16.5" hidden="1" thickTop="1" thickBot="1">
      <c r="A421" s="296" t="s">
        <v>192</v>
      </c>
      <c r="B421" s="297"/>
      <c r="C421" s="329"/>
      <c r="D421" s="330"/>
      <c r="E421" s="331"/>
      <c r="F421" s="302" t="s">
        <v>193</v>
      </c>
      <c r="G421" s="332">
        <v>17570.78</v>
      </c>
      <c r="H421" s="304">
        <v>17571</v>
      </c>
      <c r="I421" s="305">
        <v>12700</v>
      </c>
      <c r="J421" s="267"/>
      <c r="K421" s="260"/>
      <c r="L421" s="261"/>
      <c r="M421" s="261"/>
      <c r="N421" s="261"/>
    </row>
    <row r="422" spans="1:14" s="45" customFormat="1" ht="15.75" thickTop="1">
      <c r="A422"/>
      <c r="B422"/>
      <c r="C422" s="19"/>
      <c r="D422" s="306"/>
      <c r="E422" s="19"/>
      <c r="F422" s="19"/>
      <c r="G422" s="19"/>
      <c r="H422" s="19"/>
      <c r="I422" s="260"/>
      <c r="J422" s="260"/>
      <c r="K422" s="260"/>
      <c r="L422" s="261"/>
      <c r="M422" s="261"/>
      <c r="N422" s="261"/>
    </row>
    <row r="423" spans="1:14" s="45" customFormat="1" ht="15.75" thickBot="1">
      <c r="A423"/>
      <c r="B423"/>
      <c r="C423" s="19"/>
      <c r="D423" s="306"/>
      <c r="E423" s="19"/>
      <c r="F423" s="19"/>
      <c r="G423" s="19"/>
      <c r="H423" s="19"/>
      <c r="I423" s="260"/>
      <c r="J423" s="260"/>
      <c r="K423" s="260"/>
      <c r="L423" s="261"/>
      <c r="M423" s="261"/>
      <c r="N423" s="261"/>
    </row>
    <row r="424" spans="1:14" s="45" customFormat="1" ht="12.95" customHeight="1" thickTop="1">
      <c r="A424" s="262" t="s">
        <v>250</v>
      </c>
      <c r="B424" s="263"/>
      <c r="C424" s="1651" t="s">
        <v>67</v>
      </c>
      <c r="D424" s="1652"/>
      <c r="E424" s="1652"/>
      <c r="F424" s="1652"/>
      <c r="G424" s="264"/>
      <c r="H424" s="265" t="s">
        <v>205</v>
      </c>
      <c r="I424" s="266" t="s">
        <v>126</v>
      </c>
      <c r="J424" s="267"/>
      <c r="K424" s="260"/>
      <c r="L424" s="261"/>
      <c r="M424" s="261"/>
      <c r="N424" s="261"/>
    </row>
    <row r="425" spans="1:14" s="45" customFormat="1" ht="12.95" customHeight="1">
      <c r="A425" s="262"/>
      <c r="B425" s="263"/>
      <c r="C425" s="1653"/>
      <c r="D425" s="1654"/>
      <c r="E425" s="1654"/>
      <c r="F425" s="1654"/>
      <c r="G425" s="268"/>
      <c r="H425" s="269" t="s">
        <v>179</v>
      </c>
      <c r="I425" s="270">
        <v>260</v>
      </c>
      <c r="J425" s="267"/>
      <c r="K425" s="260"/>
      <c r="L425" s="261"/>
      <c r="M425" s="261"/>
      <c r="N425" s="261"/>
    </row>
    <row r="426" spans="1:14" s="45" customFormat="1">
      <c r="A426" s="271" t="s">
        <v>128</v>
      </c>
      <c r="B426" s="263"/>
      <c r="C426" s="272" t="s">
        <v>21</v>
      </c>
      <c r="D426" s="273" t="s">
        <v>22</v>
      </c>
      <c r="E426" s="274" t="s">
        <v>23</v>
      </c>
      <c r="F426" s="274" t="s">
        <v>129</v>
      </c>
      <c r="G426" s="275" t="s">
        <v>130</v>
      </c>
      <c r="H426" s="276" t="s">
        <v>131</v>
      </c>
      <c r="I426" s="277"/>
      <c r="J426" s="267"/>
      <c r="K426" s="260"/>
      <c r="L426" s="261"/>
      <c r="M426" s="261"/>
      <c r="N426" s="261"/>
    </row>
    <row r="427" spans="1:14" s="45" customFormat="1">
      <c r="A427" s="271"/>
      <c r="B427" s="263"/>
      <c r="C427" s="278"/>
      <c r="D427" s="279"/>
      <c r="E427" s="280"/>
      <c r="F427" s="280"/>
      <c r="G427" s="281"/>
      <c r="H427" s="282"/>
      <c r="I427" s="283"/>
      <c r="J427" s="267"/>
      <c r="K427" s="260"/>
      <c r="L427" s="261"/>
      <c r="M427" s="261"/>
      <c r="N427" s="261"/>
    </row>
    <row r="428" spans="1:14" s="45" customFormat="1">
      <c r="A428" s="284" t="s">
        <v>132</v>
      </c>
      <c r="B428" s="263"/>
      <c r="C428" s="285" t="s">
        <v>133</v>
      </c>
      <c r="D428" s="279"/>
      <c r="E428" s="280"/>
      <c r="F428" s="280"/>
      <c r="G428" s="281"/>
      <c r="H428" s="282"/>
      <c r="I428" s="283"/>
      <c r="J428" s="267"/>
      <c r="K428" s="260"/>
      <c r="L428" s="261"/>
      <c r="M428" s="261"/>
      <c r="N428" s="261"/>
    </row>
    <row r="429" spans="1:14" s="45" customFormat="1">
      <c r="A429" s="284">
        <v>101015</v>
      </c>
      <c r="B429" s="263" t="s">
        <v>181</v>
      </c>
      <c r="C429" s="272" t="s">
        <v>251</v>
      </c>
      <c r="D429" s="273" t="s">
        <v>142</v>
      </c>
      <c r="E429" s="274">
        <v>1.5</v>
      </c>
      <c r="F429" s="274">
        <v>0</v>
      </c>
      <c r="G429" s="275">
        <v>2330</v>
      </c>
      <c r="H429" s="276">
        <v>3495</v>
      </c>
      <c r="I429" s="277">
        <v>390</v>
      </c>
      <c r="J429" s="267"/>
      <c r="K429" s="260"/>
      <c r="L429" s="261"/>
      <c r="M429" s="261"/>
      <c r="N429" s="261"/>
    </row>
    <row r="430" spans="1:14" s="45" customFormat="1">
      <c r="A430" s="284">
        <v>101657</v>
      </c>
      <c r="B430" s="263" t="s">
        <v>252</v>
      </c>
      <c r="C430" s="272" t="s">
        <v>253</v>
      </c>
      <c r="D430" s="273" t="s">
        <v>142</v>
      </c>
      <c r="E430" s="274">
        <v>0.2</v>
      </c>
      <c r="F430" s="274">
        <v>0</v>
      </c>
      <c r="G430" s="275">
        <v>5876</v>
      </c>
      <c r="H430" s="276">
        <v>1175.2</v>
      </c>
      <c r="I430" s="277">
        <v>52</v>
      </c>
      <c r="J430" s="267"/>
      <c r="K430" s="260"/>
      <c r="L430" s="261"/>
      <c r="M430" s="261"/>
      <c r="N430" s="261"/>
    </row>
    <row r="431" spans="1:14" s="45" customFormat="1">
      <c r="A431" s="284">
        <v>101164</v>
      </c>
      <c r="B431" s="263" t="s">
        <v>134</v>
      </c>
      <c r="C431" s="272" t="s">
        <v>254</v>
      </c>
      <c r="D431" s="273" t="s">
        <v>22</v>
      </c>
      <c r="E431" s="274">
        <v>1.1000000000000001</v>
      </c>
      <c r="F431" s="274">
        <v>0</v>
      </c>
      <c r="G431" s="275">
        <v>4600</v>
      </c>
      <c r="H431" s="276">
        <v>5060</v>
      </c>
      <c r="I431" s="277">
        <v>286</v>
      </c>
      <c r="J431" s="267"/>
      <c r="K431" s="260"/>
      <c r="L431" s="261"/>
      <c r="M431" s="261"/>
      <c r="N431" s="261"/>
    </row>
    <row r="432" spans="1:14" s="45" customFormat="1">
      <c r="A432" s="284">
        <v>101166</v>
      </c>
      <c r="B432" s="263" t="s">
        <v>181</v>
      </c>
      <c r="C432" s="272" t="s">
        <v>255</v>
      </c>
      <c r="D432" s="273" t="s">
        <v>142</v>
      </c>
      <c r="E432" s="274">
        <v>0.75</v>
      </c>
      <c r="F432" s="274">
        <v>0</v>
      </c>
      <c r="G432" s="275">
        <v>2450</v>
      </c>
      <c r="H432" s="276">
        <v>1837.5</v>
      </c>
      <c r="I432" s="277">
        <v>195</v>
      </c>
      <c r="J432" s="267"/>
      <c r="K432" s="260"/>
      <c r="L432" s="261"/>
      <c r="M432" s="261"/>
      <c r="N432" s="261"/>
    </row>
    <row r="433" spans="1:14" s="45" customFormat="1">
      <c r="A433" s="296" t="s">
        <v>256</v>
      </c>
      <c r="B433" s="263" t="s">
        <v>210</v>
      </c>
      <c r="C433" s="272" t="s">
        <v>257</v>
      </c>
      <c r="D433" s="273" t="s">
        <v>139</v>
      </c>
      <c r="E433" s="274">
        <v>0.03</v>
      </c>
      <c r="F433" s="274">
        <v>0</v>
      </c>
      <c r="G433" s="275">
        <v>276221</v>
      </c>
      <c r="H433" s="276">
        <v>8286.6299999999992</v>
      </c>
      <c r="I433" s="277">
        <v>7.8</v>
      </c>
      <c r="J433" s="267"/>
      <c r="K433" s="260"/>
      <c r="L433" s="261"/>
      <c r="M433" s="261"/>
      <c r="N433" s="261"/>
    </row>
    <row r="434" spans="1:14" s="45" customFormat="1">
      <c r="A434" s="286" t="s">
        <v>143</v>
      </c>
      <c r="B434" s="263"/>
      <c r="C434" s="278"/>
      <c r="D434" s="279"/>
      <c r="E434" s="280"/>
      <c r="F434" s="280"/>
      <c r="G434" s="281" t="s">
        <v>144</v>
      </c>
      <c r="H434" s="287">
        <v>19854.330000000002</v>
      </c>
      <c r="I434" s="283"/>
      <c r="J434" s="267"/>
      <c r="K434" s="260"/>
      <c r="L434" s="261"/>
      <c r="M434" s="261"/>
      <c r="N434" s="261"/>
    </row>
    <row r="435" spans="1:14" s="45" customFormat="1" ht="27" customHeight="1">
      <c r="A435" s="284" t="s">
        <v>145</v>
      </c>
      <c r="B435" s="263"/>
      <c r="C435" s="288" t="s">
        <v>146</v>
      </c>
      <c r="D435" s="279" t="s">
        <v>147</v>
      </c>
      <c r="E435" s="279" t="s">
        <v>148</v>
      </c>
      <c r="F435" s="279" t="s">
        <v>149</v>
      </c>
      <c r="G435" s="289" t="s">
        <v>150</v>
      </c>
      <c r="H435" s="290" t="s">
        <v>151</v>
      </c>
      <c r="I435" s="283"/>
      <c r="J435" s="267"/>
      <c r="K435" s="260"/>
      <c r="L435" s="261"/>
      <c r="M435" s="261"/>
      <c r="N435" s="261"/>
    </row>
    <row r="436" spans="1:14" s="45" customFormat="1">
      <c r="A436" s="284">
        <v>200009</v>
      </c>
      <c r="B436" s="263" t="s">
        <v>146</v>
      </c>
      <c r="C436" s="272" t="s">
        <v>186</v>
      </c>
      <c r="D436" s="291">
        <v>98063</v>
      </c>
      <c r="E436" s="292">
        <v>1.85</v>
      </c>
      <c r="F436" s="293">
        <v>181416</v>
      </c>
      <c r="G436" s="294">
        <v>20</v>
      </c>
      <c r="H436" s="276">
        <v>9070.7999999999993</v>
      </c>
      <c r="I436" s="277">
        <v>13</v>
      </c>
      <c r="J436" s="267"/>
      <c r="K436" s="260"/>
      <c r="L436" s="261"/>
      <c r="M436" s="261"/>
      <c r="N436" s="261"/>
    </row>
    <row r="437" spans="1:14" s="45" customFormat="1">
      <c r="A437" s="286" t="s">
        <v>153</v>
      </c>
      <c r="B437" s="263"/>
      <c r="C437" s="278"/>
      <c r="D437" s="279"/>
      <c r="E437" s="280"/>
      <c r="F437" s="280"/>
      <c r="G437" s="281" t="s">
        <v>154</v>
      </c>
      <c r="H437" s="287">
        <v>9070.7999999999993</v>
      </c>
      <c r="I437" s="283"/>
      <c r="J437" s="267"/>
      <c r="K437" s="260"/>
      <c r="L437" s="261"/>
      <c r="M437" s="261"/>
      <c r="N437" s="261"/>
    </row>
    <row r="438" spans="1:14" s="45" customFormat="1">
      <c r="A438" s="284" t="s">
        <v>155</v>
      </c>
      <c r="B438" s="263"/>
      <c r="C438" s="295" t="s">
        <v>156</v>
      </c>
      <c r="D438" s="279"/>
      <c r="E438" s="280"/>
      <c r="F438" s="280"/>
      <c r="G438" s="281"/>
      <c r="H438" s="282"/>
      <c r="I438" s="283"/>
      <c r="J438" s="267"/>
      <c r="K438" s="260"/>
      <c r="L438" s="261"/>
      <c r="M438" s="261"/>
      <c r="N438" s="261"/>
    </row>
    <row r="439" spans="1:14" s="45" customFormat="1">
      <c r="A439" s="284">
        <v>300026</v>
      </c>
      <c r="B439" s="263" t="s">
        <v>156</v>
      </c>
      <c r="C439" s="272" t="s">
        <v>157</v>
      </c>
      <c r="D439" s="273" t="s">
        <v>158</v>
      </c>
      <c r="E439" s="292">
        <v>0.05</v>
      </c>
      <c r="F439" s="274">
        <v>0</v>
      </c>
      <c r="G439" s="275">
        <v>9070.7999999999993</v>
      </c>
      <c r="H439" s="276">
        <v>453.54</v>
      </c>
      <c r="I439" s="277">
        <v>117920.40000000001</v>
      </c>
      <c r="J439" s="267"/>
      <c r="K439" s="260"/>
      <c r="L439" s="261"/>
      <c r="M439" s="261"/>
      <c r="N439" s="261"/>
    </row>
    <row r="440" spans="1:14" s="45" customFormat="1">
      <c r="A440" s="284">
        <v>300002</v>
      </c>
      <c r="B440" s="263" t="s">
        <v>156</v>
      </c>
      <c r="C440" s="272" t="s">
        <v>213</v>
      </c>
      <c r="D440" s="273" t="s">
        <v>214</v>
      </c>
      <c r="E440" s="274">
        <v>0.2</v>
      </c>
      <c r="F440" s="274">
        <v>0</v>
      </c>
      <c r="G440" s="275">
        <v>714</v>
      </c>
      <c r="H440" s="276">
        <v>142.80000000000001</v>
      </c>
      <c r="I440" s="277">
        <v>52</v>
      </c>
      <c r="J440" s="267"/>
      <c r="K440" s="260"/>
      <c r="L440" s="261"/>
      <c r="M440" s="261"/>
      <c r="N440" s="261"/>
    </row>
    <row r="441" spans="1:14" s="45" customFormat="1">
      <c r="A441" s="284">
        <v>300019</v>
      </c>
      <c r="B441" s="263" t="s">
        <v>156</v>
      </c>
      <c r="C441" s="272" t="s">
        <v>258</v>
      </c>
      <c r="D441" s="273" t="s">
        <v>173</v>
      </c>
      <c r="E441" s="274">
        <v>0.2</v>
      </c>
      <c r="F441" s="274">
        <v>0</v>
      </c>
      <c r="G441" s="275">
        <v>100</v>
      </c>
      <c r="H441" s="276">
        <v>20</v>
      </c>
      <c r="I441" s="277">
        <v>52</v>
      </c>
      <c r="J441" s="267"/>
      <c r="K441" s="260"/>
      <c r="L441" s="261"/>
      <c r="M441" s="261"/>
      <c r="N441" s="261"/>
    </row>
    <row r="442" spans="1:14" s="45" customFormat="1">
      <c r="A442" s="286" t="s">
        <v>159</v>
      </c>
      <c r="B442" s="263"/>
      <c r="C442" s="278"/>
      <c r="D442" s="279"/>
      <c r="E442" s="280"/>
      <c r="F442" s="280"/>
      <c r="G442" s="281" t="s">
        <v>160</v>
      </c>
      <c r="H442" s="287">
        <v>616.34</v>
      </c>
      <c r="I442" s="283"/>
      <c r="J442" s="267"/>
      <c r="K442" s="260"/>
      <c r="L442" s="261"/>
      <c r="M442" s="261"/>
      <c r="N442" s="261"/>
    </row>
    <row r="443" spans="1:14" s="45" customFormat="1">
      <c r="A443" s="296"/>
      <c r="B443" s="297"/>
      <c r="C443" s="278"/>
      <c r="D443" s="279"/>
      <c r="E443" s="280"/>
      <c r="F443" s="280"/>
      <c r="G443" s="281"/>
      <c r="H443" s="282"/>
      <c r="I443" s="283"/>
      <c r="J443" s="267"/>
      <c r="K443" s="260"/>
      <c r="L443" s="261"/>
      <c r="M443" s="261"/>
      <c r="N443" s="261"/>
    </row>
    <row r="444" spans="1:14" s="45" customFormat="1" ht="15.75" thickBot="1">
      <c r="A444" s="296" t="s">
        <v>26</v>
      </c>
      <c r="B444" s="297"/>
      <c r="C444" s="299"/>
      <c r="D444" s="300"/>
      <c r="E444" s="301"/>
      <c r="F444" s="302" t="s">
        <v>161</v>
      </c>
      <c r="G444" s="303">
        <v>29541.470000000005</v>
      </c>
      <c r="H444" s="304">
        <v>29541</v>
      </c>
      <c r="I444" s="305"/>
      <c r="J444" s="267"/>
      <c r="K444" s="260"/>
      <c r="L444" s="261"/>
      <c r="M444" s="261"/>
      <c r="N444" s="261"/>
    </row>
    <row r="445" spans="1:14" s="45" customFormat="1" ht="15.75" hidden="1" thickTop="1">
      <c r="A445" s="296" t="s">
        <v>188</v>
      </c>
      <c r="B445" s="297"/>
      <c r="C445" s="314" t="s">
        <v>96</v>
      </c>
      <c r="D445" s="315"/>
      <c r="E445" s="316"/>
      <c r="F445" s="316"/>
      <c r="G445" s="318"/>
      <c r="H445" s="319"/>
      <c r="I445" s="283"/>
      <c r="J445" s="267"/>
      <c r="K445" s="260"/>
      <c r="L445" s="261"/>
      <c r="M445" s="261"/>
      <c r="N445" s="261"/>
    </row>
    <row r="446" spans="1:14" s="45" customFormat="1" ht="15.75" hidden="1" thickTop="1">
      <c r="A446" s="284" t="s">
        <v>99</v>
      </c>
      <c r="B446" s="297"/>
      <c r="C446" s="320" t="s">
        <v>100</v>
      </c>
      <c r="D446" s="321"/>
      <c r="E446" s="322"/>
      <c r="F446" s="323">
        <v>0.185</v>
      </c>
      <c r="G446" s="324"/>
      <c r="H446" s="325">
        <v>5465.09</v>
      </c>
      <c r="I446" s="283"/>
      <c r="J446" s="267"/>
      <c r="K446" s="260"/>
      <c r="L446" s="261"/>
      <c r="M446" s="261"/>
      <c r="N446" s="261"/>
    </row>
    <row r="447" spans="1:14" s="45" customFormat="1" ht="15.75" hidden="1" thickTop="1">
      <c r="A447" s="284" t="s">
        <v>189</v>
      </c>
      <c r="B447" s="297"/>
      <c r="C447" s="320" t="s">
        <v>102</v>
      </c>
      <c r="D447" s="321"/>
      <c r="E447" s="322"/>
      <c r="F447" s="323">
        <v>0.05</v>
      </c>
      <c r="G447" s="324"/>
      <c r="H447" s="325">
        <v>1477.05</v>
      </c>
      <c r="I447" s="283"/>
      <c r="J447" s="267"/>
      <c r="K447" s="260"/>
      <c r="L447" s="261"/>
      <c r="M447" s="261"/>
      <c r="N447" s="261"/>
    </row>
    <row r="448" spans="1:14" s="45" customFormat="1" ht="15.75" hidden="1" thickTop="1">
      <c r="A448" s="284" t="s">
        <v>103</v>
      </c>
      <c r="B448" s="297"/>
      <c r="C448" s="320" t="s">
        <v>104</v>
      </c>
      <c r="D448" s="321"/>
      <c r="E448" s="322"/>
      <c r="F448" s="323">
        <v>0.08</v>
      </c>
      <c r="G448" s="324"/>
      <c r="H448" s="325">
        <v>2363.2800000000002</v>
      </c>
      <c r="I448" s="283"/>
      <c r="J448" s="267"/>
      <c r="K448" s="260"/>
      <c r="L448" s="261"/>
      <c r="M448" s="261"/>
      <c r="N448" s="261"/>
    </row>
    <row r="449" spans="1:14" s="45" customFormat="1" ht="15.75" hidden="1" thickTop="1">
      <c r="A449" s="284" t="s">
        <v>106</v>
      </c>
      <c r="B449" s="297"/>
      <c r="C449" s="320" t="s">
        <v>107</v>
      </c>
      <c r="D449" s="321"/>
      <c r="E449" s="322"/>
      <c r="F449" s="323">
        <v>0.16</v>
      </c>
      <c r="G449" s="324"/>
      <c r="H449" s="325">
        <v>378.12</v>
      </c>
      <c r="I449" s="283"/>
      <c r="J449" s="267"/>
      <c r="K449" s="260"/>
      <c r="L449" s="261"/>
      <c r="M449" s="261"/>
      <c r="N449" s="261"/>
    </row>
    <row r="450" spans="1:14" s="45" customFormat="1" ht="15.75" hidden="1" thickTop="1">
      <c r="A450" s="296" t="s">
        <v>190</v>
      </c>
      <c r="B450" s="297"/>
      <c r="C450" s="285" t="s">
        <v>191</v>
      </c>
      <c r="D450" s="279"/>
      <c r="E450" s="280"/>
      <c r="F450" s="280"/>
      <c r="G450" s="326"/>
      <c r="H450" s="327">
        <v>9683.5400000000009</v>
      </c>
      <c r="I450" s="298">
        <v>-9505</v>
      </c>
      <c r="J450" s="267"/>
      <c r="K450" s="260"/>
      <c r="L450" s="261"/>
      <c r="M450" s="261"/>
      <c r="N450" s="261"/>
    </row>
    <row r="451" spans="1:14" s="45" customFormat="1" ht="16.5" hidden="1" thickTop="1" thickBot="1">
      <c r="A451" s="296" t="s">
        <v>192</v>
      </c>
      <c r="B451" s="297"/>
      <c r="C451" s="329"/>
      <c r="D451" s="330"/>
      <c r="E451" s="331"/>
      <c r="F451" s="302" t="s">
        <v>193</v>
      </c>
      <c r="G451" s="332">
        <v>39224.54</v>
      </c>
      <c r="H451" s="304">
        <v>39225</v>
      </c>
      <c r="I451" s="305">
        <v>29720</v>
      </c>
      <c r="J451" s="267"/>
      <c r="K451" s="260"/>
      <c r="L451" s="261"/>
      <c r="M451" s="261"/>
      <c r="N451" s="261"/>
    </row>
    <row r="452" spans="1:14" s="45" customFormat="1" ht="15.75" thickTop="1">
      <c r="A452"/>
      <c r="B452"/>
      <c r="C452" s="19"/>
      <c r="D452" s="306"/>
      <c r="E452" s="19"/>
      <c r="F452" s="19"/>
      <c r="G452" s="19"/>
      <c r="H452" s="19"/>
      <c r="I452" s="260"/>
      <c r="J452" s="260"/>
      <c r="K452" s="260"/>
      <c r="L452" s="261"/>
      <c r="M452" s="261"/>
      <c r="N452" s="261"/>
    </row>
    <row r="453" spans="1:14" s="45" customFormat="1" ht="15.75" thickBot="1">
      <c r="A453"/>
      <c r="B453"/>
      <c r="C453" s="19"/>
      <c r="D453" s="306"/>
      <c r="E453" s="19"/>
      <c r="F453" s="19"/>
      <c r="G453" s="19"/>
      <c r="H453" s="19"/>
      <c r="I453" s="260"/>
      <c r="J453" s="260"/>
      <c r="K453" s="260"/>
      <c r="L453" s="261"/>
      <c r="M453" s="261"/>
      <c r="N453" s="261"/>
    </row>
    <row r="454" spans="1:14" s="45" customFormat="1" ht="12.95" customHeight="1" thickTop="1">
      <c r="A454" s="262" t="s">
        <v>259</v>
      </c>
      <c r="B454" s="263"/>
      <c r="C454" s="1651" t="s">
        <v>68</v>
      </c>
      <c r="D454" s="1652"/>
      <c r="E454" s="1652"/>
      <c r="F454" s="1652"/>
      <c r="G454" s="264"/>
      <c r="H454" s="265" t="s">
        <v>205</v>
      </c>
      <c r="I454" s="266" t="s">
        <v>126</v>
      </c>
      <c r="J454" s="267"/>
      <c r="K454" s="260"/>
      <c r="L454" s="261"/>
      <c r="M454" s="261"/>
      <c r="N454" s="261"/>
    </row>
    <row r="455" spans="1:14" s="45" customFormat="1" ht="12.95" customHeight="1">
      <c r="A455" s="262"/>
      <c r="B455" s="263"/>
      <c r="C455" s="1653"/>
      <c r="D455" s="1654"/>
      <c r="E455" s="1654"/>
      <c r="F455" s="1654"/>
      <c r="G455" s="268"/>
      <c r="H455" s="269" t="s">
        <v>179</v>
      </c>
      <c r="I455" s="270">
        <v>908</v>
      </c>
      <c r="J455" s="267"/>
      <c r="K455" s="260"/>
      <c r="L455" s="261"/>
      <c r="M455" s="261"/>
      <c r="N455" s="261"/>
    </row>
    <row r="456" spans="1:14" s="45" customFormat="1">
      <c r="A456" s="271" t="s">
        <v>128</v>
      </c>
      <c r="B456" s="263"/>
      <c r="C456" s="272" t="s">
        <v>21</v>
      </c>
      <c r="D456" s="273" t="s">
        <v>22</v>
      </c>
      <c r="E456" s="274" t="s">
        <v>23</v>
      </c>
      <c r="F456" s="274" t="s">
        <v>129</v>
      </c>
      <c r="G456" s="275" t="s">
        <v>130</v>
      </c>
      <c r="H456" s="276" t="s">
        <v>131</v>
      </c>
      <c r="I456" s="277"/>
      <c r="J456" s="267"/>
      <c r="K456" s="260"/>
      <c r="L456" s="261"/>
      <c r="M456" s="261"/>
      <c r="N456" s="261"/>
    </row>
    <row r="457" spans="1:14" s="45" customFormat="1">
      <c r="A457" s="271"/>
      <c r="B457" s="263"/>
      <c r="C457" s="278"/>
      <c r="D457" s="279"/>
      <c r="E457" s="280"/>
      <c r="F457" s="280"/>
      <c r="G457" s="281"/>
      <c r="H457" s="282"/>
      <c r="I457" s="283"/>
      <c r="J457" s="267"/>
      <c r="K457" s="260"/>
      <c r="L457" s="261"/>
      <c r="M457" s="261"/>
      <c r="N457" s="261"/>
    </row>
    <row r="458" spans="1:14" s="45" customFormat="1">
      <c r="A458" s="284" t="s">
        <v>132</v>
      </c>
      <c r="B458" s="263"/>
      <c r="C458" s="285" t="s">
        <v>133</v>
      </c>
      <c r="D458" s="279"/>
      <c r="E458" s="280"/>
      <c r="F458" s="280"/>
      <c r="G458" s="281"/>
      <c r="H458" s="282"/>
      <c r="I458" s="283"/>
      <c r="J458" s="267"/>
      <c r="K458" s="260"/>
      <c r="L458" s="261"/>
      <c r="M458" s="261"/>
      <c r="N458" s="261"/>
    </row>
    <row r="459" spans="1:14" s="45" customFormat="1">
      <c r="A459" s="296" t="s">
        <v>260</v>
      </c>
      <c r="B459" s="263" t="s">
        <v>210</v>
      </c>
      <c r="C459" s="272" t="s">
        <v>261</v>
      </c>
      <c r="D459" s="273" t="s">
        <v>139</v>
      </c>
      <c r="E459" s="274">
        <v>0.03</v>
      </c>
      <c r="F459" s="274">
        <v>0</v>
      </c>
      <c r="G459" s="275">
        <v>301443</v>
      </c>
      <c r="H459" s="276">
        <v>9043.2900000000009</v>
      </c>
      <c r="I459" s="277">
        <v>27.24</v>
      </c>
      <c r="J459" s="267"/>
      <c r="K459" s="260"/>
      <c r="L459" s="261"/>
      <c r="M459" s="261"/>
      <c r="N459" s="261"/>
    </row>
    <row r="460" spans="1:14" s="45" customFormat="1">
      <c r="A460" s="286" t="s">
        <v>143</v>
      </c>
      <c r="B460" s="263"/>
      <c r="C460" s="278"/>
      <c r="D460" s="279"/>
      <c r="E460" s="280"/>
      <c r="F460" s="280"/>
      <c r="G460" s="281" t="s">
        <v>144</v>
      </c>
      <c r="H460" s="287">
        <v>9043.2900000000009</v>
      </c>
      <c r="I460" s="283"/>
      <c r="J460" s="267"/>
      <c r="K460" s="260"/>
      <c r="L460" s="261"/>
      <c r="M460" s="261"/>
      <c r="N460" s="261"/>
    </row>
    <row r="461" spans="1:14" s="45" customFormat="1" ht="27" customHeight="1">
      <c r="A461" s="284" t="s">
        <v>145</v>
      </c>
      <c r="B461" s="263"/>
      <c r="C461" s="288" t="s">
        <v>146</v>
      </c>
      <c r="D461" s="279" t="s">
        <v>147</v>
      </c>
      <c r="E461" s="279" t="s">
        <v>148</v>
      </c>
      <c r="F461" s="279" t="s">
        <v>149</v>
      </c>
      <c r="G461" s="289" t="s">
        <v>150</v>
      </c>
      <c r="H461" s="290" t="s">
        <v>151</v>
      </c>
      <c r="I461" s="283"/>
      <c r="J461" s="267"/>
      <c r="K461" s="260"/>
      <c r="L461" s="261"/>
      <c r="M461" s="261"/>
      <c r="N461" s="261"/>
    </row>
    <row r="462" spans="1:14" s="45" customFormat="1">
      <c r="A462" s="284">
        <v>200007</v>
      </c>
      <c r="B462" s="263" t="s">
        <v>146</v>
      </c>
      <c r="C462" s="272" t="s">
        <v>212</v>
      </c>
      <c r="D462" s="291">
        <v>71304</v>
      </c>
      <c r="E462" s="292">
        <v>1.85</v>
      </c>
      <c r="F462" s="293">
        <v>131912</v>
      </c>
      <c r="G462" s="294">
        <v>17.777999999999999</v>
      </c>
      <c r="H462" s="276">
        <v>7419.9570000000003</v>
      </c>
      <c r="I462" s="277">
        <v>51.07436157048037</v>
      </c>
      <c r="J462" s="267"/>
      <c r="K462" s="260"/>
      <c r="L462" s="261"/>
      <c r="M462" s="261"/>
      <c r="N462" s="261"/>
    </row>
    <row r="463" spans="1:14" s="45" customFormat="1">
      <c r="A463" s="286" t="s">
        <v>153</v>
      </c>
      <c r="B463" s="263"/>
      <c r="C463" s="278"/>
      <c r="D463" s="279"/>
      <c r="E463" s="280"/>
      <c r="F463" s="280"/>
      <c r="G463" s="281" t="s">
        <v>154</v>
      </c>
      <c r="H463" s="287">
        <v>7419.9570000000003</v>
      </c>
      <c r="I463" s="283"/>
      <c r="J463" s="267"/>
      <c r="K463" s="260"/>
      <c r="L463" s="261"/>
      <c r="M463" s="261"/>
      <c r="N463" s="261"/>
    </row>
    <row r="464" spans="1:14" s="45" customFormat="1">
      <c r="A464" s="284" t="s">
        <v>155</v>
      </c>
      <c r="B464" s="263"/>
      <c r="C464" s="295" t="s">
        <v>156</v>
      </c>
      <c r="D464" s="279"/>
      <c r="E464" s="280"/>
      <c r="F464" s="280"/>
      <c r="G464" s="281"/>
      <c r="H464" s="282"/>
      <c r="I464" s="283"/>
      <c r="J464" s="267"/>
      <c r="K464" s="260"/>
      <c r="L464" s="261"/>
      <c r="M464" s="261"/>
      <c r="N464" s="261"/>
    </row>
    <row r="465" spans="1:14" s="45" customFormat="1">
      <c r="A465" s="284">
        <v>307002</v>
      </c>
      <c r="B465" s="263" t="s">
        <v>156</v>
      </c>
      <c r="C465" s="272" t="s">
        <v>222</v>
      </c>
      <c r="D465" s="273" t="s">
        <v>139</v>
      </c>
      <c r="E465" s="274">
        <v>3.2000000000000001E-2</v>
      </c>
      <c r="F465" s="274">
        <v>0</v>
      </c>
      <c r="G465" s="275">
        <v>7000</v>
      </c>
      <c r="H465" s="276">
        <v>224</v>
      </c>
      <c r="I465" s="277">
        <v>29.056000000000001</v>
      </c>
      <c r="J465" s="267"/>
      <c r="K465" s="260"/>
      <c r="L465" s="261"/>
      <c r="M465" s="261"/>
      <c r="N465" s="261"/>
    </row>
    <row r="466" spans="1:14" s="45" customFormat="1">
      <c r="A466" s="284">
        <v>300026</v>
      </c>
      <c r="B466" s="263" t="s">
        <v>156</v>
      </c>
      <c r="C466" s="272" t="s">
        <v>157</v>
      </c>
      <c r="D466" s="273" t="s">
        <v>158</v>
      </c>
      <c r="E466" s="292">
        <v>0.05</v>
      </c>
      <c r="F466" s="274">
        <v>0</v>
      </c>
      <c r="G466" s="275">
        <v>7419.9570000000003</v>
      </c>
      <c r="H466" s="276">
        <v>370.99</v>
      </c>
      <c r="I466" s="277">
        <v>336858.92</v>
      </c>
      <c r="J466" s="267"/>
      <c r="K466" s="260"/>
      <c r="L466" s="261"/>
      <c r="M466" s="261"/>
      <c r="N466" s="261"/>
    </row>
    <row r="467" spans="1:14" s="45" customFormat="1">
      <c r="A467" s="284">
        <v>300002</v>
      </c>
      <c r="B467" s="263" t="s">
        <v>156</v>
      </c>
      <c r="C467" s="272" t="s">
        <v>213</v>
      </c>
      <c r="D467" s="273" t="s">
        <v>214</v>
      </c>
      <c r="E467" s="274">
        <v>0.1</v>
      </c>
      <c r="F467" s="274">
        <v>0</v>
      </c>
      <c r="G467" s="275">
        <v>714</v>
      </c>
      <c r="H467" s="276">
        <v>71.400000000000006</v>
      </c>
      <c r="I467" s="277">
        <v>90.800000000000011</v>
      </c>
      <c r="J467" s="267"/>
      <c r="K467" s="260"/>
      <c r="L467" s="261"/>
      <c r="M467" s="261"/>
      <c r="N467" s="261"/>
    </row>
    <row r="468" spans="1:14" s="45" customFormat="1">
      <c r="A468" s="286" t="s">
        <v>159</v>
      </c>
      <c r="B468" s="263"/>
      <c r="C468" s="278"/>
      <c r="D468" s="279"/>
      <c r="E468" s="280"/>
      <c r="F468" s="280"/>
      <c r="G468" s="281" t="s">
        <v>160</v>
      </c>
      <c r="H468" s="287">
        <v>666.39</v>
      </c>
      <c r="I468" s="283"/>
      <c r="J468" s="267"/>
      <c r="K468" s="260"/>
      <c r="L468" s="261"/>
      <c r="M468" s="261"/>
      <c r="N468" s="261"/>
    </row>
    <row r="469" spans="1:14" s="45" customFormat="1">
      <c r="A469" s="296"/>
      <c r="B469" s="297"/>
      <c r="C469" s="278"/>
      <c r="D469" s="279"/>
      <c r="E469" s="280"/>
      <c r="F469" s="280"/>
      <c r="G469" s="281"/>
      <c r="H469" s="282"/>
      <c r="I469" s="283"/>
      <c r="J469" s="267"/>
      <c r="K469" s="260"/>
      <c r="L469" s="261"/>
      <c r="M469" s="261"/>
      <c r="N469" s="261"/>
    </row>
    <row r="470" spans="1:14" s="45" customFormat="1" ht="15.75" thickBot="1">
      <c r="A470" s="296" t="s">
        <v>26</v>
      </c>
      <c r="B470" s="297"/>
      <c r="C470" s="299"/>
      <c r="D470" s="300"/>
      <c r="E470" s="301"/>
      <c r="F470" s="302" t="s">
        <v>161</v>
      </c>
      <c r="G470" s="303">
        <v>17129.637000000002</v>
      </c>
      <c r="H470" s="304">
        <v>17130</v>
      </c>
      <c r="I470" s="305"/>
      <c r="J470" s="267"/>
      <c r="K470" s="260"/>
      <c r="L470" s="261"/>
      <c r="M470" s="261"/>
      <c r="N470" s="261"/>
    </row>
    <row r="471" spans="1:14" s="45" customFormat="1" ht="15.75" hidden="1" thickTop="1">
      <c r="A471" s="296" t="s">
        <v>188</v>
      </c>
      <c r="B471" s="297"/>
      <c r="C471" s="314" t="s">
        <v>96</v>
      </c>
      <c r="D471" s="315"/>
      <c r="E471" s="316"/>
      <c r="F471" s="316"/>
      <c r="G471" s="318"/>
      <c r="H471" s="319"/>
      <c r="I471" s="283"/>
      <c r="J471" s="267"/>
      <c r="K471" s="260"/>
      <c r="L471" s="261"/>
      <c r="M471" s="261"/>
      <c r="N471" s="261"/>
    </row>
    <row r="472" spans="1:14" s="45" customFormat="1" ht="15.75" hidden="1" thickTop="1">
      <c r="A472" s="284" t="s">
        <v>99</v>
      </c>
      <c r="B472" s="297"/>
      <c r="C472" s="320" t="s">
        <v>100</v>
      </c>
      <c r="D472" s="321"/>
      <c r="E472" s="322"/>
      <c r="F472" s="323">
        <v>0.185</v>
      </c>
      <c r="G472" s="324"/>
      <c r="H472" s="325">
        <v>3169.05</v>
      </c>
      <c r="I472" s="283"/>
      <c r="J472" s="267"/>
      <c r="K472" s="260"/>
      <c r="L472" s="261"/>
      <c r="M472" s="261"/>
      <c r="N472" s="261"/>
    </row>
    <row r="473" spans="1:14" s="45" customFormat="1" ht="15.75" hidden="1" thickTop="1">
      <c r="A473" s="284" t="s">
        <v>189</v>
      </c>
      <c r="B473" s="297"/>
      <c r="C473" s="320" t="s">
        <v>102</v>
      </c>
      <c r="D473" s="321"/>
      <c r="E473" s="322"/>
      <c r="F473" s="323">
        <v>0.05</v>
      </c>
      <c r="G473" s="324"/>
      <c r="H473" s="325">
        <v>856.5</v>
      </c>
      <c r="I473" s="283"/>
      <c r="J473" s="267"/>
      <c r="K473" s="260"/>
      <c r="L473" s="261"/>
      <c r="M473" s="261"/>
      <c r="N473" s="261"/>
    </row>
    <row r="474" spans="1:14" s="45" customFormat="1" ht="15.75" hidden="1" thickTop="1">
      <c r="A474" s="284" t="s">
        <v>103</v>
      </c>
      <c r="B474" s="297"/>
      <c r="C474" s="320" t="s">
        <v>104</v>
      </c>
      <c r="D474" s="321"/>
      <c r="E474" s="322"/>
      <c r="F474" s="323">
        <v>0.08</v>
      </c>
      <c r="G474" s="324"/>
      <c r="H474" s="325">
        <v>1370.4</v>
      </c>
      <c r="I474" s="283"/>
      <c r="J474" s="267"/>
      <c r="K474" s="260"/>
      <c r="L474" s="261"/>
      <c r="M474" s="261"/>
      <c r="N474" s="261"/>
    </row>
    <row r="475" spans="1:14" s="45" customFormat="1" ht="15.75" hidden="1" thickTop="1">
      <c r="A475" s="284" t="s">
        <v>106</v>
      </c>
      <c r="B475" s="297"/>
      <c r="C475" s="320" t="s">
        <v>107</v>
      </c>
      <c r="D475" s="321"/>
      <c r="E475" s="322"/>
      <c r="F475" s="323">
        <v>0.16</v>
      </c>
      <c r="G475" s="324"/>
      <c r="H475" s="325">
        <v>219.26</v>
      </c>
      <c r="I475" s="283"/>
      <c r="J475" s="267"/>
      <c r="K475" s="260"/>
      <c r="L475" s="261"/>
      <c r="M475" s="261"/>
      <c r="N475" s="261"/>
    </row>
    <row r="476" spans="1:14" s="45" customFormat="1" ht="15.75" hidden="1" thickTop="1">
      <c r="A476" s="296" t="s">
        <v>190</v>
      </c>
      <c r="B476" s="297"/>
      <c r="C476" s="285" t="s">
        <v>191</v>
      </c>
      <c r="D476" s="279"/>
      <c r="E476" s="280"/>
      <c r="F476" s="280"/>
      <c r="G476" s="326"/>
      <c r="H476" s="327">
        <v>5615.2100000000009</v>
      </c>
      <c r="I476" s="298">
        <v>-7215</v>
      </c>
      <c r="J476" s="267"/>
      <c r="K476" s="260"/>
      <c r="L476" s="261"/>
      <c r="M476" s="261"/>
      <c r="N476" s="261"/>
    </row>
    <row r="477" spans="1:14" s="45" customFormat="1" ht="16.5" hidden="1" thickTop="1" thickBot="1">
      <c r="A477" s="296" t="s">
        <v>192</v>
      </c>
      <c r="B477" s="297"/>
      <c r="C477" s="329"/>
      <c r="D477" s="330"/>
      <c r="E477" s="331"/>
      <c r="F477" s="302" t="s">
        <v>193</v>
      </c>
      <c r="G477" s="332">
        <v>22745.21</v>
      </c>
      <c r="H477" s="304">
        <v>22745</v>
      </c>
      <c r="I477" s="305">
        <v>15530</v>
      </c>
      <c r="J477" s="267"/>
      <c r="K477" s="260"/>
      <c r="L477" s="261"/>
      <c r="M477" s="261"/>
      <c r="N477" s="261"/>
    </row>
    <row r="478" spans="1:14" s="45" customFormat="1" ht="15.75" thickTop="1">
      <c r="A478"/>
      <c r="B478"/>
      <c r="C478" s="19"/>
      <c r="D478" s="306"/>
      <c r="E478" s="19"/>
      <c r="F478" s="19"/>
      <c r="G478" s="19"/>
      <c r="H478" s="19"/>
      <c r="I478" s="260"/>
      <c r="J478" s="260"/>
      <c r="K478" s="260"/>
      <c r="L478" s="261"/>
      <c r="M478" s="261"/>
      <c r="N478" s="261"/>
    </row>
    <row r="479" spans="1:14" s="45" customFormat="1" ht="15.75" thickBot="1">
      <c r="A479"/>
      <c r="B479"/>
      <c r="C479" s="19"/>
      <c r="D479" s="306"/>
      <c r="E479" s="19"/>
      <c r="F479" s="19"/>
      <c r="G479" s="19"/>
      <c r="H479" s="19"/>
      <c r="I479" s="260"/>
      <c r="J479" s="260"/>
      <c r="K479" s="260"/>
      <c r="L479" s="261"/>
      <c r="M479" s="261"/>
      <c r="N479" s="261"/>
    </row>
    <row r="480" spans="1:14" s="45" customFormat="1" ht="12.95" customHeight="1" thickTop="1">
      <c r="A480" s="262" t="s">
        <v>262</v>
      </c>
      <c r="B480" s="263"/>
      <c r="C480" s="1651" t="s">
        <v>69</v>
      </c>
      <c r="D480" s="1652"/>
      <c r="E480" s="1652"/>
      <c r="F480" s="1652"/>
      <c r="G480" s="264"/>
      <c r="H480" s="265" t="s">
        <v>205</v>
      </c>
      <c r="I480" s="266" t="s">
        <v>126</v>
      </c>
      <c r="J480" s="267"/>
      <c r="K480" s="260"/>
      <c r="L480" s="261"/>
      <c r="M480" s="261"/>
      <c r="N480" s="261"/>
    </row>
    <row r="481" spans="1:14" s="45" customFormat="1" ht="12.95" customHeight="1">
      <c r="A481" s="262"/>
      <c r="B481" s="263"/>
      <c r="C481" s="1653"/>
      <c r="D481" s="1654"/>
      <c r="E481" s="1654"/>
      <c r="F481" s="1654"/>
      <c r="G481" s="268"/>
      <c r="H481" s="269" t="s">
        <v>179</v>
      </c>
      <c r="I481" s="270">
        <v>218</v>
      </c>
      <c r="J481" s="267"/>
      <c r="K481" s="260"/>
      <c r="L481" s="261"/>
      <c r="M481" s="261"/>
      <c r="N481" s="261"/>
    </row>
    <row r="482" spans="1:14" s="45" customFormat="1">
      <c r="A482" s="271" t="s">
        <v>128</v>
      </c>
      <c r="B482" s="263"/>
      <c r="C482" s="272" t="s">
        <v>21</v>
      </c>
      <c r="D482" s="273" t="s">
        <v>22</v>
      </c>
      <c r="E482" s="274" t="s">
        <v>23</v>
      </c>
      <c r="F482" s="274" t="s">
        <v>129</v>
      </c>
      <c r="G482" s="275" t="s">
        <v>130</v>
      </c>
      <c r="H482" s="276" t="s">
        <v>131</v>
      </c>
      <c r="I482" s="277"/>
      <c r="J482" s="267"/>
      <c r="K482" s="260"/>
      <c r="L482" s="261"/>
      <c r="M482" s="261"/>
      <c r="N482" s="261"/>
    </row>
    <row r="483" spans="1:14" s="45" customFormat="1">
      <c r="A483" s="271"/>
      <c r="B483" s="263"/>
      <c r="C483" s="278"/>
      <c r="D483" s="279"/>
      <c r="E483" s="280"/>
      <c r="F483" s="280"/>
      <c r="G483" s="281"/>
      <c r="H483" s="282"/>
      <c r="I483" s="283"/>
      <c r="J483" s="267"/>
      <c r="K483" s="260"/>
      <c r="L483" s="261"/>
      <c r="M483" s="261"/>
      <c r="N483" s="261"/>
    </row>
    <row r="484" spans="1:14" s="45" customFormat="1">
      <c r="A484" s="284" t="s">
        <v>132</v>
      </c>
      <c r="B484" s="263"/>
      <c r="C484" s="285" t="s">
        <v>133</v>
      </c>
      <c r="D484" s="279"/>
      <c r="E484" s="280"/>
      <c r="F484" s="280"/>
      <c r="G484" s="281"/>
      <c r="H484" s="282"/>
      <c r="I484" s="283"/>
      <c r="J484" s="267"/>
      <c r="K484" s="260"/>
      <c r="L484" s="261"/>
      <c r="M484" s="261"/>
      <c r="N484" s="261"/>
    </row>
    <row r="485" spans="1:14" s="45" customFormat="1">
      <c r="A485" s="284">
        <v>101288</v>
      </c>
      <c r="B485" s="263" t="s">
        <v>134</v>
      </c>
      <c r="C485" s="272" t="s">
        <v>263</v>
      </c>
      <c r="D485" s="273" t="s">
        <v>142</v>
      </c>
      <c r="E485" s="274">
        <v>3</v>
      </c>
      <c r="F485" s="274">
        <v>0.02</v>
      </c>
      <c r="G485" s="275">
        <v>1120</v>
      </c>
      <c r="H485" s="276">
        <v>3360.67</v>
      </c>
      <c r="I485" s="277">
        <v>654.13080000000002</v>
      </c>
      <c r="J485" s="267"/>
      <c r="K485" s="260"/>
      <c r="L485" s="261"/>
      <c r="M485" s="261"/>
      <c r="N485" s="261"/>
    </row>
    <row r="486" spans="1:14" s="45" customFormat="1">
      <c r="A486" s="284">
        <v>102439</v>
      </c>
      <c r="B486" s="263" t="s">
        <v>236</v>
      </c>
      <c r="C486" s="272" t="s">
        <v>264</v>
      </c>
      <c r="D486" s="273" t="s">
        <v>142</v>
      </c>
      <c r="E486" s="274">
        <v>0.2</v>
      </c>
      <c r="F486" s="274">
        <v>0</v>
      </c>
      <c r="G486" s="275">
        <v>4400</v>
      </c>
      <c r="H486" s="276">
        <v>880</v>
      </c>
      <c r="I486" s="277">
        <v>43.6</v>
      </c>
      <c r="J486" s="267"/>
      <c r="K486" s="260"/>
      <c r="L486" s="261"/>
      <c r="M486" s="261"/>
      <c r="N486" s="261"/>
    </row>
    <row r="487" spans="1:14" s="45" customFormat="1">
      <c r="A487" s="284">
        <v>100556</v>
      </c>
      <c r="B487" s="263" t="s">
        <v>140</v>
      </c>
      <c r="C487" s="272" t="s">
        <v>265</v>
      </c>
      <c r="D487" s="273" t="s">
        <v>266</v>
      </c>
      <c r="E487" s="274">
        <v>0.01</v>
      </c>
      <c r="F487" s="274">
        <v>0</v>
      </c>
      <c r="G487" s="275">
        <v>39900</v>
      </c>
      <c r="H487" s="276">
        <v>399</v>
      </c>
      <c r="I487" s="277">
        <v>2.1800000000000002</v>
      </c>
      <c r="J487" s="267"/>
      <c r="K487" s="260"/>
      <c r="L487" s="261"/>
      <c r="M487" s="261"/>
      <c r="N487" s="261"/>
    </row>
    <row r="488" spans="1:14" s="45" customFormat="1">
      <c r="A488" s="284">
        <v>100864</v>
      </c>
      <c r="B488" s="263" t="s">
        <v>267</v>
      </c>
      <c r="C488" s="272" t="s">
        <v>268</v>
      </c>
      <c r="D488" s="273" t="s">
        <v>56</v>
      </c>
      <c r="E488" s="274">
        <v>1</v>
      </c>
      <c r="F488" s="274">
        <v>0.01</v>
      </c>
      <c r="G488" s="275">
        <v>15900</v>
      </c>
      <c r="H488" s="276">
        <v>15901.59</v>
      </c>
      <c r="I488" s="277">
        <v>218.02179999999998</v>
      </c>
      <c r="J488" s="267"/>
      <c r="K488" s="260"/>
      <c r="L488" s="261"/>
      <c r="M488" s="261"/>
      <c r="N488" s="261"/>
    </row>
    <row r="489" spans="1:14" s="45" customFormat="1">
      <c r="A489" s="286" t="s">
        <v>143</v>
      </c>
      <c r="B489" s="263"/>
      <c r="C489" s="278"/>
      <c r="D489" s="279"/>
      <c r="E489" s="280"/>
      <c r="F489" s="280"/>
      <c r="G489" s="281" t="s">
        <v>144</v>
      </c>
      <c r="H489" s="287">
        <v>20541.260000000002</v>
      </c>
      <c r="I489" s="283"/>
      <c r="J489" s="267"/>
      <c r="K489" s="260"/>
      <c r="L489" s="261"/>
      <c r="M489" s="261"/>
      <c r="N489" s="261"/>
    </row>
    <row r="490" spans="1:14" s="45" customFormat="1" ht="27" customHeight="1">
      <c r="A490" s="284" t="s">
        <v>145</v>
      </c>
      <c r="B490" s="263"/>
      <c r="C490" s="288" t="s">
        <v>146</v>
      </c>
      <c r="D490" s="279" t="s">
        <v>147</v>
      </c>
      <c r="E490" s="279" t="s">
        <v>148</v>
      </c>
      <c r="F490" s="279" t="s">
        <v>149</v>
      </c>
      <c r="G490" s="289" t="s">
        <v>150</v>
      </c>
      <c r="H490" s="290" t="s">
        <v>151</v>
      </c>
      <c r="I490" s="283"/>
      <c r="J490" s="267"/>
      <c r="K490" s="260"/>
      <c r="L490" s="261"/>
      <c r="M490" s="261"/>
      <c r="N490" s="261"/>
    </row>
    <row r="491" spans="1:14" s="45" customFormat="1">
      <c r="A491" s="284">
        <v>200007</v>
      </c>
      <c r="B491" s="263" t="s">
        <v>146</v>
      </c>
      <c r="C491" s="272" t="s">
        <v>212</v>
      </c>
      <c r="D491" s="291">
        <v>71304</v>
      </c>
      <c r="E491" s="292">
        <v>1.85</v>
      </c>
      <c r="F491" s="293">
        <v>131912</v>
      </c>
      <c r="G491" s="294">
        <v>10</v>
      </c>
      <c r="H491" s="276">
        <v>13191.2</v>
      </c>
      <c r="I491" s="277">
        <v>21.8</v>
      </c>
      <c r="J491" s="267"/>
      <c r="K491" s="260"/>
      <c r="L491" s="261"/>
      <c r="M491" s="261"/>
      <c r="N491" s="261"/>
    </row>
    <row r="492" spans="1:14" s="45" customFormat="1">
      <c r="A492" s="286" t="s">
        <v>153</v>
      </c>
      <c r="B492" s="263"/>
      <c r="C492" s="278"/>
      <c r="D492" s="279"/>
      <c r="E492" s="280"/>
      <c r="F492" s="280"/>
      <c r="G492" s="281" t="s">
        <v>154</v>
      </c>
      <c r="H492" s="287">
        <v>13191.2</v>
      </c>
      <c r="I492" s="283"/>
      <c r="J492" s="267"/>
      <c r="K492" s="260"/>
      <c r="L492" s="261"/>
      <c r="M492" s="261"/>
      <c r="N492" s="261"/>
    </row>
    <row r="493" spans="1:14" s="45" customFormat="1">
      <c r="A493" s="284" t="s">
        <v>155</v>
      </c>
      <c r="B493" s="263"/>
      <c r="C493" s="295" t="s">
        <v>156</v>
      </c>
      <c r="D493" s="279"/>
      <c r="E493" s="280"/>
      <c r="F493" s="280"/>
      <c r="G493" s="281"/>
      <c r="H493" s="282"/>
      <c r="I493" s="283"/>
      <c r="J493" s="267"/>
      <c r="K493" s="260"/>
      <c r="L493" s="261"/>
      <c r="M493" s="261"/>
      <c r="N493" s="261"/>
    </row>
    <row r="494" spans="1:14" s="45" customFormat="1">
      <c r="A494" s="284">
        <v>300026</v>
      </c>
      <c r="B494" s="263" t="s">
        <v>156</v>
      </c>
      <c r="C494" s="272" t="s">
        <v>157</v>
      </c>
      <c r="D494" s="273" t="s">
        <v>158</v>
      </c>
      <c r="E494" s="292">
        <v>0.05</v>
      </c>
      <c r="F494" s="274">
        <v>0</v>
      </c>
      <c r="G494" s="275">
        <v>13191.2</v>
      </c>
      <c r="H494" s="276">
        <v>659.56</v>
      </c>
      <c r="I494" s="277">
        <v>143784.07999999999</v>
      </c>
      <c r="J494" s="267"/>
      <c r="K494" s="260"/>
      <c r="L494" s="261"/>
      <c r="M494" s="261"/>
      <c r="N494" s="261"/>
    </row>
    <row r="495" spans="1:14" s="45" customFormat="1">
      <c r="A495" s="286" t="s">
        <v>159</v>
      </c>
      <c r="B495" s="263"/>
      <c r="C495" s="278"/>
      <c r="D495" s="279"/>
      <c r="E495" s="280"/>
      <c r="F495" s="280"/>
      <c r="G495" s="281" t="s">
        <v>160</v>
      </c>
      <c r="H495" s="287">
        <v>659.56</v>
      </c>
      <c r="I495" s="283"/>
      <c r="J495" s="267"/>
      <c r="K495" s="260"/>
      <c r="L495" s="261"/>
      <c r="M495" s="261"/>
      <c r="N495" s="261"/>
    </row>
    <row r="496" spans="1:14" s="45" customFormat="1">
      <c r="A496" s="296"/>
      <c r="B496" s="297"/>
      <c r="C496" s="278"/>
      <c r="D496" s="279"/>
      <c r="E496" s="280"/>
      <c r="F496" s="280"/>
      <c r="G496" s="281"/>
      <c r="H496" s="282"/>
      <c r="I496" s="283"/>
      <c r="J496" s="267"/>
      <c r="K496" s="260"/>
      <c r="L496" s="261"/>
      <c r="M496" s="261"/>
      <c r="N496" s="261"/>
    </row>
    <row r="497" spans="1:14" s="45" customFormat="1" ht="15.75" thickBot="1">
      <c r="A497" s="296" t="s">
        <v>26</v>
      </c>
      <c r="B497" s="297"/>
      <c r="C497" s="299"/>
      <c r="D497" s="300"/>
      <c r="E497" s="301"/>
      <c r="F497" s="302" t="s">
        <v>161</v>
      </c>
      <c r="G497" s="303">
        <v>34392.019999999997</v>
      </c>
      <c r="H497" s="304">
        <v>34392</v>
      </c>
      <c r="I497" s="305"/>
      <c r="J497" s="267"/>
      <c r="K497" s="260"/>
      <c r="L497" s="261"/>
      <c r="M497" s="261"/>
      <c r="N497" s="261"/>
    </row>
    <row r="498" spans="1:14" s="45" customFormat="1" ht="15.75" hidden="1" thickTop="1">
      <c r="A498" s="296" t="s">
        <v>188</v>
      </c>
      <c r="B498" s="297"/>
      <c r="C498" s="314" t="s">
        <v>96</v>
      </c>
      <c r="D498" s="315"/>
      <c r="E498" s="316"/>
      <c r="F498" s="316"/>
      <c r="G498" s="318"/>
      <c r="H498" s="319"/>
      <c r="I498" s="283"/>
      <c r="J498" s="267"/>
      <c r="K498" s="260"/>
      <c r="L498" s="261"/>
      <c r="M498" s="261"/>
      <c r="N498" s="261"/>
    </row>
    <row r="499" spans="1:14" s="45" customFormat="1" ht="15.75" hidden="1" thickTop="1">
      <c r="A499" s="284" t="s">
        <v>99</v>
      </c>
      <c r="B499" s="297"/>
      <c r="C499" s="320" t="s">
        <v>100</v>
      </c>
      <c r="D499" s="321"/>
      <c r="E499" s="322"/>
      <c r="F499" s="323">
        <v>0.185</v>
      </c>
      <c r="G499" s="324"/>
      <c r="H499" s="325">
        <v>6362.52</v>
      </c>
      <c r="I499" s="283"/>
      <c r="J499" s="267"/>
      <c r="K499" s="260"/>
      <c r="L499" s="261"/>
      <c r="M499" s="261"/>
      <c r="N499" s="261"/>
    </row>
    <row r="500" spans="1:14" s="45" customFormat="1" ht="15.75" hidden="1" thickTop="1">
      <c r="A500" s="284" t="s">
        <v>189</v>
      </c>
      <c r="B500" s="297"/>
      <c r="C500" s="320" t="s">
        <v>102</v>
      </c>
      <c r="D500" s="321"/>
      <c r="E500" s="322"/>
      <c r="F500" s="323">
        <v>0.05</v>
      </c>
      <c r="G500" s="324"/>
      <c r="H500" s="325">
        <v>1719.6</v>
      </c>
      <c r="I500" s="283"/>
      <c r="J500" s="267"/>
      <c r="K500" s="260"/>
      <c r="L500" s="261"/>
      <c r="M500" s="261"/>
      <c r="N500" s="261"/>
    </row>
    <row r="501" spans="1:14" s="45" customFormat="1" ht="15.75" hidden="1" thickTop="1">
      <c r="A501" s="284" t="s">
        <v>103</v>
      </c>
      <c r="B501" s="297"/>
      <c r="C501" s="320" t="s">
        <v>104</v>
      </c>
      <c r="D501" s="321"/>
      <c r="E501" s="322"/>
      <c r="F501" s="323">
        <v>0.08</v>
      </c>
      <c r="G501" s="324"/>
      <c r="H501" s="325">
        <v>2751.36</v>
      </c>
      <c r="I501" s="283"/>
      <c r="J501" s="267"/>
      <c r="K501" s="260"/>
      <c r="L501" s="261"/>
      <c r="M501" s="261"/>
      <c r="N501" s="261"/>
    </row>
    <row r="502" spans="1:14" s="45" customFormat="1" ht="15.75" hidden="1" thickTop="1">
      <c r="A502" s="284" t="s">
        <v>106</v>
      </c>
      <c r="B502" s="297"/>
      <c r="C502" s="320" t="s">
        <v>107</v>
      </c>
      <c r="D502" s="321"/>
      <c r="E502" s="322"/>
      <c r="F502" s="323">
        <v>0.16</v>
      </c>
      <c r="G502" s="324"/>
      <c r="H502" s="325">
        <v>440.22</v>
      </c>
      <c r="I502" s="283"/>
      <c r="J502" s="267"/>
      <c r="K502" s="260"/>
      <c r="L502" s="261"/>
      <c r="M502" s="261"/>
      <c r="N502" s="261"/>
    </row>
    <row r="503" spans="1:14" s="45" customFormat="1" ht="15.75" hidden="1" thickTop="1">
      <c r="A503" s="296" t="s">
        <v>190</v>
      </c>
      <c r="B503" s="297"/>
      <c r="C503" s="285" t="s">
        <v>191</v>
      </c>
      <c r="D503" s="279"/>
      <c r="E503" s="280"/>
      <c r="F503" s="280"/>
      <c r="G503" s="326"/>
      <c r="H503" s="327">
        <v>11273.7</v>
      </c>
      <c r="I503" s="298">
        <v>-13466</v>
      </c>
      <c r="J503" s="267"/>
      <c r="K503" s="260"/>
      <c r="L503" s="261"/>
      <c r="M503" s="261"/>
      <c r="N503" s="261"/>
    </row>
    <row r="504" spans="1:14" s="45" customFormat="1" ht="16.5" hidden="1" thickTop="1" thickBot="1">
      <c r="A504" s="296" t="s">
        <v>192</v>
      </c>
      <c r="B504" s="297"/>
      <c r="C504" s="329"/>
      <c r="D504" s="330"/>
      <c r="E504" s="331"/>
      <c r="F504" s="302" t="s">
        <v>193</v>
      </c>
      <c r="G504" s="332">
        <v>45665.7</v>
      </c>
      <c r="H504" s="304">
        <v>45666</v>
      </c>
      <c r="I504" s="305">
        <v>32200</v>
      </c>
      <c r="J504" s="267"/>
      <c r="K504" s="260"/>
      <c r="L504" s="261"/>
      <c r="M504" s="261"/>
      <c r="N504" s="261"/>
    </row>
    <row r="505" spans="1:14" s="45" customFormat="1" ht="15.75" thickTop="1">
      <c r="A505"/>
      <c r="B505"/>
      <c r="C505" s="19"/>
      <c r="D505" s="306"/>
      <c r="E505" s="19"/>
      <c r="F505" s="19"/>
      <c r="G505" s="19"/>
      <c r="H505" s="19"/>
      <c r="I505" s="260"/>
      <c r="J505" s="260"/>
      <c r="K505" s="260"/>
      <c r="L505" s="261"/>
      <c r="M505" s="261"/>
      <c r="N505" s="261"/>
    </row>
    <row r="506" spans="1:14" s="45" customFormat="1" ht="15.75" thickBot="1">
      <c r="A506"/>
      <c r="B506"/>
      <c r="C506" s="19"/>
      <c r="D506" s="306"/>
      <c r="E506" s="19"/>
      <c r="F506" s="19"/>
      <c r="G506" s="19"/>
      <c r="H506" s="19"/>
      <c r="I506" s="260"/>
      <c r="J506" s="260"/>
      <c r="K506" s="260"/>
      <c r="L506" s="261"/>
      <c r="M506" s="261"/>
      <c r="N506" s="261"/>
    </row>
    <row r="507" spans="1:14" s="45" customFormat="1" ht="12.95" customHeight="1" thickTop="1">
      <c r="A507" s="262" t="s">
        <v>269</v>
      </c>
      <c r="B507" s="263"/>
      <c r="C507" s="1651" t="s">
        <v>70</v>
      </c>
      <c r="D507" s="1652"/>
      <c r="E507" s="1652"/>
      <c r="F507" s="1652"/>
      <c r="G507" s="264"/>
      <c r="H507" s="265" t="s">
        <v>270</v>
      </c>
      <c r="I507" s="266" t="s">
        <v>126</v>
      </c>
      <c r="J507" s="267"/>
      <c r="K507" s="260"/>
      <c r="L507" s="261"/>
      <c r="M507" s="261"/>
      <c r="N507" s="261"/>
    </row>
    <row r="508" spans="1:14" s="45" customFormat="1" ht="12.95" customHeight="1">
      <c r="A508" s="262"/>
      <c r="B508" s="263"/>
      <c r="C508" s="1653"/>
      <c r="D508" s="1654"/>
      <c r="E508" s="1654"/>
      <c r="F508" s="1654"/>
      <c r="G508" s="268"/>
      <c r="H508" s="269" t="s">
        <v>179</v>
      </c>
      <c r="I508" s="270">
        <v>180</v>
      </c>
      <c r="J508" s="267"/>
      <c r="K508" s="260"/>
      <c r="L508" s="261"/>
      <c r="M508" s="261"/>
      <c r="N508" s="261"/>
    </row>
    <row r="509" spans="1:14" s="45" customFormat="1">
      <c r="A509" s="271" t="s">
        <v>128</v>
      </c>
      <c r="B509" s="263"/>
      <c r="C509" s="272" t="s">
        <v>21</v>
      </c>
      <c r="D509" s="273" t="s">
        <v>22</v>
      </c>
      <c r="E509" s="274" t="s">
        <v>23</v>
      </c>
      <c r="F509" s="274" t="s">
        <v>129</v>
      </c>
      <c r="G509" s="275" t="s">
        <v>130</v>
      </c>
      <c r="H509" s="276" t="s">
        <v>131</v>
      </c>
      <c r="I509" s="277"/>
      <c r="J509" s="267"/>
      <c r="K509" s="260"/>
      <c r="L509" s="261"/>
      <c r="M509" s="261"/>
      <c r="N509" s="261"/>
    </row>
    <row r="510" spans="1:14" s="45" customFormat="1">
      <c r="A510" s="271"/>
      <c r="B510" s="263"/>
      <c r="C510" s="278"/>
      <c r="D510" s="279"/>
      <c r="E510" s="280"/>
      <c r="F510" s="280"/>
      <c r="G510" s="281"/>
      <c r="H510" s="282"/>
      <c r="I510" s="283"/>
      <c r="J510" s="267"/>
      <c r="K510" s="260"/>
      <c r="L510" s="261"/>
      <c r="M510" s="261"/>
      <c r="N510" s="261"/>
    </row>
    <row r="511" spans="1:14" s="45" customFormat="1">
      <c r="A511" s="284" t="s">
        <v>132</v>
      </c>
      <c r="B511" s="263"/>
      <c r="C511" s="285" t="s">
        <v>133</v>
      </c>
      <c r="D511" s="279"/>
      <c r="E511" s="280"/>
      <c r="F511" s="280"/>
      <c r="G511" s="281"/>
      <c r="H511" s="282"/>
      <c r="I511" s="283"/>
      <c r="J511" s="267"/>
      <c r="K511" s="260"/>
      <c r="L511" s="261"/>
      <c r="M511" s="261"/>
      <c r="N511" s="261"/>
    </row>
    <row r="512" spans="1:14" s="45" customFormat="1">
      <c r="A512" s="284">
        <v>101131</v>
      </c>
      <c r="B512" s="263" t="s">
        <v>216</v>
      </c>
      <c r="C512" s="272" t="s">
        <v>271</v>
      </c>
      <c r="D512" s="273" t="s">
        <v>22</v>
      </c>
      <c r="E512" s="274">
        <v>0.33500000000000002</v>
      </c>
      <c r="F512" s="274">
        <v>0</v>
      </c>
      <c r="G512" s="275">
        <v>1572</v>
      </c>
      <c r="H512" s="276">
        <v>526.62</v>
      </c>
      <c r="I512" s="277">
        <v>60.300000000000004</v>
      </c>
      <c r="J512" s="267"/>
      <c r="K512" s="260"/>
      <c r="L512" s="261"/>
      <c r="M512" s="261"/>
      <c r="N512" s="261"/>
    </row>
    <row r="513" spans="1:14" s="45" customFormat="1">
      <c r="A513" s="284">
        <v>101507</v>
      </c>
      <c r="B513" s="263" t="s">
        <v>181</v>
      </c>
      <c r="C513" s="272" t="s">
        <v>272</v>
      </c>
      <c r="D513" s="273" t="s">
        <v>183</v>
      </c>
      <c r="E513" s="274">
        <v>0.05</v>
      </c>
      <c r="F513" s="274">
        <v>0</v>
      </c>
      <c r="G513" s="275">
        <v>2000</v>
      </c>
      <c r="H513" s="276">
        <v>100</v>
      </c>
      <c r="I513" s="277">
        <v>9</v>
      </c>
      <c r="J513" s="267"/>
      <c r="K513" s="260"/>
      <c r="L513" s="261"/>
      <c r="M513" s="261"/>
      <c r="N513" s="261"/>
    </row>
    <row r="514" spans="1:14" s="45" customFormat="1">
      <c r="A514" s="296" t="s">
        <v>220</v>
      </c>
      <c r="B514" s="263" t="s">
        <v>210</v>
      </c>
      <c r="C514" s="272" t="s">
        <v>221</v>
      </c>
      <c r="D514" s="273" t="s">
        <v>139</v>
      </c>
      <c r="E514" s="274">
        <v>7.0000000000000007E-2</v>
      </c>
      <c r="F514" s="274">
        <v>0</v>
      </c>
      <c r="G514" s="275">
        <v>236654</v>
      </c>
      <c r="H514" s="276">
        <v>16565.78</v>
      </c>
      <c r="I514" s="277">
        <v>12.600000000000001</v>
      </c>
      <c r="J514" s="267"/>
      <c r="K514" s="260"/>
      <c r="L514" s="261"/>
      <c r="M514" s="261"/>
      <c r="N514" s="261"/>
    </row>
    <row r="515" spans="1:14" s="45" customFormat="1">
      <c r="A515" s="286" t="s">
        <v>143</v>
      </c>
      <c r="B515" s="263"/>
      <c r="C515" s="278"/>
      <c r="D515" s="279"/>
      <c r="E515" s="280"/>
      <c r="F515" s="280"/>
      <c r="G515" s="281" t="s">
        <v>144</v>
      </c>
      <c r="H515" s="287">
        <v>17192.399999999998</v>
      </c>
      <c r="I515" s="283"/>
      <c r="J515" s="267"/>
      <c r="K515" s="260"/>
      <c r="L515" s="261"/>
      <c r="M515" s="261"/>
      <c r="N515" s="261"/>
    </row>
    <row r="516" spans="1:14" s="45" customFormat="1" ht="27" customHeight="1">
      <c r="A516" s="284" t="s">
        <v>145</v>
      </c>
      <c r="B516" s="263"/>
      <c r="C516" s="288" t="s">
        <v>146</v>
      </c>
      <c r="D516" s="279" t="s">
        <v>147</v>
      </c>
      <c r="E516" s="279" t="s">
        <v>148</v>
      </c>
      <c r="F516" s="279" t="s">
        <v>149</v>
      </c>
      <c r="G516" s="289" t="s">
        <v>150</v>
      </c>
      <c r="H516" s="290" t="s">
        <v>151</v>
      </c>
      <c r="I516" s="283"/>
      <c r="J516" s="267"/>
      <c r="K516" s="260"/>
      <c r="L516" s="261"/>
      <c r="M516" s="261"/>
      <c r="N516" s="261"/>
    </row>
    <row r="517" spans="1:14" s="45" customFormat="1">
      <c r="A517" s="284">
        <v>200007</v>
      </c>
      <c r="B517" s="263" t="s">
        <v>146</v>
      </c>
      <c r="C517" s="272" t="s">
        <v>212</v>
      </c>
      <c r="D517" s="291">
        <v>71304</v>
      </c>
      <c r="E517" s="292">
        <v>1.85</v>
      </c>
      <c r="F517" s="293">
        <v>131912</v>
      </c>
      <c r="G517" s="294">
        <v>17.582999999999998</v>
      </c>
      <c r="H517" s="276">
        <v>7502.2460000000001</v>
      </c>
      <c r="I517" s="277">
        <v>10.237160894045386</v>
      </c>
      <c r="J517" s="267"/>
      <c r="K517" s="260"/>
      <c r="L517" s="261"/>
      <c r="M517" s="261"/>
      <c r="N517" s="261"/>
    </row>
    <row r="518" spans="1:14" s="45" customFormat="1">
      <c r="A518" s="286" t="s">
        <v>153</v>
      </c>
      <c r="B518" s="263"/>
      <c r="C518" s="278"/>
      <c r="D518" s="279"/>
      <c r="E518" s="280"/>
      <c r="F518" s="280"/>
      <c r="G518" s="281" t="s">
        <v>154</v>
      </c>
      <c r="H518" s="287">
        <v>7502.2460000000001</v>
      </c>
      <c r="I518" s="283"/>
      <c r="J518" s="267"/>
      <c r="K518" s="260"/>
      <c r="L518" s="261"/>
      <c r="M518" s="261"/>
      <c r="N518" s="261"/>
    </row>
    <row r="519" spans="1:14" s="45" customFormat="1">
      <c r="A519" s="284" t="s">
        <v>155</v>
      </c>
      <c r="B519" s="263"/>
      <c r="C519" s="295" t="s">
        <v>156</v>
      </c>
      <c r="D519" s="279"/>
      <c r="E519" s="280"/>
      <c r="F519" s="280"/>
      <c r="G519" s="281"/>
      <c r="H519" s="282"/>
      <c r="I519" s="283"/>
      <c r="J519" s="267"/>
      <c r="K519" s="260"/>
      <c r="L519" s="261"/>
      <c r="M519" s="261"/>
      <c r="N519" s="261"/>
    </row>
    <row r="520" spans="1:14" s="45" customFormat="1">
      <c r="A520" s="284">
        <v>300026</v>
      </c>
      <c r="B520" s="263" t="s">
        <v>156</v>
      </c>
      <c r="C520" s="272" t="s">
        <v>157</v>
      </c>
      <c r="D520" s="273" t="s">
        <v>158</v>
      </c>
      <c r="E520" s="292">
        <v>0.05</v>
      </c>
      <c r="F520" s="274">
        <v>0</v>
      </c>
      <c r="G520" s="275">
        <v>7502.2460000000001</v>
      </c>
      <c r="H520" s="276">
        <v>375.11</v>
      </c>
      <c r="I520" s="277">
        <v>67519.8</v>
      </c>
      <c r="J520" s="267"/>
      <c r="K520" s="260"/>
      <c r="L520" s="261"/>
      <c r="M520" s="261"/>
      <c r="N520" s="261"/>
    </row>
    <row r="521" spans="1:14" s="45" customFormat="1">
      <c r="A521" s="286" t="s">
        <v>159</v>
      </c>
      <c r="B521" s="263"/>
      <c r="C521" s="278"/>
      <c r="D521" s="279"/>
      <c r="E521" s="280"/>
      <c r="F521" s="280"/>
      <c r="G521" s="281" t="s">
        <v>160</v>
      </c>
      <c r="H521" s="287">
        <v>375.11</v>
      </c>
      <c r="I521" s="283"/>
      <c r="J521" s="267"/>
      <c r="K521" s="260"/>
      <c r="L521" s="261"/>
      <c r="M521" s="261"/>
      <c r="N521" s="261"/>
    </row>
    <row r="522" spans="1:14" s="45" customFormat="1">
      <c r="A522" s="296"/>
      <c r="B522" s="297"/>
      <c r="C522" s="278"/>
      <c r="D522" s="279"/>
      <c r="E522" s="280"/>
      <c r="F522" s="280"/>
      <c r="G522" s="281"/>
      <c r="H522" s="282"/>
      <c r="I522" s="283"/>
      <c r="J522" s="267"/>
      <c r="K522" s="260"/>
      <c r="L522" s="261"/>
      <c r="M522" s="261"/>
      <c r="N522" s="261"/>
    </row>
    <row r="523" spans="1:14" s="45" customFormat="1" ht="15.75" thickBot="1">
      <c r="A523" s="296" t="s">
        <v>26</v>
      </c>
      <c r="B523" s="297"/>
      <c r="C523" s="299"/>
      <c r="D523" s="300"/>
      <c r="E523" s="301"/>
      <c r="F523" s="302" t="s">
        <v>161</v>
      </c>
      <c r="G523" s="303">
        <v>25069.755999999998</v>
      </c>
      <c r="H523" s="304">
        <v>25070</v>
      </c>
      <c r="I523" s="305"/>
      <c r="J523" s="267"/>
      <c r="K523" s="260"/>
      <c r="L523" s="261"/>
      <c r="M523" s="261"/>
      <c r="N523" s="261"/>
    </row>
    <row r="524" spans="1:14" s="45" customFormat="1" ht="15.75" hidden="1" thickTop="1">
      <c r="A524" s="296" t="s">
        <v>188</v>
      </c>
      <c r="B524" s="297"/>
      <c r="C524" s="314" t="s">
        <v>96</v>
      </c>
      <c r="D524" s="315"/>
      <c r="E524" s="316"/>
      <c r="F524" s="316"/>
      <c r="G524" s="318"/>
      <c r="H524" s="319"/>
      <c r="I524" s="283"/>
      <c r="J524" s="267"/>
      <c r="K524" s="260"/>
      <c r="L524" s="261"/>
      <c r="M524" s="261"/>
      <c r="N524" s="261"/>
    </row>
    <row r="525" spans="1:14" s="45" customFormat="1" ht="15.75" hidden="1" thickTop="1">
      <c r="A525" s="284" t="s">
        <v>99</v>
      </c>
      <c r="B525" s="297"/>
      <c r="C525" s="320" t="s">
        <v>100</v>
      </c>
      <c r="D525" s="321"/>
      <c r="E525" s="322"/>
      <c r="F525" s="323">
        <v>0.185</v>
      </c>
      <c r="G525" s="324"/>
      <c r="H525" s="325">
        <v>4637.95</v>
      </c>
      <c r="I525" s="283"/>
      <c r="J525" s="267"/>
      <c r="K525" s="260"/>
      <c r="L525" s="261"/>
      <c r="M525" s="261"/>
      <c r="N525" s="261"/>
    </row>
    <row r="526" spans="1:14" s="45" customFormat="1" ht="15.75" hidden="1" thickTop="1">
      <c r="A526" s="284" t="s">
        <v>189</v>
      </c>
      <c r="B526" s="297"/>
      <c r="C526" s="320" t="s">
        <v>102</v>
      </c>
      <c r="D526" s="321"/>
      <c r="E526" s="322"/>
      <c r="F526" s="323">
        <v>0.05</v>
      </c>
      <c r="G526" s="324"/>
      <c r="H526" s="325">
        <v>1253.5</v>
      </c>
      <c r="I526" s="283"/>
      <c r="J526" s="267"/>
      <c r="K526" s="260"/>
      <c r="L526" s="261"/>
      <c r="M526" s="261"/>
      <c r="N526" s="261"/>
    </row>
    <row r="527" spans="1:14" s="45" customFormat="1" ht="15.75" hidden="1" thickTop="1">
      <c r="A527" s="284" t="s">
        <v>103</v>
      </c>
      <c r="B527" s="297"/>
      <c r="C527" s="320" t="s">
        <v>104</v>
      </c>
      <c r="D527" s="321"/>
      <c r="E527" s="322"/>
      <c r="F527" s="323">
        <v>0.08</v>
      </c>
      <c r="G527" s="324"/>
      <c r="H527" s="325">
        <v>2005.6</v>
      </c>
      <c r="I527" s="283"/>
      <c r="J527" s="267"/>
      <c r="K527" s="260"/>
      <c r="L527" s="261"/>
      <c r="M527" s="261"/>
      <c r="N527" s="261"/>
    </row>
    <row r="528" spans="1:14" s="45" customFormat="1" ht="15.75" hidden="1" thickTop="1">
      <c r="A528" s="284" t="s">
        <v>106</v>
      </c>
      <c r="B528" s="297"/>
      <c r="C528" s="320" t="s">
        <v>107</v>
      </c>
      <c r="D528" s="321"/>
      <c r="E528" s="322"/>
      <c r="F528" s="323">
        <v>0.16</v>
      </c>
      <c r="G528" s="324"/>
      <c r="H528" s="325">
        <v>320.89999999999998</v>
      </c>
      <c r="I528" s="283"/>
      <c r="J528" s="267"/>
      <c r="K528" s="260"/>
      <c r="L528" s="261"/>
      <c r="M528" s="261"/>
      <c r="N528" s="261"/>
    </row>
    <row r="529" spans="1:14" s="45" customFormat="1" ht="15.75" hidden="1" thickTop="1">
      <c r="A529" s="296" t="s">
        <v>190</v>
      </c>
      <c r="B529" s="297"/>
      <c r="C529" s="285" t="s">
        <v>191</v>
      </c>
      <c r="D529" s="279"/>
      <c r="E529" s="280"/>
      <c r="F529" s="280"/>
      <c r="G529" s="326"/>
      <c r="H529" s="327">
        <v>8217.9499999999989</v>
      </c>
      <c r="I529" s="298">
        <v>-9528</v>
      </c>
      <c r="J529" s="267"/>
      <c r="K529" s="260"/>
      <c r="L529" s="261"/>
      <c r="M529" s="261"/>
      <c r="N529" s="261"/>
    </row>
    <row r="530" spans="1:14" s="45" customFormat="1" ht="16.5" hidden="1" thickTop="1" thickBot="1">
      <c r="A530" s="296" t="s">
        <v>192</v>
      </c>
      <c r="B530" s="297"/>
      <c r="C530" s="329"/>
      <c r="D530" s="330"/>
      <c r="E530" s="331"/>
      <c r="F530" s="302" t="s">
        <v>193</v>
      </c>
      <c r="G530" s="332">
        <v>33287.949999999997</v>
      </c>
      <c r="H530" s="304">
        <v>33288</v>
      </c>
      <c r="I530" s="305">
        <v>23760</v>
      </c>
      <c r="J530" s="267"/>
      <c r="K530" s="260"/>
      <c r="L530" s="261"/>
      <c r="M530" s="261"/>
      <c r="N530" s="261"/>
    </row>
    <row r="531" spans="1:14" s="45" customFormat="1" ht="15.75" thickTop="1">
      <c r="A531"/>
      <c r="B531"/>
      <c r="C531" s="19"/>
      <c r="D531" s="306"/>
      <c r="E531" s="19"/>
      <c r="F531" s="19"/>
      <c r="G531" s="19"/>
      <c r="H531" s="19"/>
      <c r="I531" s="260"/>
      <c r="J531" s="260"/>
      <c r="K531" s="260"/>
      <c r="L531" s="261"/>
      <c r="M531" s="261"/>
      <c r="N531" s="261"/>
    </row>
    <row r="532" spans="1:14" s="45" customFormat="1" ht="15.75" thickBot="1">
      <c r="A532"/>
      <c r="B532"/>
      <c r="C532" s="19"/>
      <c r="D532" s="306"/>
      <c r="E532" s="19"/>
      <c r="F532" s="19"/>
      <c r="G532" s="19"/>
      <c r="H532" s="19"/>
      <c r="I532" s="260"/>
      <c r="J532" s="260"/>
      <c r="K532" s="260"/>
      <c r="L532" s="261"/>
      <c r="M532" s="261"/>
      <c r="N532" s="261"/>
    </row>
    <row r="533" spans="1:14" s="45" customFormat="1" ht="12.95" customHeight="1" thickTop="1">
      <c r="A533" s="262" t="s">
        <v>273</v>
      </c>
      <c r="B533" s="263"/>
      <c r="C533" s="1651" t="s">
        <v>71</v>
      </c>
      <c r="D533" s="1652"/>
      <c r="E533" s="1652"/>
      <c r="F533" s="1652"/>
      <c r="G533" s="264"/>
      <c r="H533" s="265" t="s">
        <v>205</v>
      </c>
      <c r="I533" s="266" t="s">
        <v>126</v>
      </c>
      <c r="J533" s="267"/>
      <c r="K533" s="260"/>
      <c r="L533" s="261"/>
      <c r="M533" s="261"/>
      <c r="N533" s="261"/>
    </row>
    <row r="534" spans="1:14" s="45" customFormat="1" ht="12.95" customHeight="1">
      <c r="A534" s="262"/>
      <c r="B534" s="263"/>
      <c r="C534" s="1653"/>
      <c r="D534" s="1654"/>
      <c r="E534" s="1654"/>
      <c r="F534" s="1654"/>
      <c r="G534" s="268"/>
      <c r="H534" s="269" t="s">
        <v>179</v>
      </c>
      <c r="I534" s="270">
        <v>60</v>
      </c>
      <c r="J534" s="267"/>
      <c r="K534" s="260"/>
      <c r="L534" s="261"/>
      <c r="M534" s="261"/>
      <c r="N534" s="261"/>
    </row>
    <row r="535" spans="1:14" s="45" customFormat="1">
      <c r="A535" s="271" t="s">
        <v>128</v>
      </c>
      <c r="B535" s="263"/>
      <c r="C535" s="272" t="s">
        <v>21</v>
      </c>
      <c r="D535" s="273" t="s">
        <v>22</v>
      </c>
      <c r="E535" s="274" t="s">
        <v>23</v>
      </c>
      <c r="F535" s="274" t="s">
        <v>129</v>
      </c>
      <c r="G535" s="275" t="s">
        <v>130</v>
      </c>
      <c r="H535" s="276" t="s">
        <v>131</v>
      </c>
      <c r="I535" s="277"/>
      <c r="J535" s="267"/>
      <c r="K535" s="260"/>
      <c r="L535" s="261"/>
      <c r="M535" s="261"/>
      <c r="N535" s="261"/>
    </row>
    <row r="536" spans="1:14" s="45" customFormat="1">
      <c r="A536" s="271"/>
      <c r="B536" s="263"/>
      <c r="C536" s="278"/>
      <c r="D536" s="279"/>
      <c r="E536" s="280"/>
      <c r="F536" s="280"/>
      <c r="G536" s="281"/>
      <c r="H536" s="282"/>
      <c r="I536" s="283"/>
      <c r="J536" s="267"/>
      <c r="K536" s="260"/>
      <c r="L536" s="261"/>
      <c r="M536" s="261"/>
      <c r="N536" s="261"/>
    </row>
    <row r="537" spans="1:14" s="45" customFormat="1">
      <c r="A537" s="284" t="s">
        <v>132</v>
      </c>
      <c r="B537" s="263"/>
      <c r="C537" s="285" t="s">
        <v>133</v>
      </c>
      <c r="D537" s="279"/>
      <c r="E537" s="280"/>
      <c r="F537" s="280"/>
      <c r="G537" s="281"/>
      <c r="H537" s="282"/>
      <c r="I537" s="283"/>
      <c r="J537" s="267"/>
      <c r="K537" s="260"/>
      <c r="L537" s="261"/>
      <c r="M537" s="261"/>
      <c r="N537" s="261"/>
    </row>
    <row r="538" spans="1:14" s="45" customFormat="1">
      <c r="A538" s="284">
        <v>101291</v>
      </c>
      <c r="B538" s="263" t="s">
        <v>134</v>
      </c>
      <c r="C538" s="272" t="s">
        <v>274</v>
      </c>
      <c r="D538" s="273" t="s">
        <v>142</v>
      </c>
      <c r="E538" s="274">
        <v>5</v>
      </c>
      <c r="F538" s="274">
        <v>0</v>
      </c>
      <c r="G538" s="275">
        <v>1120</v>
      </c>
      <c r="H538" s="276">
        <v>5600</v>
      </c>
      <c r="I538" s="277">
        <v>300</v>
      </c>
      <c r="J538" s="267"/>
      <c r="K538" s="260"/>
      <c r="L538" s="261"/>
      <c r="M538" s="261"/>
      <c r="N538" s="261"/>
    </row>
    <row r="539" spans="1:14" s="45" customFormat="1">
      <c r="A539" s="284">
        <v>101745</v>
      </c>
      <c r="B539" s="263" t="s">
        <v>275</v>
      </c>
      <c r="C539" s="272" t="s">
        <v>276</v>
      </c>
      <c r="D539" s="273" t="s">
        <v>56</v>
      </c>
      <c r="E539" s="274">
        <v>1</v>
      </c>
      <c r="F539" s="274">
        <v>5</v>
      </c>
      <c r="G539" s="275">
        <v>15300</v>
      </c>
      <c r="H539" s="276">
        <v>16065</v>
      </c>
      <c r="I539" s="277">
        <v>63</v>
      </c>
      <c r="J539" s="267"/>
      <c r="K539" s="260"/>
      <c r="L539" s="261"/>
      <c r="M539" s="261"/>
      <c r="N539" s="261"/>
    </row>
    <row r="540" spans="1:14" s="45" customFormat="1">
      <c r="A540" s="284">
        <v>100861</v>
      </c>
      <c r="B540" s="263" t="s">
        <v>275</v>
      </c>
      <c r="C540" s="272" t="s">
        <v>277</v>
      </c>
      <c r="D540" s="273" t="s">
        <v>142</v>
      </c>
      <c r="E540" s="274">
        <v>2.1</v>
      </c>
      <c r="F540" s="274">
        <v>0</v>
      </c>
      <c r="G540" s="275">
        <v>3500</v>
      </c>
      <c r="H540" s="276">
        <v>7350</v>
      </c>
      <c r="I540" s="277">
        <v>126</v>
      </c>
      <c r="J540" s="267"/>
      <c r="K540" s="260"/>
      <c r="L540" s="261"/>
      <c r="M540" s="261"/>
      <c r="N540" s="261"/>
    </row>
    <row r="541" spans="1:14" s="45" customFormat="1">
      <c r="A541" s="286" t="s">
        <v>143</v>
      </c>
      <c r="B541" s="263"/>
      <c r="C541" s="278"/>
      <c r="D541" s="279"/>
      <c r="E541" s="280"/>
      <c r="F541" s="280"/>
      <c r="G541" s="281" t="s">
        <v>144</v>
      </c>
      <c r="H541" s="287">
        <v>29015</v>
      </c>
      <c r="I541" s="283"/>
      <c r="J541" s="267"/>
      <c r="K541" s="260"/>
      <c r="L541" s="261"/>
      <c r="M541" s="261"/>
      <c r="N541" s="261"/>
    </row>
    <row r="542" spans="1:14" s="45" customFormat="1" ht="27" customHeight="1">
      <c r="A542" s="284" t="s">
        <v>145</v>
      </c>
      <c r="B542" s="263"/>
      <c r="C542" s="288" t="s">
        <v>146</v>
      </c>
      <c r="D542" s="279" t="s">
        <v>147</v>
      </c>
      <c r="E542" s="279" t="s">
        <v>148</v>
      </c>
      <c r="F542" s="279" t="s">
        <v>149</v>
      </c>
      <c r="G542" s="289" t="s">
        <v>150</v>
      </c>
      <c r="H542" s="290" t="s">
        <v>151</v>
      </c>
      <c r="I542" s="283"/>
      <c r="J542" s="267"/>
      <c r="K542" s="260"/>
      <c r="L542" s="261"/>
      <c r="M542" s="261"/>
      <c r="N542" s="261"/>
    </row>
    <row r="543" spans="1:14" s="45" customFormat="1">
      <c r="A543" s="284">
        <v>200004</v>
      </c>
      <c r="B543" s="263" t="s">
        <v>146</v>
      </c>
      <c r="C543" s="272" t="s">
        <v>278</v>
      </c>
      <c r="D543" s="291">
        <v>80216</v>
      </c>
      <c r="E543" s="292">
        <v>1.85</v>
      </c>
      <c r="F543" s="293">
        <v>148399</v>
      </c>
      <c r="G543" s="294">
        <v>10</v>
      </c>
      <c r="H543" s="276">
        <v>14839.9</v>
      </c>
      <c r="I543" s="277">
        <v>6</v>
      </c>
      <c r="J543" s="267"/>
      <c r="K543" s="260"/>
      <c r="L543" s="261"/>
      <c r="M543" s="261"/>
      <c r="N543" s="261"/>
    </row>
    <row r="544" spans="1:14" s="45" customFormat="1">
      <c r="A544" s="286" t="s">
        <v>153</v>
      </c>
      <c r="B544" s="263"/>
      <c r="C544" s="278"/>
      <c r="D544" s="279"/>
      <c r="E544" s="280"/>
      <c r="F544" s="280"/>
      <c r="G544" s="281" t="s">
        <v>154</v>
      </c>
      <c r="H544" s="287">
        <v>14839.9</v>
      </c>
      <c r="I544" s="283"/>
      <c r="J544" s="267"/>
      <c r="K544" s="260"/>
      <c r="L544" s="261"/>
      <c r="M544" s="261"/>
      <c r="N544" s="261"/>
    </row>
    <row r="545" spans="1:14" s="45" customFormat="1">
      <c r="A545" s="284" t="s">
        <v>155</v>
      </c>
      <c r="B545" s="263"/>
      <c r="C545" s="295" t="s">
        <v>156</v>
      </c>
      <c r="D545" s="279"/>
      <c r="E545" s="280"/>
      <c r="F545" s="280"/>
      <c r="G545" s="281"/>
      <c r="H545" s="282"/>
      <c r="I545" s="283"/>
      <c r="J545" s="267"/>
      <c r="K545" s="260"/>
      <c r="L545" s="261"/>
      <c r="M545" s="261"/>
      <c r="N545" s="261"/>
    </row>
    <row r="546" spans="1:14" s="45" customFormat="1">
      <c r="A546" s="284">
        <v>300040</v>
      </c>
      <c r="B546" s="263" t="s">
        <v>156</v>
      </c>
      <c r="C546" s="272" t="s">
        <v>279</v>
      </c>
      <c r="D546" s="273" t="s">
        <v>173</v>
      </c>
      <c r="E546" s="274">
        <v>5.0000000000000001E-3</v>
      </c>
      <c r="F546" s="274">
        <v>0</v>
      </c>
      <c r="G546" s="275">
        <v>26000</v>
      </c>
      <c r="H546" s="276">
        <v>130</v>
      </c>
      <c r="I546" s="277">
        <v>0.3</v>
      </c>
      <c r="J546" s="267"/>
      <c r="K546" s="260"/>
      <c r="L546" s="261"/>
      <c r="M546" s="261"/>
      <c r="N546" s="261"/>
    </row>
    <row r="547" spans="1:14" s="45" customFormat="1">
      <c r="A547" s="284">
        <v>300026</v>
      </c>
      <c r="B547" s="263" t="s">
        <v>156</v>
      </c>
      <c r="C547" s="272" t="s">
        <v>157</v>
      </c>
      <c r="D547" s="273" t="s">
        <v>158</v>
      </c>
      <c r="E547" s="292">
        <v>0.05</v>
      </c>
      <c r="F547" s="274">
        <v>0</v>
      </c>
      <c r="G547" s="275">
        <v>14839.9</v>
      </c>
      <c r="H547" s="276">
        <v>741.99</v>
      </c>
      <c r="I547" s="277">
        <v>44519.4</v>
      </c>
      <c r="J547" s="267"/>
      <c r="K547" s="260"/>
      <c r="L547" s="261"/>
      <c r="M547" s="261"/>
      <c r="N547" s="261"/>
    </row>
    <row r="548" spans="1:14" s="45" customFormat="1">
      <c r="A548" s="286" t="s">
        <v>159</v>
      </c>
      <c r="B548" s="263"/>
      <c r="C548" s="278"/>
      <c r="D548" s="279"/>
      <c r="E548" s="280"/>
      <c r="F548" s="280"/>
      <c r="G548" s="281" t="s">
        <v>160</v>
      </c>
      <c r="H548" s="287">
        <v>871.99</v>
      </c>
      <c r="I548" s="283"/>
      <c r="J548" s="267"/>
      <c r="K548" s="260"/>
      <c r="L548" s="261"/>
      <c r="M548" s="261"/>
      <c r="N548" s="261"/>
    </row>
    <row r="549" spans="1:14" s="45" customFormat="1">
      <c r="A549" s="296"/>
      <c r="B549" s="297"/>
      <c r="C549" s="278"/>
      <c r="D549" s="279"/>
      <c r="E549" s="280"/>
      <c r="F549" s="280"/>
      <c r="G549" s="281"/>
      <c r="H549" s="282"/>
      <c r="I549" s="283"/>
      <c r="J549" s="267"/>
      <c r="K549" s="260"/>
      <c r="L549" s="261"/>
      <c r="M549" s="261"/>
      <c r="N549" s="261"/>
    </row>
    <row r="550" spans="1:14" s="45" customFormat="1" ht="15.75" thickBot="1">
      <c r="A550" s="296" t="s">
        <v>26</v>
      </c>
      <c r="B550" s="297"/>
      <c r="C550" s="299"/>
      <c r="D550" s="300"/>
      <c r="E550" s="301"/>
      <c r="F550" s="302" t="s">
        <v>161</v>
      </c>
      <c r="G550" s="303">
        <v>44726.89</v>
      </c>
      <c r="H550" s="304">
        <v>44727</v>
      </c>
      <c r="I550" s="305"/>
      <c r="J550" s="267"/>
      <c r="K550" s="260"/>
      <c r="L550" s="261"/>
      <c r="M550" s="261"/>
      <c r="N550" s="261"/>
    </row>
    <row r="551" spans="1:14" s="45" customFormat="1" ht="15.75" hidden="1" thickTop="1">
      <c r="A551" s="296" t="s">
        <v>188</v>
      </c>
      <c r="B551" s="297"/>
      <c r="C551" s="314" t="s">
        <v>96</v>
      </c>
      <c r="D551" s="315"/>
      <c r="E551" s="316"/>
      <c r="F551" s="316"/>
      <c r="G551" s="318"/>
      <c r="H551" s="319"/>
      <c r="I551" s="283"/>
      <c r="J551" s="267"/>
      <c r="K551" s="260"/>
      <c r="L551" s="261"/>
      <c r="M551" s="261"/>
      <c r="N551" s="261"/>
    </row>
    <row r="552" spans="1:14" s="45" customFormat="1" ht="15.75" hidden="1" thickTop="1">
      <c r="A552" s="284" t="s">
        <v>99</v>
      </c>
      <c r="B552" s="297"/>
      <c r="C552" s="320" t="s">
        <v>100</v>
      </c>
      <c r="D552" s="321"/>
      <c r="E552" s="322"/>
      <c r="F552" s="323">
        <v>0.185</v>
      </c>
      <c r="G552" s="324"/>
      <c r="H552" s="325">
        <v>8274.5</v>
      </c>
      <c r="I552" s="283"/>
      <c r="J552" s="267"/>
      <c r="K552" s="260"/>
      <c r="L552" s="261"/>
      <c r="M552" s="261"/>
      <c r="N552" s="261"/>
    </row>
    <row r="553" spans="1:14" s="45" customFormat="1" ht="15.75" hidden="1" thickTop="1">
      <c r="A553" s="284" t="s">
        <v>189</v>
      </c>
      <c r="B553" s="297"/>
      <c r="C553" s="320" t="s">
        <v>102</v>
      </c>
      <c r="D553" s="321"/>
      <c r="E553" s="322"/>
      <c r="F553" s="323">
        <v>0.05</v>
      </c>
      <c r="G553" s="324"/>
      <c r="H553" s="325">
        <v>2236.35</v>
      </c>
      <c r="I553" s="283"/>
      <c r="J553" s="267"/>
      <c r="K553" s="260"/>
      <c r="L553" s="261"/>
      <c r="M553" s="261"/>
      <c r="N553" s="261"/>
    </row>
    <row r="554" spans="1:14" s="45" customFormat="1" ht="15.75" hidden="1" thickTop="1">
      <c r="A554" s="284" t="s">
        <v>103</v>
      </c>
      <c r="B554" s="297"/>
      <c r="C554" s="320" t="s">
        <v>104</v>
      </c>
      <c r="D554" s="321"/>
      <c r="E554" s="322"/>
      <c r="F554" s="323">
        <v>0.08</v>
      </c>
      <c r="G554" s="324"/>
      <c r="H554" s="325">
        <v>3578.16</v>
      </c>
      <c r="I554" s="283"/>
      <c r="J554" s="267"/>
      <c r="K554" s="260"/>
      <c r="L554" s="261"/>
      <c r="M554" s="261"/>
      <c r="N554" s="261"/>
    </row>
    <row r="555" spans="1:14" s="45" customFormat="1" ht="15.75" hidden="1" thickTop="1">
      <c r="A555" s="284" t="s">
        <v>106</v>
      </c>
      <c r="B555" s="297"/>
      <c r="C555" s="320" t="s">
        <v>107</v>
      </c>
      <c r="D555" s="321"/>
      <c r="E555" s="322"/>
      <c r="F555" s="323">
        <v>0.16</v>
      </c>
      <c r="G555" s="324"/>
      <c r="H555" s="325">
        <v>572.51</v>
      </c>
      <c r="I555" s="283"/>
      <c r="J555" s="267"/>
      <c r="K555" s="260"/>
      <c r="L555" s="261"/>
      <c r="M555" s="261"/>
      <c r="N555" s="261"/>
    </row>
    <row r="556" spans="1:14" s="45" customFormat="1" ht="15.75" hidden="1" thickTop="1">
      <c r="A556" s="296" t="s">
        <v>190</v>
      </c>
      <c r="B556" s="297"/>
      <c r="C556" s="285" t="s">
        <v>191</v>
      </c>
      <c r="D556" s="279"/>
      <c r="E556" s="280"/>
      <c r="F556" s="280"/>
      <c r="G556" s="326"/>
      <c r="H556" s="327">
        <v>14661.52</v>
      </c>
      <c r="I556" s="298">
        <v>-3789</v>
      </c>
      <c r="J556" s="267"/>
      <c r="K556" s="260"/>
      <c r="L556" s="261"/>
      <c r="M556" s="261"/>
      <c r="N556" s="261"/>
    </row>
    <row r="557" spans="1:14" s="45" customFormat="1" ht="16.5" hidden="1" thickTop="1" thickBot="1">
      <c r="A557" s="296" t="s">
        <v>192</v>
      </c>
      <c r="B557" s="297"/>
      <c r="C557" s="329"/>
      <c r="D557" s="330"/>
      <c r="E557" s="331"/>
      <c r="F557" s="302" t="s">
        <v>193</v>
      </c>
      <c r="G557" s="332">
        <v>59388.520000000004</v>
      </c>
      <c r="H557" s="304">
        <v>59389</v>
      </c>
      <c r="I557" s="305">
        <v>55600</v>
      </c>
      <c r="J557" s="267"/>
      <c r="K557" s="260"/>
      <c r="L557" s="261"/>
      <c r="M557" s="261"/>
      <c r="N557" s="261"/>
    </row>
    <row r="558" spans="1:14" s="45" customFormat="1" ht="15.75" thickTop="1">
      <c r="A558"/>
      <c r="B558"/>
      <c r="C558" s="19"/>
      <c r="D558" s="306"/>
      <c r="E558" s="19"/>
      <c r="F558" s="19"/>
      <c r="G558" s="19"/>
      <c r="H558" s="19"/>
      <c r="I558" s="260"/>
      <c r="J558" s="260"/>
      <c r="K558" s="260"/>
      <c r="L558" s="261"/>
      <c r="M558" s="261"/>
      <c r="N558" s="261"/>
    </row>
    <row r="559" spans="1:14" s="45" customFormat="1" ht="15.75" thickBot="1">
      <c r="A559"/>
      <c r="B559"/>
      <c r="C559" s="19"/>
      <c r="D559" s="306"/>
      <c r="E559" s="19"/>
      <c r="F559" s="19"/>
      <c r="G559" s="19"/>
      <c r="H559" s="19"/>
      <c r="I559" s="260"/>
      <c r="J559" s="260"/>
      <c r="K559" s="260"/>
      <c r="L559" s="261"/>
      <c r="M559" s="261"/>
      <c r="N559" s="261"/>
    </row>
    <row r="560" spans="1:14" s="45" customFormat="1" ht="12.95" customHeight="1" thickTop="1">
      <c r="A560" s="262" t="s">
        <v>280</v>
      </c>
      <c r="B560" s="263"/>
      <c r="C560" s="1651" t="s">
        <v>72</v>
      </c>
      <c r="D560" s="1652"/>
      <c r="E560" s="1652"/>
      <c r="F560" s="1652"/>
      <c r="G560" s="264"/>
      <c r="H560" s="265" t="s">
        <v>205</v>
      </c>
      <c r="I560" s="266" t="s">
        <v>126</v>
      </c>
      <c r="J560" s="267"/>
      <c r="K560" s="260"/>
      <c r="L560" s="261"/>
      <c r="M560" s="261"/>
      <c r="N560" s="261"/>
    </row>
    <row r="561" spans="1:14" s="45" customFormat="1" ht="12.95" customHeight="1">
      <c r="A561" s="262"/>
      <c r="B561" s="263"/>
      <c r="C561" s="1653"/>
      <c r="D561" s="1654"/>
      <c r="E561" s="1654"/>
      <c r="F561" s="1654"/>
      <c r="G561" s="268"/>
      <c r="H561" s="269" t="s">
        <v>179</v>
      </c>
      <c r="I561" s="270">
        <v>18</v>
      </c>
      <c r="J561" s="267"/>
      <c r="K561" s="260"/>
      <c r="L561" s="261"/>
      <c r="M561" s="261"/>
      <c r="N561" s="261"/>
    </row>
    <row r="562" spans="1:14" s="45" customFormat="1">
      <c r="A562" s="271" t="s">
        <v>128</v>
      </c>
      <c r="B562" s="263"/>
      <c r="C562" s="272" t="s">
        <v>21</v>
      </c>
      <c r="D562" s="273" t="s">
        <v>22</v>
      </c>
      <c r="E562" s="274" t="s">
        <v>23</v>
      </c>
      <c r="F562" s="307" t="s">
        <v>129</v>
      </c>
      <c r="G562" s="275" t="s">
        <v>130</v>
      </c>
      <c r="H562" s="276" t="s">
        <v>131</v>
      </c>
      <c r="I562" s="308"/>
      <c r="J562" s="267"/>
      <c r="K562" s="260"/>
      <c r="L562" s="261"/>
      <c r="M562" s="261"/>
      <c r="N562" s="261"/>
    </row>
    <row r="563" spans="1:14" s="45" customFormat="1">
      <c r="A563" s="271"/>
      <c r="B563" s="263"/>
      <c r="C563" s="278"/>
      <c r="D563" s="279"/>
      <c r="E563" s="280"/>
      <c r="F563" s="309"/>
      <c r="G563" s="281"/>
      <c r="H563" s="282"/>
      <c r="I563" s="310"/>
      <c r="J563" s="267"/>
      <c r="K563" s="260"/>
      <c r="L563" s="261"/>
      <c r="M563" s="261"/>
      <c r="N563" s="261"/>
    </row>
    <row r="564" spans="1:14" s="45" customFormat="1">
      <c r="A564" s="271" t="s">
        <v>132</v>
      </c>
      <c r="B564" s="263"/>
      <c r="C564" s="285" t="s">
        <v>133</v>
      </c>
      <c r="D564" s="279"/>
      <c r="E564" s="280"/>
      <c r="F564" s="309"/>
      <c r="G564" s="281"/>
      <c r="H564" s="282"/>
      <c r="I564" s="310"/>
      <c r="J564" s="267"/>
      <c r="K564" s="260"/>
      <c r="L564" s="261"/>
      <c r="M564" s="261"/>
      <c r="N564" s="261"/>
    </row>
    <row r="565" spans="1:14" s="45" customFormat="1">
      <c r="A565" s="271">
        <v>100076</v>
      </c>
      <c r="B565" s="263" t="s">
        <v>181</v>
      </c>
      <c r="C565" s="272" t="s">
        <v>235</v>
      </c>
      <c r="D565" s="273" t="s">
        <v>142</v>
      </c>
      <c r="E565" s="274">
        <v>0.24</v>
      </c>
      <c r="F565" s="307">
        <v>0</v>
      </c>
      <c r="G565" s="275">
        <v>3000</v>
      </c>
      <c r="H565" s="276">
        <v>720</v>
      </c>
      <c r="I565" s="308">
        <v>4.32</v>
      </c>
      <c r="J565" s="267"/>
      <c r="K565" s="260"/>
      <c r="L565" s="261"/>
      <c r="M565" s="261"/>
      <c r="N565" s="261"/>
    </row>
    <row r="566" spans="1:14" s="45" customFormat="1">
      <c r="A566" s="271">
        <v>111525</v>
      </c>
      <c r="B566" s="263"/>
      <c r="C566" s="272" t="s">
        <v>281</v>
      </c>
      <c r="D566" s="273" t="s">
        <v>22</v>
      </c>
      <c r="E566" s="274">
        <v>0.185</v>
      </c>
      <c r="F566" s="307">
        <v>0</v>
      </c>
      <c r="G566" s="275">
        <v>600</v>
      </c>
      <c r="H566" s="276">
        <v>111</v>
      </c>
      <c r="I566" s="308">
        <v>3.33</v>
      </c>
      <c r="J566" s="267"/>
      <c r="K566" s="260"/>
      <c r="L566" s="261"/>
      <c r="M566" s="261"/>
      <c r="N566" s="261"/>
    </row>
    <row r="567" spans="1:14" s="45" customFormat="1">
      <c r="A567" s="271">
        <v>109069</v>
      </c>
      <c r="B567" s="263"/>
      <c r="C567" s="272" t="s">
        <v>180</v>
      </c>
      <c r="D567" s="273" t="s">
        <v>22</v>
      </c>
      <c r="E567" s="274">
        <v>0.6</v>
      </c>
      <c r="F567" s="307">
        <v>0</v>
      </c>
      <c r="G567" s="275">
        <v>3500</v>
      </c>
      <c r="H567" s="276">
        <v>2100</v>
      </c>
      <c r="I567" s="308">
        <v>10.799999999999999</v>
      </c>
      <c r="J567" s="267"/>
      <c r="K567" s="260"/>
      <c r="L567" s="261"/>
      <c r="M567" s="261"/>
      <c r="N567" s="261"/>
    </row>
    <row r="568" spans="1:14" s="45" customFormat="1">
      <c r="A568" s="271">
        <v>101014</v>
      </c>
      <c r="B568" s="263" t="s">
        <v>181</v>
      </c>
      <c r="C568" s="272" t="s">
        <v>282</v>
      </c>
      <c r="D568" s="273" t="s">
        <v>142</v>
      </c>
      <c r="E568" s="274">
        <v>8</v>
      </c>
      <c r="F568" s="307">
        <v>0</v>
      </c>
      <c r="G568" s="275">
        <v>2330</v>
      </c>
      <c r="H568" s="276">
        <v>18640</v>
      </c>
      <c r="I568" s="308">
        <v>144</v>
      </c>
      <c r="J568" s="267"/>
      <c r="K568" s="260"/>
      <c r="L568" s="261"/>
      <c r="M568" s="261"/>
      <c r="N568" s="261"/>
    </row>
    <row r="569" spans="1:14" s="45" customFormat="1">
      <c r="A569" s="271">
        <v>101509</v>
      </c>
      <c r="B569" s="263" t="s">
        <v>181</v>
      </c>
      <c r="C569" s="272" t="s">
        <v>182</v>
      </c>
      <c r="D569" s="273" t="s">
        <v>183</v>
      </c>
      <c r="E569" s="274">
        <v>0.4</v>
      </c>
      <c r="F569" s="307">
        <v>0</v>
      </c>
      <c r="G569" s="275">
        <v>2000</v>
      </c>
      <c r="H569" s="276">
        <v>800</v>
      </c>
      <c r="I569" s="308">
        <v>7.2</v>
      </c>
      <c r="J569" s="267"/>
      <c r="K569" s="260"/>
      <c r="L569" s="261"/>
      <c r="M569" s="261"/>
      <c r="N569" s="261"/>
    </row>
    <row r="570" spans="1:14" s="45" customFormat="1">
      <c r="A570" s="271">
        <v>101717</v>
      </c>
      <c r="B570" s="263" t="s">
        <v>216</v>
      </c>
      <c r="C570" s="272" t="s">
        <v>219</v>
      </c>
      <c r="D570" s="273" t="s">
        <v>22</v>
      </c>
      <c r="E570" s="274">
        <v>1.1000000000000001</v>
      </c>
      <c r="F570" s="307">
        <v>0</v>
      </c>
      <c r="G570" s="275">
        <v>8000</v>
      </c>
      <c r="H570" s="276">
        <v>8800</v>
      </c>
      <c r="I570" s="308">
        <v>19.8</v>
      </c>
      <c r="J570" s="267"/>
      <c r="K570" s="260"/>
      <c r="L570" s="261"/>
      <c r="M570" s="261"/>
      <c r="N570" s="261"/>
    </row>
    <row r="571" spans="1:14" s="45" customFormat="1">
      <c r="A571" s="311" t="s">
        <v>220</v>
      </c>
      <c r="B571" s="263" t="s">
        <v>210</v>
      </c>
      <c r="C571" s="272" t="s">
        <v>221</v>
      </c>
      <c r="D571" s="273" t="s">
        <v>139</v>
      </c>
      <c r="E571" s="274">
        <v>0.1</v>
      </c>
      <c r="F571" s="307">
        <v>0</v>
      </c>
      <c r="G571" s="275">
        <v>236654</v>
      </c>
      <c r="H571" s="276">
        <v>23665.4</v>
      </c>
      <c r="I571" s="308">
        <v>1.8</v>
      </c>
      <c r="J571" s="267"/>
      <c r="K571" s="260"/>
      <c r="L571" s="261"/>
      <c r="M571" s="261"/>
      <c r="N571" s="261"/>
    </row>
    <row r="572" spans="1:14" s="45" customFormat="1">
      <c r="A572" s="311" t="s">
        <v>143</v>
      </c>
      <c r="B572" s="263"/>
      <c r="C572" s="278"/>
      <c r="D572" s="279"/>
      <c r="E572" s="280"/>
      <c r="F572" s="309"/>
      <c r="G572" s="281" t="s">
        <v>144</v>
      </c>
      <c r="H572" s="287">
        <v>54836.4</v>
      </c>
      <c r="I572" s="328"/>
      <c r="J572" s="267"/>
      <c r="K572" s="260"/>
      <c r="L572" s="261"/>
      <c r="M572" s="261"/>
      <c r="N572" s="261"/>
    </row>
    <row r="573" spans="1:14" s="45" customFormat="1" ht="27" customHeight="1">
      <c r="A573" s="271" t="s">
        <v>145</v>
      </c>
      <c r="B573" s="263"/>
      <c r="C573" s="288" t="s">
        <v>146</v>
      </c>
      <c r="D573" s="279" t="s">
        <v>147</v>
      </c>
      <c r="E573" s="279" t="s">
        <v>148</v>
      </c>
      <c r="F573" s="312" t="s">
        <v>149</v>
      </c>
      <c r="G573" s="289" t="s">
        <v>150</v>
      </c>
      <c r="H573" s="290" t="s">
        <v>151</v>
      </c>
      <c r="I573" s="310"/>
      <c r="J573" s="267"/>
      <c r="K573" s="260"/>
      <c r="L573" s="261"/>
      <c r="M573" s="261"/>
      <c r="N573" s="261"/>
    </row>
    <row r="574" spans="1:14" s="45" customFormat="1">
      <c r="A574" s="271">
        <v>200007</v>
      </c>
      <c r="B574" s="263" t="s">
        <v>146</v>
      </c>
      <c r="C574" s="272" t="s">
        <v>212</v>
      </c>
      <c r="D574" s="291">
        <v>71304</v>
      </c>
      <c r="E574" s="292">
        <v>1.85</v>
      </c>
      <c r="F574" s="293">
        <v>131912</v>
      </c>
      <c r="G574" s="294">
        <v>4</v>
      </c>
      <c r="H574" s="276">
        <v>32978</v>
      </c>
      <c r="I574" s="308">
        <v>4.5</v>
      </c>
      <c r="J574" s="267"/>
      <c r="K574" s="260"/>
      <c r="L574" s="261"/>
      <c r="M574" s="261"/>
      <c r="N574" s="261"/>
    </row>
    <row r="575" spans="1:14" s="45" customFormat="1">
      <c r="A575" s="311" t="s">
        <v>153</v>
      </c>
      <c r="B575" s="263"/>
      <c r="C575" s="278"/>
      <c r="D575" s="279"/>
      <c r="E575" s="280"/>
      <c r="F575" s="309"/>
      <c r="G575" s="281" t="s">
        <v>154</v>
      </c>
      <c r="H575" s="287">
        <v>32978</v>
      </c>
      <c r="I575" s="310"/>
      <c r="J575" s="267"/>
      <c r="K575" s="260"/>
      <c r="L575" s="261"/>
      <c r="M575" s="261"/>
      <c r="N575" s="261"/>
    </row>
    <row r="576" spans="1:14" s="45" customFormat="1">
      <c r="A576" s="271" t="s">
        <v>155</v>
      </c>
      <c r="B576" s="263"/>
      <c r="C576" s="295" t="s">
        <v>156</v>
      </c>
      <c r="D576" s="279"/>
      <c r="E576" s="280"/>
      <c r="F576" s="309"/>
      <c r="G576" s="281"/>
      <c r="H576" s="282"/>
      <c r="I576" s="310"/>
      <c r="J576" s="267"/>
      <c r="K576" s="260"/>
      <c r="L576" s="261"/>
      <c r="M576" s="261"/>
      <c r="N576" s="261"/>
    </row>
    <row r="577" spans="1:14" s="45" customFormat="1">
      <c r="A577" s="271">
        <v>307002</v>
      </c>
      <c r="B577" s="263" t="s">
        <v>156</v>
      </c>
      <c r="C577" s="272" t="s">
        <v>222</v>
      </c>
      <c r="D577" s="273" t="s">
        <v>139</v>
      </c>
      <c r="E577" s="274">
        <v>0.15</v>
      </c>
      <c r="F577" s="307">
        <v>0</v>
      </c>
      <c r="G577" s="275">
        <v>7000</v>
      </c>
      <c r="H577" s="276">
        <v>1050</v>
      </c>
      <c r="I577" s="308">
        <v>2.6999999999999997</v>
      </c>
      <c r="J577" s="267"/>
      <c r="K577" s="260"/>
      <c r="L577" s="261"/>
      <c r="M577" s="261"/>
      <c r="N577" s="261"/>
    </row>
    <row r="578" spans="1:14" s="45" customFormat="1">
      <c r="A578" s="271">
        <v>300026</v>
      </c>
      <c r="B578" s="263" t="s">
        <v>156</v>
      </c>
      <c r="C578" s="272" t="s">
        <v>157</v>
      </c>
      <c r="D578" s="273" t="s">
        <v>158</v>
      </c>
      <c r="E578" s="292">
        <v>0.05</v>
      </c>
      <c r="F578" s="307">
        <v>0</v>
      </c>
      <c r="G578" s="275">
        <v>32978</v>
      </c>
      <c r="H578" s="276">
        <v>1648.9</v>
      </c>
      <c r="I578" s="308">
        <v>29680.2</v>
      </c>
      <c r="J578" s="267"/>
      <c r="K578" s="260"/>
      <c r="L578" s="261"/>
      <c r="M578" s="261"/>
      <c r="N578" s="261"/>
    </row>
    <row r="579" spans="1:14" s="45" customFormat="1">
      <c r="A579" s="311" t="s">
        <v>159</v>
      </c>
      <c r="B579" s="263"/>
      <c r="C579" s="278"/>
      <c r="D579" s="279"/>
      <c r="E579" s="280"/>
      <c r="F579" s="309"/>
      <c r="G579" s="281" t="s">
        <v>160</v>
      </c>
      <c r="H579" s="287">
        <v>2698.9</v>
      </c>
      <c r="I579" s="310"/>
      <c r="J579" s="267"/>
      <c r="K579" s="260"/>
      <c r="L579" s="261"/>
      <c r="M579" s="261"/>
      <c r="N579" s="261"/>
    </row>
    <row r="580" spans="1:14" s="45" customFormat="1">
      <c r="A580" s="311"/>
      <c r="B580" s="297"/>
      <c r="C580" s="278"/>
      <c r="D580" s="279"/>
      <c r="E580" s="280"/>
      <c r="F580" s="309"/>
      <c r="G580" s="281"/>
      <c r="H580" s="282"/>
      <c r="I580" s="310"/>
      <c r="J580" s="267"/>
      <c r="K580" s="260"/>
      <c r="L580" s="261"/>
      <c r="M580" s="261"/>
      <c r="N580" s="261"/>
    </row>
    <row r="581" spans="1:14" s="45" customFormat="1" ht="15.75" thickBot="1">
      <c r="A581" s="311" t="s">
        <v>26</v>
      </c>
      <c r="B581" s="297"/>
      <c r="C581" s="299"/>
      <c r="D581" s="300"/>
      <c r="E581" s="301"/>
      <c r="F581" s="313" t="s">
        <v>161</v>
      </c>
      <c r="G581" s="303">
        <v>90513.299999999988</v>
      </c>
      <c r="H581" s="304">
        <v>90513</v>
      </c>
      <c r="I581" s="305"/>
      <c r="J581" s="267"/>
      <c r="K581" s="260"/>
      <c r="L581" s="261"/>
      <c r="M581" s="261"/>
      <c r="N581" s="261"/>
    </row>
    <row r="582" spans="1:14" s="45" customFormat="1" ht="15.75" hidden="1" thickTop="1">
      <c r="A582" s="311" t="s">
        <v>188</v>
      </c>
      <c r="B582" s="297"/>
      <c r="C582" s="314" t="s">
        <v>96</v>
      </c>
      <c r="D582" s="315"/>
      <c r="E582" s="316"/>
      <c r="F582" s="317"/>
      <c r="G582" s="318"/>
      <c r="H582" s="319"/>
      <c r="I582" s="310"/>
      <c r="J582" s="267"/>
      <c r="K582" s="260"/>
      <c r="L582" s="261"/>
      <c r="M582" s="261"/>
      <c r="N582" s="261"/>
    </row>
    <row r="583" spans="1:14" s="45" customFormat="1" ht="15.75" hidden="1" thickTop="1">
      <c r="A583" s="271" t="s">
        <v>99</v>
      </c>
      <c r="B583" s="297"/>
      <c r="C583" s="320" t="s">
        <v>100</v>
      </c>
      <c r="D583" s="321"/>
      <c r="E583" s="322"/>
      <c r="F583" s="323">
        <v>0.185</v>
      </c>
      <c r="G583" s="324"/>
      <c r="H583" s="325">
        <v>16744.91</v>
      </c>
      <c r="I583" s="310"/>
      <c r="J583" s="267"/>
      <c r="K583" s="260"/>
      <c r="L583" s="261"/>
      <c r="M583" s="261"/>
      <c r="N583" s="261"/>
    </row>
    <row r="584" spans="1:14" s="45" customFormat="1" ht="15.75" hidden="1" thickTop="1">
      <c r="A584" s="271" t="s">
        <v>189</v>
      </c>
      <c r="B584" s="297"/>
      <c r="C584" s="320" t="s">
        <v>102</v>
      </c>
      <c r="D584" s="321"/>
      <c r="E584" s="322"/>
      <c r="F584" s="323">
        <v>0.05</v>
      </c>
      <c r="G584" s="324"/>
      <c r="H584" s="325">
        <v>4525.6499999999996</v>
      </c>
      <c r="I584" s="310"/>
      <c r="J584" s="267"/>
      <c r="K584" s="260"/>
      <c r="L584" s="261"/>
      <c r="M584" s="261"/>
      <c r="N584" s="261"/>
    </row>
    <row r="585" spans="1:14" s="45" customFormat="1" ht="15.75" hidden="1" thickTop="1">
      <c r="A585" s="271" t="s">
        <v>103</v>
      </c>
      <c r="B585" s="297"/>
      <c r="C585" s="320" t="s">
        <v>104</v>
      </c>
      <c r="D585" s="321"/>
      <c r="E585" s="322"/>
      <c r="F585" s="323">
        <v>0.08</v>
      </c>
      <c r="G585" s="324"/>
      <c r="H585" s="325">
        <v>7241.04</v>
      </c>
      <c r="I585" s="310"/>
      <c r="J585" s="267"/>
      <c r="K585" s="260"/>
      <c r="L585" s="261"/>
      <c r="M585" s="261"/>
      <c r="N585" s="261"/>
    </row>
    <row r="586" spans="1:14" s="45" customFormat="1" ht="15.75" hidden="1" thickTop="1">
      <c r="A586" s="271" t="s">
        <v>106</v>
      </c>
      <c r="B586" s="297"/>
      <c r="C586" s="320" t="s">
        <v>107</v>
      </c>
      <c r="D586" s="321"/>
      <c r="E586" s="322"/>
      <c r="F586" s="323">
        <v>0.16</v>
      </c>
      <c r="G586" s="324"/>
      <c r="H586" s="325">
        <v>1158.57</v>
      </c>
      <c r="I586" s="310"/>
      <c r="J586" s="267"/>
      <c r="K586" s="260"/>
      <c r="L586" s="261"/>
      <c r="M586" s="261"/>
      <c r="N586" s="261"/>
    </row>
    <row r="587" spans="1:14" s="45" customFormat="1" ht="15.75" hidden="1" thickTop="1">
      <c r="A587" s="311" t="s">
        <v>190</v>
      </c>
      <c r="B587" s="297"/>
      <c r="C587" s="285" t="s">
        <v>191</v>
      </c>
      <c r="D587" s="279"/>
      <c r="E587" s="280"/>
      <c r="F587" s="309"/>
      <c r="G587" s="326"/>
      <c r="H587" s="327">
        <v>29670.17</v>
      </c>
      <c r="I587" s="328">
        <v>-35503</v>
      </c>
      <c r="J587" s="267"/>
      <c r="K587" s="260"/>
      <c r="L587" s="261"/>
      <c r="M587" s="261"/>
      <c r="N587" s="261"/>
    </row>
    <row r="588" spans="1:14" s="45" customFormat="1" ht="16.5" hidden="1" thickTop="1" thickBot="1">
      <c r="A588" s="311" t="s">
        <v>192</v>
      </c>
      <c r="B588" s="297"/>
      <c r="C588" s="329"/>
      <c r="D588" s="330"/>
      <c r="E588" s="331"/>
      <c r="F588" s="313" t="s">
        <v>193</v>
      </c>
      <c r="G588" s="332">
        <v>120183.17</v>
      </c>
      <c r="H588" s="304">
        <v>120183</v>
      </c>
      <c r="I588" s="305">
        <v>84680</v>
      </c>
      <c r="J588" s="267"/>
      <c r="K588" s="260"/>
      <c r="L588" s="261"/>
      <c r="M588" s="261"/>
      <c r="N588" s="261"/>
    </row>
    <row r="589" spans="1:14" s="45" customFormat="1" ht="15.75" thickTop="1">
      <c r="A589"/>
      <c r="B589"/>
      <c r="C589" s="19"/>
      <c r="D589" s="306"/>
      <c r="E589" s="19"/>
      <c r="F589" s="19"/>
      <c r="G589" s="19"/>
      <c r="H589" s="19"/>
      <c r="I589" s="260"/>
      <c r="J589" s="260"/>
      <c r="K589" s="260"/>
      <c r="L589" s="261"/>
      <c r="M589" s="261"/>
      <c r="N589" s="261"/>
    </row>
    <row r="590" spans="1:14" s="45" customFormat="1" ht="15.75" thickBot="1">
      <c r="A590"/>
      <c r="B590"/>
      <c r="C590" s="19"/>
      <c r="D590" s="306"/>
      <c r="E590" s="19"/>
      <c r="F590" s="19"/>
      <c r="G590" s="19"/>
      <c r="H590" s="19"/>
      <c r="I590" s="260"/>
      <c r="J590" s="260"/>
      <c r="K590" s="260"/>
      <c r="L590" s="261"/>
      <c r="M590" s="261"/>
      <c r="N590" s="261"/>
    </row>
    <row r="591" spans="1:14" s="45" customFormat="1" ht="12.95" customHeight="1" thickTop="1">
      <c r="A591" s="262" t="s">
        <v>283</v>
      </c>
      <c r="B591" s="263"/>
      <c r="C591" s="1651" t="s">
        <v>73</v>
      </c>
      <c r="D591" s="1652"/>
      <c r="E591" s="1652"/>
      <c r="F591" s="1652"/>
      <c r="G591" s="264"/>
      <c r="H591" s="265" t="s">
        <v>284</v>
      </c>
      <c r="I591" s="266" t="s">
        <v>126</v>
      </c>
      <c r="J591" s="267"/>
      <c r="K591" s="260"/>
      <c r="L591" s="261"/>
      <c r="M591" s="261"/>
      <c r="N591" s="261"/>
    </row>
    <row r="592" spans="1:14" s="45" customFormat="1" ht="12.95" customHeight="1">
      <c r="A592" s="262"/>
      <c r="B592" s="263"/>
      <c r="C592" s="1653"/>
      <c r="D592" s="1654"/>
      <c r="E592" s="1654"/>
      <c r="F592" s="1654"/>
      <c r="G592" s="268"/>
      <c r="H592" s="269" t="s">
        <v>179</v>
      </c>
      <c r="I592" s="270">
        <v>1</v>
      </c>
      <c r="J592" s="267"/>
      <c r="K592" s="260"/>
      <c r="L592" s="261"/>
      <c r="M592" s="261"/>
      <c r="N592" s="261"/>
    </row>
    <row r="593" spans="1:14" s="45" customFormat="1">
      <c r="A593" s="271" t="s">
        <v>128</v>
      </c>
      <c r="B593" s="263"/>
      <c r="C593" s="272" t="s">
        <v>21</v>
      </c>
      <c r="D593" s="273" t="s">
        <v>22</v>
      </c>
      <c r="E593" s="274" t="s">
        <v>23</v>
      </c>
      <c r="F593" s="274" t="s">
        <v>129</v>
      </c>
      <c r="G593" s="275" t="s">
        <v>130</v>
      </c>
      <c r="H593" s="276" t="s">
        <v>131</v>
      </c>
      <c r="I593" s="277"/>
      <c r="J593" s="267"/>
      <c r="K593" s="260"/>
      <c r="L593" s="261"/>
      <c r="M593" s="261"/>
      <c r="N593" s="261"/>
    </row>
    <row r="594" spans="1:14" s="45" customFormat="1">
      <c r="A594" s="271"/>
      <c r="B594" s="263"/>
      <c r="C594" s="278"/>
      <c r="D594" s="279"/>
      <c r="E594" s="280"/>
      <c r="F594" s="280"/>
      <c r="G594" s="281"/>
      <c r="H594" s="282"/>
      <c r="I594" s="283"/>
      <c r="J594" s="267"/>
      <c r="K594" s="260"/>
      <c r="L594" s="261"/>
      <c r="M594" s="261"/>
      <c r="N594" s="261"/>
    </row>
    <row r="595" spans="1:14" s="45" customFormat="1">
      <c r="A595" s="284" t="s">
        <v>132</v>
      </c>
      <c r="B595" s="263"/>
      <c r="C595" s="285" t="s">
        <v>133</v>
      </c>
      <c r="D595" s="279"/>
      <c r="E595" s="280"/>
      <c r="F595" s="280"/>
      <c r="G595" s="281"/>
      <c r="H595" s="282"/>
      <c r="I595" s="283"/>
      <c r="J595" s="267"/>
      <c r="K595" s="260"/>
      <c r="L595" s="261"/>
      <c r="M595" s="261"/>
      <c r="N595" s="261"/>
    </row>
    <row r="596" spans="1:14" s="45" customFormat="1">
      <c r="A596" s="284">
        <v>102072</v>
      </c>
      <c r="B596" s="263" t="s">
        <v>285</v>
      </c>
      <c r="C596" s="272" t="s">
        <v>286</v>
      </c>
      <c r="D596" s="273" t="s">
        <v>22</v>
      </c>
      <c r="E596" s="274">
        <v>0.15</v>
      </c>
      <c r="F596" s="274">
        <v>0</v>
      </c>
      <c r="G596" s="275">
        <v>38060</v>
      </c>
      <c r="H596" s="276">
        <v>5709</v>
      </c>
      <c r="I596" s="277">
        <v>0.15</v>
      </c>
      <c r="J596" s="267"/>
      <c r="K596" s="260"/>
      <c r="L596" s="261"/>
      <c r="M596" s="261"/>
      <c r="N596" s="261"/>
    </row>
    <row r="597" spans="1:14" s="45" customFormat="1">
      <c r="A597" s="284">
        <v>101115</v>
      </c>
      <c r="B597" s="263" t="s">
        <v>134</v>
      </c>
      <c r="C597" s="272" t="s">
        <v>287</v>
      </c>
      <c r="D597" s="273" t="s">
        <v>288</v>
      </c>
      <c r="E597" s="274">
        <v>5</v>
      </c>
      <c r="F597" s="274">
        <v>0</v>
      </c>
      <c r="G597" s="275">
        <v>850</v>
      </c>
      <c r="H597" s="276">
        <v>4250</v>
      </c>
      <c r="I597" s="277">
        <v>5</v>
      </c>
      <c r="J597" s="267"/>
      <c r="K597" s="260"/>
      <c r="L597" s="261"/>
      <c r="M597" s="261"/>
      <c r="N597" s="261"/>
    </row>
    <row r="598" spans="1:14" s="45" customFormat="1">
      <c r="A598" s="284">
        <v>101169</v>
      </c>
      <c r="B598" s="263" t="s">
        <v>85</v>
      </c>
      <c r="C598" s="272" t="s">
        <v>289</v>
      </c>
      <c r="D598" s="273" t="s">
        <v>56</v>
      </c>
      <c r="E598" s="274">
        <v>6</v>
      </c>
      <c r="F598" s="274">
        <v>5</v>
      </c>
      <c r="G598" s="275">
        <v>11800</v>
      </c>
      <c r="H598" s="276">
        <v>74340</v>
      </c>
      <c r="I598" s="277">
        <v>6.3000000000000007</v>
      </c>
      <c r="J598" s="267"/>
      <c r="K598" s="260"/>
      <c r="L598" s="261"/>
      <c r="M598" s="261"/>
      <c r="N598" s="261"/>
    </row>
    <row r="599" spans="1:14" s="45" customFormat="1">
      <c r="A599" s="284">
        <v>101904</v>
      </c>
      <c r="B599" s="263" t="s">
        <v>134</v>
      </c>
      <c r="C599" s="272" t="s">
        <v>290</v>
      </c>
      <c r="D599" s="273" t="s">
        <v>170</v>
      </c>
      <c r="E599" s="274">
        <v>0.15</v>
      </c>
      <c r="F599" s="274">
        <v>0</v>
      </c>
      <c r="G599" s="275">
        <v>16500</v>
      </c>
      <c r="H599" s="276">
        <v>2475</v>
      </c>
      <c r="I599" s="277">
        <v>0.15</v>
      </c>
      <c r="J599" s="267"/>
      <c r="K599" s="260"/>
      <c r="L599" s="261"/>
      <c r="M599" s="261"/>
      <c r="N599" s="261"/>
    </row>
    <row r="600" spans="1:14" s="45" customFormat="1">
      <c r="A600" s="284">
        <v>101197</v>
      </c>
      <c r="B600" s="263" t="s">
        <v>291</v>
      </c>
      <c r="C600" s="272" t="s">
        <v>292</v>
      </c>
      <c r="D600" s="273" t="s">
        <v>293</v>
      </c>
      <c r="E600" s="274">
        <v>0.2</v>
      </c>
      <c r="F600" s="274">
        <v>0</v>
      </c>
      <c r="G600" s="275">
        <v>37500</v>
      </c>
      <c r="H600" s="276">
        <v>7500</v>
      </c>
      <c r="I600" s="277">
        <v>0.2</v>
      </c>
      <c r="J600" s="267"/>
      <c r="K600" s="260"/>
      <c r="L600" s="261"/>
      <c r="M600" s="261"/>
      <c r="N600" s="261"/>
    </row>
    <row r="601" spans="1:14" s="45" customFormat="1">
      <c r="A601" s="284">
        <v>101008</v>
      </c>
      <c r="B601" s="263" t="s">
        <v>181</v>
      </c>
      <c r="C601" s="272" t="s">
        <v>241</v>
      </c>
      <c r="D601" s="273" t="s">
        <v>142</v>
      </c>
      <c r="E601" s="274">
        <v>2</v>
      </c>
      <c r="F601" s="274">
        <v>0</v>
      </c>
      <c r="G601" s="275">
        <v>2330</v>
      </c>
      <c r="H601" s="276">
        <v>4660</v>
      </c>
      <c r="I601" s="277">
        <v>2</v>
      </c>
      <c r="J601" s="267"/>
      <c r="K601" s="260"/>
      <c r="L601" s="261"/>
      <c r="M601" s="261"/>
      <c r="N601" s="261"/>
    </row>
    <row r="602" spans="1:14" s="45" customFormat="1">
      <c r="A602" s="284">
        <v>101652</v>
      </c>
      <c r="B602" s="263" t="s">
        <v>252</v>
      </c>
      <c r="C602" s="272" t="s">
        <v>294</v>
      </c>
      <c r="D602" s="273" t="s">
        <v>142</v>
      </c>
      <c r="E602" s="274">
        <v>4.2</v>
      </c>
      <c r="F602" s="274">
        <v>0</v>
      </c>
      <c r="G602" s="275">
        <v>6200</v>
      </c>
      <c r="H602" s="276">
        <v>26040</v>
      </c>
      <c r="I602" s="277">
        <v>4.2</v>
      </c>
      <c r="J602" s="267"/>
      <c r="K602" s="260"/>
      <c r="L602" s="261"/>
      <c r="M602" s="261"/>
      <c r="N602" s="261"/>
    </row>
    <row r="603" spans="1:14" s="45" customFormat="1">
      <c r="A603" s="284">
        <v>100110</v>
      </c>
      <c r="B603" s="263" t="s">
        <v>291</v>
      </c>
      <c r="C603" s="272" t="s">
        <v>295</v>
      </c>
      <c r="D603" s="273" t="s">
        <v>170</v>
      </c>
      <c r="E603" s="274">
        <v>0.2</v>
      </c>
      <c r="F603" s="274">
        <v>0</v>
      </c>
      <c r="G603" s="275">
        <v>90800</v>
      </c>
      <c r="H603" s="276">
        <v>18160</v>
      </c>
      <c r="I603" s="277">
        <v>0.2</v>
      </c>
      <c r="J603" s="267"/>
      <c r="K603" s="260"/>
      <c r="L603" s="261"/>
      <c r="M603" s="261"/>
      <c r="N603" s="261"/>
    </row>
    <row r="604" spans="1:14" s="45" customFormat="1">
      <c r="A604" s="284">
        <v>103222</v>
      </c>
      <c r="B604" s="263" t="s">
        <v>291</v>
      </c>
      <c r="C604" s="272" t="s">
        <v>296</v>
      </c>
      <c r="D604" s="273" t="s">
        <v>170</v>
      </c>
      <c r="E604" s="274">
        <v>0.2</v>
      </c>
      <c r="F604" s="274">
        <v>0</v>
      </c>
      <c r="G604" s="275">
        <v>62320</v>
      </c>
      <c r="H604" s="276">
        <v>12464</v>
      </c>
      <c r="I604" s="277">
        <v>0.2</v>
      </c>
      <c r="J604" s="267"/>
      <c r="K604" s="260"/>
      <c r="L604" s="261"/>
      <c r="M604" s="261"/>
      <c r="N604" s="261"/>
    </row>
    <row r="605" spans="1:14" s="45" customFormat="1">
      <c r="A605" s="284">
        <v>103224</v>
      </c>
      <c r="B605" s="263" t="s">
        <v>85</v>
      </c>
      <c r="C605" s="272" t="s">
        <v>297</v>
      </c>
      <c r="D605" s="273" t="s">
        <v>22</v>
      </c>
      <c r="E605" s="274">
        <v>2.2999999999999998</v>
      </c>
      <c r="F605" s="274">
        <v>10</v>
      </c>
      <c r="G605" s="275">
        <v>50500</v>
      </c>
      <c r="H605" s="276">
        <v>127765</v>
      </c>
      <c r="I605" s="277">
        <v>2.5299999999999998</v>
      </c>
      <c r="J605" s="267"/>
      <c r="K605" s="260"/>
      <c r="L605" s="261"/>
      <c r="M605" s="261"/>
      <c r="N605" s="261"/>
    </row>
    <row r="606" spans="1:14" s="45" customFormat="1">
      <c r="A606" s="284">
        <v>105132</v>
      </c>
      <c r="B606" s="263" t="s">
        <v>181</v>
      </c>
      <c r="C606" s="272" t="s">
        <v>298</v>
      </c>
      <c r="D606" s="273" t="s">
        <v>22</v>
      </c>
      <c r="E606" s="274">
        <v>5.8</v>
      </c>
      <c r="F606" s="274">
        <v>5</v>
      </c>
      <c r="G606" s="275">
        <v>7500</v>
      </c>
      <c r="H606" s="276">
        <v>45675</v>
      </c>
      <c r="I606" s="277">
        <v>6.09</v>
      </c>
      <c r="J606" s="267"/>
      <c r="K606" s="260"/>
      <c r="L606" s="261"/>
      <c r="M606" s="261"/>
      <c r="N606" s="261"/>
    </row>
    <row r="607" spans="1:14" s="45" customFormat="1">
      <c r="A607" s="284">
        <v>105019</v>
      </c>
      <c r="B607" s="263" t="s">
        <v>252</v>
      </c>
      <c r="C607" s="272" t="s">
        <v>299</v>
      </c>
      <c r="D607" s="273" t="s">
        <v>22</v>
      </c>
      <c r="E607" s="274">
        <v>3</v>
      </c>
      <c r="F607" s="274">
        <v>0</v>
      </c>
      <c r="G607" s="275">
        <v>5499</v>
      </c>
      <c r="H607" s="276">
        <v>16497</v>
      </c>
      <c r="I607" s="277">
        <v>3</v>
      </c>
      <c r="J607" s="267"/>
      <c r="K607" s="260"/>
      <c r="L607" s="261"/>
      <c r="M607" s="261"/>
      <c r="N607" s="261"/>
    </row>
    <row r="608" spans="1:14" s="45" customFormat="1">
      <c r="A608" s="286" t="s">
        <v>143</v>
      </c>
      <c r="B608" s="263"/>
      <c r="C608" s="278"/>
      <c r="D608" s="279"/>
      <c r="E608" s="280"/>
      <c r="F608" s="280"/>
      <c r="G608" s="281" t="s">
        <v>144</v>
      </c>
      <c r="H608" s="287">
        <v>345535</v>
      </c>
      <c r="I608" s="283"/>
      <c r="J608" s="267"/>
      <c r="K608" s="260"/>
      <c r="L608" s="261"/>
      <c r="M608" s="261"/>
      <c r="N608" s="261"/>
    </row>
    <row r="609" spans="1:14" s="45" customFormat="1" ht="27" customHeight="1">
      <c r="A609" s="284" t="s">
        <v>145</v>
      </c>
      <c r="B609" s="263"/>
      <c r="C609" s="288" t="s">
        <v>146</v>
      </c>
      <c r="D609" s="279" t="s">
        <v>147</v>
      </c>
      <c r="E609" s="279" t="s">
        <v>148</v>
      </c>
      <c r="F609" s="279" t="s">
        <v>149</v>
      </c>
      <c r="G609" s="289" t="s">
        <v>150</v>
      </c>
      <c r="H609" s="290" t="s">
        <v>151</v>
      </c>
      <c r="I609" s="283"/>
      <c r="J609" s="267"/>
      <c r="K609" s="260"/>
      <c r="L609" s="261"/>
      <c r="M609" s="261"/>
      <c r="N609" s="261"/>
    </row>
    <row r="610" spans="1:14" s="45" customFormat="1">
      <c r="A610" s="284">
        <v>200023</v>
      </c>
      <c r="B610" s="263" t="s">
        <v>146</v>
      </c>
      <c r="C610" s="272" t="s">
        <v>300</v>
      </c>
      <c r="D610" s="291">
        <v>85565</v>
      </c>
      <c r="E610" s="292">
        <v>1.85</v>
      </c>
      <c r="F610" s="293">
        <v>158295</v>
      </c>
      <c r="G610" s="294">
        <v>0.76200000000000001</v>
      </c>
      <c r="H610" s="276">
        <v>207736.22</v>
      </c>
      <c r="I610" s="277">
        <v>1.3123359580052494</v>
      </c>
      <c r="J610" s="267"/>
      <c r="K610" s="260"/>
      <c r="L610" s="261"/>
      <c r="M610" s="261"/>
      <c r="N610" s="261"/>
    </row>
    <row r="611" spans="1:14" s="45" customFormat="1">
      <c r="A611" s="284">
        <v>200026</v>
      </c>
      <c r="B611" s="263" t="s">
        <v>146</v>
      </c>
      <c r="C611" s="272" t="s">
        <v>301</v>
      </c>
      <c r="D611" s="291">
        <v>75762</v>
      </c>
      <c r="E611" s="292">
        <v>1.85</v>
      </c>
      <c r="F611" s="293">
        <v>140159</v>
      </c>
      <c r="G611" s="294">
        <v>2.6669999999999998</v>
      </c>
      <c r="H611" s="276">
        <v>52553.055</v>
      </c>
      <c r="I611" s="277">
        <v>0.37495313085864268</v>
      </c>
      <c r="J611" s="267"/>
      <c r="K611" s="260"/>
      <c r="L611" s="261"/>
      <c r="M611" s="261"/>
      <c r="N611" s="261"/>
    </row>
    <row r="612" spans="1:14" s="45" customFormat="1">
      <c r="A612" s="286" t="s">
        <v>153</v>
      </c>
      <c r="B612" s="263"/>
      <c r="C612" s="278"/>
      <c r="D612" s="279"/>
      <c r="E612" s="280"/>
      <c r="F612" s="280"/>
      <c r="G612" s="281" t="s">
        <v>154</v>
      </c>
      <c r="H612" s="287">
        <v>260289.27499999999</v>
      </c>
      <c r="I612" s="283"/>
      <c r="J612" s="267"/>
      <c r="K612" s="260"/>
      <c r="L612" s="261"/>
      <c r="M612" s="261"/>
      <c r="N612" s="261"/>
    </row>
    <row r="613" spans="1:14" s="45" customFormat="1">
      <c r="A613" s="284" t="s">
        <v>155</v>
      </c>
      <c r="B613" s="263"/>
      <c r="C613" s="295" t="s">
        <v>156</v>
      </c>
      <c r="D613" s="279"/>
      <c r="E613" s="280"/>
      <c r="F613" s="280"/>
      <c r="G613" s="281"/>
      <c r="H613" s="282"/>
      <c r="I613" s="283"/>
      <c r="J613" s="267"/>
      <c r="K613" s="260"/>
      <c r="L613" s="261"/>
      <c r="M613" s="261"/>
      <c r="N613" s="261"/>
    </row>
    <row r="614" spans="1:14" s="45" customFormat="1">
      <c r="A614" s="284">
        <v>300026</v>
      </c>
      <c r="B614" s="263" t="s">
        <v>156</v>
      </c>
      <c r="C614" s="272" t="s">
        <v>157</v>
      </c>
      <c r="D614" s="273" t="s">
        <v>158</v>
      </c>
      <c r="E614" s="292">
        <v>0.05</v>
      </c>
      <c r="F614" s="274">
        <v>0</v>
      </c>
      <c r="G614" s="275">
        <v>260289.27499999999</v>
      </c>
      <c r="H614" s="276">
        <v>13014.46</v>
      </c>
      <c r="I614" s="277">
        <v>13014.46</v>
      </c>
      <c r="J614" s="267"/>
      <c r="K614" s="260"/>
      <c r="L614" s="261"/>
      <c r="M614" s="261"/>
      <c r="N614" s="261"/>
    </row>
    <row r="615" spans="1:14" s="45" customFormat="1">
      <c r="A615" s="286" t="s">
        <v>159</v>
      </c>
      <c r="B615" s="263"/>
      <c r="C615" s="278"/>
      <c r="D615" s="279"/>
      <c r="E615" s="280"/>
      <c r="F615" s="280"/>
      <c r="G615" s="281" t="s">
        <v>160</v>
      </c>
      <c r="H615" s="287">
        <v>13014.46</v>
      </c>
      <c r="I615" s="283"/>
      <c r="J615" s="267"/>
      <c r="K615" s="260"/>
      <c r="L615" s="261"/>
      <c r="M615" s="261"/>
      <c r="N615" s="261"/>
    </row>
    <row r="616" spans="1:14" s="45" customFormat="1">
      <c r="A616" s="296"/>
      <c r="B616" s="297"/>
      <c r="C616" s="278"/>
      <c r="D616" s="279"/>
      <c r="E616" s="280"/>
      <c r="F616" s="280"/>
      <c r="G616" s="281"/>
      <c r="H616" s="282"/>
      <c r="I616" s="283"/>
      <c r="J616" s="267"/>
      <c r="K616" s="260"/>
      <c r="L616" s="261"/>
      <c r="M616" s="261"/>
      <c r="N616" s="261"/>
    </row>
    <row r="617" spans="1:14" s="45" customFormat="1" ht="15.75" thickBot="1">
      <c r="A617" s="296" t="s">
        <v>26</v>
      </c>
      <c r="B617" s="297"/>
      <c r="C617" s="299"/>
      <c r="D617" s="300"/>
      <c r="E617" s="301"/>
      <c r="F617" s="302" t="s">
        <v>161</v>
      </c>
      <c r="G617" s="303">
        <v>618838.73499999999</v>
      </c>
      <c r="H617" s="304">
        <v>618839</v>
      </c>
      <c r="I617" s="305"/>
      <c r="J617" s="267"/>
      <c r="K617" s="260"/>
      <c r="L617" s="261"/>
      <c r="M617" s="261"/>
      <c r="N617" s="261"/>
    </row>
    <row r="618" spans="1:14" s="45" customFormat="1" ht="15.75" hidden="1" thickTop="1">
      <c r="A618" s="296" t="s">
        <v>188</v>
      </c>
      <c r="B618" s="297"/>
      <c r="C618" s="314" t="s">
        <v>96</v>
      </c>
      <c r="D618" s="315"/>
      <c r="E618" s="316"/>
      <c r="F618" s="316"/>
      <c r="G618" s="318"/>
      <c r="H618" s="319"/>
      <c r="I618" s="283"/>
      <c r="J618" s="267"/>
      <c r="K618" s="260"/>
      <c r="L618" s="261"/>
      <c r="M618" s="261"/>
      <c r="N618" s="261"/>
    </row>
    <row r="619" spans="1:14" s="45" customFormat="1" ht="15.75" hidden="1" thickTop="1">
      <c r="A619" s="284" t="s">
        <v>99</v>
      </c>
      <c r="B619" s="297"/>
      <c r="C619" s="320" t="s">
        <v>100</v>
      </c>
      <c r="D619" s="321"/>
      <c r="E619" s="322"/>
      <c r="F619" s="323">
        <v>0.185</v>
      </c>
      <c r="G619" s="324"/>
      <c r="H619" s="325">
        <v>114485.22</v>
      </c>
      <c r="I619" s="283"/>
      <c r="J619" s="267"/>
      <c r="K619" s="260"/>
      <c r="L619" s="261"/>
      <c r="M619" s="261"/>
      <c r="N619" s="261"/>
    </row>
    <row r="620" spans="1:14" s="45" customFormat="1" ht="15.75" hidden="1" thickTop="1">
      <c r="A620" s="284" t="s">
        <v>189</v>
      </c>
      <c r="B620" s="297"/>
      <c r="C620" s="320" t="s">
        <v>102</v>
      </c>
      <c r="D620" s="321"/>
      <c r="E620" s="322"/>
      <c r="F620" s="323">
        <v>0.05</v>
      </c>
      <c r="G620" s="324"/>
      <c r="H620" s="325">
        <v>30941.95</v>
      </c>
      <c r="I620" s="283"/>
      <c r="J620" s="267"/>
      <c r="K620" s="260"/>
      <c r="L620" s="261"/>
      <c r="M620" s="261"/>
      <c r="N620" s="261"/>
    </row>
    <row r="621" spans="1:14" s="45" customFormat="1" ht="15.75" hidden="1" thickTop="1">
      <c r="A621" s="284" t="s">
        <v>103</v>
      </c>
      <c r="B621" s="297"/>
      <c r="C621" s="320" t="s">
        <v>104</v>
      </c>
      <c r="D621" s="321"/>
      <c r="E621" s="322"/>
      <c r="F621" s="323">
        <v>0.08</v>
      </c>
      <c r="G621" s="324"/>
      <c r="H621" s="325">
        <v>49507.12</v>
      </c>
      <c r="I621" s="283"/>
      <c r="J621" s="267"/>
      <c r="K621" s="260"/>
      <c r="L621" s="261"/>
      <c r="M621" s="261"/>
      <c r="N621" s="261"/>
    </row>
    <row r="622" spans="1:14" s="45" customFormat="1" ht="15.75" hidden="1" thickTop="1">
      <c r="A622" s="284" t="s">
        <v>106</v>
      </c>
      <c r="B622" s="297"/>
      <c r="C622" s="320" t="s">
        <v>107</v>
      </c>
      <c r="D622" s="321"/>
      <c r="E622" s="322"/>
      <c r="F622" s="323">
        <v>0.16</v>
      </c>
      <c r="G622" s="324"/>
      <c r="H622" s="325">
        <v>7921.14</v>
      </c>
      <c r="I622" s="283"/>
      <c r="J622" s="267"/>
      <c r="K622" s="260"/>
      <c r="L622" s="261"/>
      <c r="M622" s="261"/>
      <c r="N622" s="261"/>
    </row>
    <row r="623" spans="1:14" s="45" customFormat="1" ht="15.75" hidden="1" thickTop="1">
      <c r="A623" s="296" t="s">
        <v>190</v>
      </c>
      <c r="B623" s="297"/>
      <c r="C623" s="285" t="s">
        <v>191</v>
      </c>
      <c r="D623" s="279"/>
      <c r="E623" s="280"/>
      <c r="F623" s="280"/>
      <c r="G623" s="326"/>
      <c r="H623" s="327">
        <v>202855.43000000002</v>
      </c>
      <c r="I623" s="298">
        <v>-230604</v>
      </c>
      <c r="J623" s="267"/>
      <c r="K623" s="260"/>
      <c r="L623" s="261"/>
      <c r="M623" s="261"/>
      <c r="N623" s="261"/>
    </row>
    <row r="624" spans="1:14" s="45" customFormat="1" ht="16.5" hidden="1" thickTop="1" thickBot="1">
      <c r="A624" s="296" t="s">
        <v>192</v>
      </c>
      <c r="B624" s="297"/>
      <c r="C624" s="329"/>
      <c r="D624" s="330"/>
      <c r="E624" s="331"/>
      <c r="F624" s="302" t="s">
        <v>193</v>
      </c>
      <c r="G624" s="332">
        <v>821694.43</v>
      </c>
      <c r="H624" s="304">
        <v>821694</v>
      </c>
      <c r="I624" s="305">
        <v>591090</v>
      </c>
      <c r="J624" s="267"/>
      <c r="K624" s="260"/>
      <c r="L624" s="261"/>
      <c r="M624" s="261"/>
      <c r="N624" s="261"/>
    </row>
    <row r="625" spans="1:14" s="45" customFormat="1" ht="15.75" thickTop="1">
      <c r="A625"/>
      <c r="B625"/>
      <c r="C625" s="19"/>
      <c r="D625" s="306"/>
      <c r="E625" s="19"/>
      <c r="F625" s="19"/>
      <c r="G625" s="19"/>
      <c r="H625" s="19"/>
      <c r="I625" s="260"/>
      <c r="J625" s="260"/>
      <c r="K625" s="260"/>
      <c r="L625" s="261"/>
      <c r="M625" s="261"/>
      <c r="N625" s="261"/>
    </row>
    <row r="626" spans="1:14" s="45" customFormat="1" ht="15.75" thickBot="1">
      <c r="A626"/>
      <c r="B626"/>
      <c r="C626" s="19"/>
      <c r="D626" s="306"/>
      <c r="E626" s="19"/>
      <c r="F626" s="19"/>
      <c r="G626" s="19"/>
      <c r="H626" s="19"/>
      <c r="I626" s="260"/>
      <c r="J626" s="260"/>
      <c r="K626" s="260"/>
      <c r="L626" s="261"/>
      <c r="M626" s="261"/>
      <c r="N626" s="261"/>
    </row>
    <row r="627" spans="1:14" s="45" customFormat="1" ht="12.95" customHeight="1" thickTop="1">
      <c r="A627" s="262" t="s">
        <v>302</v>
      </c>
      <c r="B627" s="263"/>
      <c r="C627" s="1651" t="s">
        <v>74</v>
      </c>
      <c r="D627" s="1652"/>
      <c r="E627" s="1652"/>
      <c r="F627" s="1652"/>
      <c r="G627" s="264"/>
      <c r="H627" s="265" t="s">
        <v>178</v>
      </c>
      <c r="I627" s="266" t="s">
        <v>126</v>
      </c>
      <c r="J627" s="267"/>
      <c r="K627" s="260"/>
      <c r="L627" s="261"/>
      <c r="M627" s="261"/>
      <c r="N627" s="261"/>
    </row>
    <row r="628" spans="1:14" s="45" customFormat="1" ht="12.95" customHeight="1">
      <c r="A628" s="262"/>
      <c r="B628" s="263"/>
      <c r="C628" s="1653"/>
      <c r="D628" s="1654"/>
      <c r="E628" s="1654"/>
      <c r="F628" s="1654"/>
      <c r="G628" s="268"/>
      <c r="H628" s="269" t="s">
        <v>179</v>
      </c>
      <c r="I628" s="270">
        <v>183.5</v>
      </c>
      <c r="J628" s="267"/>
      <c r="K628" s="260"/>
      <c r="L628" s="261"/>
      <c r="M628" s="261"/>
      <c r="N628" s="261"/>
    </row>
    <row r="629" spans="1:14" s="45" customFormat="1">
      <c r="A629" s="271" t="s">
        <v>128</v>
      </c>
      <c r="B629" s="263"/>
      <c r="C629" s="272" t="s">
        <v>21</v>
      </c>
      <c r="D629" s="273" t="s">
        <v>22</v>
      </c>
      <c r="E629" s="274" t="s">
        <v>23</v>
      </c>
      <c r="F629" s="274" t="s">
        <v>129</v>
      </c>
      <c r="G629" s="275" t="s">
        <v>130</v>
      </c>
      <c r="H629" s="276" t="s">
        <v>131</v>
      </c>
      <c r="I629" s="277"/>
      <c r="J629" s="267"/>
      <c r="K629" s="260"/>
      <c r="L629" s="261"/>
      <c r="M629" s="261"/>
      <c r="N629" s="261"/>
    </row>
    <row r="630" spans="1:14" s="45" customFormat="1">
      <c r="A630" s="271"/>
      <c r="B630" s="263"/>
      <c r="C630" s="278"/>
      <c r="D630" s="279"/>
      <c r="E630" s="280"/>
      <c r="F630" s="280"/>
      <c r="G630" s="281"/>
      <c r="H630" s="282"/>
      <c r="I630" s="283"/>
      <c r="J630" s="267"/>
      <c r="K630" s="260"/>
      <c r="L630" s="261"/>
      <c r="M630" s="261"/>
      <c r="N630" s="261"/>
    </row>
    <row r="631" spans="1:14" s="45" customFormat="1">
      <c r="A631" s="284" t="s">
        <v>132</v>
      </c>
      <c r="B631" s="263"/>
      <c r="C631" s="285" t="s">
        <v>133</v>
      </c>
      <c r="D631" s="279"/>
      <c r="E631" s="280"/>
      <c r="F631" s="280"/>
      <c r="G631" s="281"/>
      <c r="H631" s="282"/>
      <c r="I631" s="283"/>
      <c r="J631" s="267"/>
      <c r="K631" s="260"/>
      <c r="L631" s="261"/>
      <c r="M631" s="261"/>
      <c r="N631" s="261"/>
    </row>
    <row r="632" spans="1:14" s="45" customFormat="1">
      <c r="A632" s="284">
        <v>101067</v>
      </c>
      <c r="B632" s="263" t="s">
        <v>252</v>
      </c>
      <c r="C632" s="272" t="s">
        <v>303</v>
      </c>
      <c r="D632" s="273" t="s">
        <v>22</v>
      </c>
      <c r="E632" s="274">
        <v>0.9</v>
      </c>
      <c r="F632" s="274">
        <v>0</v>
      </c>
      <c r="G632" s="275">
        <v>33510</v>
      </c>
      <c r="H632" s="276">
        <v>30159</v>
      </c>
      <c r="I632" s="277">
        <v>165.15</v>
      </c>
      <c r="J632" s="267"/>
      <c r="K632" s="260"/>
      <c r="L632" s="261"/>
      <c r="M632" s="261"/>
      <c r="N632" s="261"/>
    </row>
    <row r="633" spans="1:14" s="45" customFormat="1">
      <c r="A633" s="284">
        <v>101116</v>
      </c>
      <c r="B633" s="263" t="s">
        <v>134</v>
      </c>
      <c r="C633" s="272" t="s">
        <v>304</v>
      </c>
      <c r="D633" s="273" t="s">
        <v>288</v>
      </c>
      <c r="E633" s="274">
        <v>1</v>
      </c>
      <c r="F633" s="274">
        <v>0</v>
      </c>
      <c r="G633" s="275">
        <v>900</v>
      </c>
      <c r="H633" s="276">
        <v>900</v>
      </c>
      <c r="I633" s="277">
        <v>183.5</v>
      </c>
      <c r="J633" s="267"/>
      <c r="K633" s="260"/>
      <c r="L633" s="261"/>
      <c r="M633" s="261"/>
      <c r="N633" s="261"/>
    </row>
    <row r="634" spans="1:14" s="45" customFormat="1">
      <c r="A634" s="284">
        <v>102427</v>
      </c>
      <c r="B634" s="263" t="s">
        <v>305</v>
      </c>
      <c r="C634" s="272" t="s">
        <v>306</v>
      </c>
      <c r="D634" s="273" t="s">
        <v>56</v>
      </c>
      <c r="E634" s="274">
        <v>1</v>
      </c>
      <c r="F634" s="274">
        <v>0</v>
      </c>
      <c r="G634" s="275">
        <v>24917</v>
      </c>
      <c r="H634" s="276">
        <v>24917</v>
      </c>
      <c r="I634" s="277">
        <v>183.5</v>
      </c>
      <c r="J634" s="267"/>
      <c r="K634" s="260"/>
      <c r="L634" s="261"/>
      <c r="M634" s="261"/>
      <c r="N634" s="261"/>
    </row>
    <row r="635" spans="1:14" s="45" customFormat="1">
      <c r="A635" s="284">
        <v>101651</v>
      </c>
      <c r="B635" s="263" t="s">
        <v>252</v>
      </c>
      <c r="C635" s="272" t="s">
        <v>307</v>
      </c>
      <c r="D635" s="273" t="s">
        <v>142</v>
      </c>
      <c r="E635" s="274">
        <v>0.1</v>
      </c>
      <c r="F635" s="274">
        <v>0</v>
      </c>
      <c r="G635" s="275">
        <v>6199</v>
      </c>
      <c r="H635" s="276">
        <v>619.9</v>
      </c>
      <c r="I635" s="277">
        <v>18.350000000000001</v>
      </c>
      <c r="J635" s="267"/>
      <c r="K635" s="260"/>
      <c r="L635" s="261"/>
      <c r="M635" s="261"/>
      <c r="N635" s="261"/>
    </row>
    <row r="636" spans="1:14" s="45" customFormat="1">
      <c r="A636" s="284">
        <v>101631</v>
      </c>
      <c r="B636" s="263" t="s">
        <v>236</v>
      </c>
      <c r="C636" s="272" t="s">
        <v>308</v>
      </c>
      <c r="D636" s="273" t="s">
        <v>22</v>
      </c>
      <c r="E636" s="274">
        <v>0.5</v>
      </c>
      <c r="F636" s="274">
        <v>0</v>
      </c>
      <c r="G636" s="275">
        <v>8950</v>
      </c>
      <c r="H636" s="276">
        <v>4475</v>
      </c>
      <c r="I636" s="277">
        <v>91.75</v>
      </c>
      <c r="J636" s="267"/>
      <c r="K636" s="260"/>
      <c r="L636" s="261"/>
      <c r="M636" s="261"/>
      <c r="N636" s="261"/>
    </row>
    <row r="637" spans="1:14" s="45" customFormat="1">
      <c r="A637" s="284">
        <v>100107</v>
      </c>
      <c r="B637" s="263" t="s">
        <v>291</v>
      </c>
      <c r="C637" s="272" t="s">
        <v>309</v>
      </c>
      <c r="D637" s="273" t="s">
        <v>170</v>
      </c>
      <c r="E637" s="274">
        <v>0.2</v>
      </c>
      <c r="F637" s="274">
        <v>0</v>
      </c>
      <c r="G637" s="275">
        <v>37862</v>
      </c>
      <c r="H637" s="276">
        <v>7572.4</v>
      </c>
      <c r="I637" s="277">
        <v>36.700000000000003</v>
      </c>
      <c r="J637" s="267"/>
      <c r="K637" s="260"/>
      <c r="L637" s="261"/>
      <c r="M637" s="261"/>
      <c r="N637" s="261"/>
    </row>
    <row r="638" spans="1:14" s="45" customFormat="1">
      <c r="A638" s="284">
        <v>101197</v>
      </c>
      <c r="B638" s="263" t="s">
        <v>291</v>
      </c>
      <c r="C638" s="272" t="s">
        <v>292</v>
      </c>
      <c r="D638" s="273" t="s">
        <v>293</v>
      </c>
      <c r="E638" s="274">
        <v>0.01</v>
      </c>
      <c r="F638" s="274">
        <v>0</v>
      </c>
      <c r="G638" s="275">
        <v>37500</v>
      </c>
      <c r="H638" s="276">
        <v>375</v>
      </c>
      <c r="I638" s="277">
        <v>1.835</v>
      </c>
      <c r="J638" s="267"/>
      <c r="K638" s="260"/>
      <c r="L638" s="261"/>
      <c r="M638" s="261"/>
      <c r="N638" s="261"/>
    </row>
    <row r="639" spans="1:14" s="45" customFormat="1">
      <c r="A639" s="284">
        <v>100292</v>
      </c>
      <c r="B639" s="263" t="s">
        <v>252</v>
      </c>
      <c r="C639" s="335" t="s">
        <v>310</v>
      </c>
      <c r="D639" s="336" t="s">
        <v>22</v>
      </c>
      <c r="E639" s="337">
        <v>2</v>
      </c>
      <c r="F639" s="337">
        <v>0</v>
      </c>
      <c r="G639" s="338">
        <v>4800</v>
      </c>
      <c r="H639" s="339">
        <v>9600</v>
      </c>
      <c r="I639" s="340">
        <v>367</v>
      </c>
      <c r="J639" s="267"/>
      <c r="K639" s="260"/>
      <c r="L639" s="261"/>
      <c r="M639" s="261"/>
      <c r="N639" s="261"/>
    </row>
    <row r="640" spans="1:14" s="45" customFormat="1">
      <c r="A640" s="284">
        <v>100979</v>
      </c>
      <c r="B640" s="263" t="s">
        <v>252</v>
      </c>
      <c r="C640" s="341" t="s">
        <v>311</v>
      </c>
      <c r="D640" s="342" t="s">
        <v>22</v>
      </c>
      <c r="E640" s="343">
        <v>0.5</v>
      </c>
      <c r="F640" s="343">
        <v>0</v>
      </c>
      <c r="G640" s="344">
        <v>2700</v>
      </c>
      <c r="H640" s="345">
        <v>1350</v>
      </c>
      <c r="I640" s="346">
        <v>91.75</v>
      </c>
      <c r="J640" s="267"/>
      <c r="K640" s="260"/>
      <c r="L640" s="261"/>
      <c r="M640" s="261"/>
      <c r="N640" s="261"/>
    </row>
    <row r="641" spans="1:14" s="45" customFormat="1">
      <c r="A641" s="284">
        <v>102385</v>
      </c>
      <c r="B641" s="263" t="s">
        <v>181</v>
      </c>
      <c r="C641" s="335" t="s">
        <v>312</v>
      </c>
      <c r="D641" s="336" t="s">
        <v>313</v>
      </c>
      <c r="E641" s="337">
        <v>1</v>
      </c>
      <c r="F641" s="337">
        <v>0</v>
      </c>
      <c r="G641" s="338">
        <v>6364</v>
      </c>
      <c r="H641" s="339">
        <v>6364</v>
      </c>
      <c r="I641" s="346">
        <v>183.5</v>
      </c>
      <c r="J641" s="267"/>
      <c r="K641" s="260"/>
      <c r="L641" s="261"/>
      <c r="M641" s="261"/>
      <c r="N641" s="261"/>
    </row>
    <row r="642" spans="1:14" s="45" customFormat="1">
      <c r="A642" s="286" t="s">
        <v>143</v>
      </c>
      <c r="B642" s="263"/>
      <c r="C642" s="278"/>
      <c r="D642" s="279"/>
      <c r="E642" s="280"/>
      <c r="F642" s="280"/>
      <c r="G642" s="281" t="s">
        <v>144</v>
      </c>
      <c r="H642" s="287">
        <v>86332.3</v>
      </c>
      <c r="I642" s="283"/>
      <c r="J642" s="267"/>
      <c r="K642" s="260"/>
      <c r="L642" s="261"/>
      <c r="M642" s="261"/>
      <c r="N642" s="261"/>
    </row>
    <row r="643" spans="1:14" s="45" customFormat="1" ht="27" customHeight="1">
      <c r="A643" s="284" t="s">
        <v>145</v>
      </c>
      <c r="B643" s="263"/>
      <c r="C643" s="288" t="s">
        <v>146</v>
      </c>
      <c r="D643" s="279" t="s">
        <v>147</v>
      </c>
      <c r="E643" s="279" t="s">
        <v>148</v>
      </c>
      <c r="F643" s="279" t="s">
        <v>149</v>
      </c>
      <c r="G643" s="289" t="s">
        <v>150</v>
      </c>
      <c r="H643" s="290" t="s">
        <v>151</v>
      </c>
      <c r="I643" s="283"/>
      <c r="J643" s="267"/>
      <c r="K643" s="260"/>
      <c r="L643" s="261"/>
      <c r="M643" s="261"/>
      <c r="N643" s="261"/>
    </row>
    <row r="644" spans="1:14" s="45" customFormat="1">
      <c r="A644" s="284">
        <v>200023</v>
      </c>
      <c r="B644" s="263" t="s">
        <v>146</v>
      </c>
      <c r="C644" s="272" t="s">
        <v>300</v>
      </c>
      <c r="D644" s="291">
        <v>85565</v>
      </c>
      <c r="E644" s="292">
        <v>1.85</v>
      </c>
      <c r="F644" s="293">
        <v>158295</v>
      </c>
      <c r="G644" s="294">
        <v>3.2</v>
      </c>
      <c r="H644" s="276">
        <v>49467.186999999998</v>
      </c>
      <c r="I644" s="346">
        <v>57.34375</v>
      </c>
      <c r="J644" s="267"/>
      <c r="K644" s="260"/>
      <c r="L644" s="261"/>
      <c r="M644" s="261"/>
      <c r="N644" s="261"/>
    </row>
    <row r="645" spans="1:14" s="45" customFormat="1">
      <c r="A645" s="286" t="s">
        <v>153</v>
      </c>
      <c r="B645" s="263"/>
      <c r="C645" s="278"/>
      <c r="D645" s="279"/>
      <c r="E645" s="280"/>
      <c r="F645" s="280"/>
      <c r="G645" s="281" t="s">
        <v>154</v>
      </c>
      <c r="H645" s="287">
        <v>49467.186999999998</v>
      </c>
      <c r="I645" s="283"/>
      <c r="J645" s="267"/>
      <c r="K645" s="260"/>
      <c r="L645" s="261"/>
      <c r="M645" s="261"/>
      <c r="N645" s="261"/>
    </row>
    <row r="646" spans="1:14" s="45" customFormat="1">
      <c r="A646" s="284" t="s">
        <v>155</v>
      </c>
      <c r="B646" s="263"/>
      <c r="C646" s="295" t="s">
        <v>156</v>
      </c>
      <c r="D646" s="279"/>
      <c r="E646" s="280"/>
      <c r="F646" s="280"/>
      <c r="G646" s="281"/>
      <c r="H646" s="282"/>
      <c r="I646" s="283"/>
      <c r="J646" s="267"/>
      <c r="K646" s="260"/>
      <c r="L646" s="261"/>
      <c r="M646" s="261"/>
      <c r="N646" s="261"/>
    </row>
    <row r="647" spans="1:14" s="45" customFormat="1">
      <c r="A647" s="284">
        <v>300026</v>
      </c>
      <c r="B647" s="263" t="s">
        <v>156</v>
      </c>
      <c r="C647" s="272" t="s">
        <v>157</v>
      </c>
      <c r="D647" s="273" t="s">
        <v>158</v>
      </c>
      <c r="E647" s="292">
        <v>0.05</v>
      </c>
      <c r="F647" s="274">
        <v>0</v>
      </c>
      <c r="G647" s="275">
        <v>49467.186999999998</v>
      </c>
      <c r="H647" s="276">
        <v>2473.35</v>
      </c>
      <c r="I647" s="346">
        <v>453859.72499999998</v>
      </c>
      <c r="J647" s="267"/>
      <c r="K647" s="260"/>
      <c r="L647" s="261"/>
      <c r="M647" s="261"/>
      <c r="N647" s="261"/>
    </row>
    <row r="648" spans="1:14" s="45" customFormat="1">
      <c r="A648" s="286" t="s">
        <v>159</v>
      </c>
      <c r="B648" s="263"/>
      <c r="C648" s="278"/>
      <c r="D648" s="279"/>
      <c r="E648" s="280"/>
      <c r="F648" s="280"/>
      <c r="G648" s="281" t="s">
        <v>160</v>
      </c>
      <c r="H648" s="287">
        <v>2473.35</v>
      </c>
      <c r="I648" s="283"/>
      <c r="J648" s="267"/>
      <c r="K648" s="260"/>
      <c r="L648" s="261"/>
      <c r="M648" s="261"/>
      <c r="N648" s="261"/>
    </row>
    <row r="649" spans="1:14" s="45" customFormat="1">
      <c r="A649" s="296"/>
      <c r="B649" s="297"/>
      <c r="C649" s="278"/>
      <c r="D649" s="279"/>
      <c r="E649" s="280"/>
      <c r="F649" s="280"/>
      <c r="G649" s="281"/>
      <c r="H649" s="282"/>
      <c r="I649" s="283"/>
      <c r="J649" s="267"/>
      <c r="K649" s="260"/>
      <c r="L649" s="261"/>
      <c r="M649" s="261"/>
      <c r="N649" s="261"/>
    </row>
    <row r="650" spans="1:14" s="45" customFormat="1" ht="15.75" thickBot="1">
      <c r="A650" s="296" t="s">
        <v>26</v>
      </c>
      <c r="B650" s="297"/>
      <c r="C650" s="299"/>
      <c r="D650" s="347"/>
      <c r="E650" s="348"/>
      <c r="F650" s="349" t="s">
        <v>161</v>
      </c>
      <c r="G650" s="350">
        <v>138272.83699999997</v>
      </c>
      <c r="H650" s="351">
        <v>138273</v>
      </c>
      <c r="I650" s="305"/>
      <c r="J650" s="267"/>
      <c r="K650" s="260"/>
      <c r="L650" s="261"/>
      <c r="M650" s="261"/>
      <c r="N650" s="261"/>
    </row>
    <row r="651" spans="1:14" s="45" customFormat="1" ht="15.75" hidden="1" thickTop="1">
      <c r="A651" s="296" t="s">
        <v>188</v>
      </c>
      <c r="B651" s="297"/>
      <c r="C651" s="314" t="s">
        <v>96</v>
      </c>
      <c r="D651" s="315"/>
      <c r="E651" s="316"/>
      <c r="F651" s="316"/>
      <c r="G651" s="318"/>
      <c r="H651" s="319"/>
      <c r="I651" s="283"/>
      <c r="J651" s="267"/>
      <c r="K651" s="260"/>
      <c r="L651" s="261"/>
      <c r="M651" s="261"/>
      <c r="N651" s="261"/>
    </row>
    <row r="652" spans="1:14" s="45" customFormat="1" ht="15.75" hidden="1" thickTop="1">
      <c r="A652" s="284" t="s">
        <v>99</v>
      </c>
      <c r="B652" s="297"/>
      <c r="C652" s="352" t="s">
        <v>100</v>
      </c>
      <c r="D652" s="353"/>
      <c r="E652" s="354"/>
      <c r="F652" s="323">
        <v>0.185</v>
      </c>
      <c r="G652" s="355"/>
      <c r="H652" s="356">
        <v>25580.51</v>
      </c>
      <c r="I652" s="283"/>
      <c r="J652" s="267"/>
      <c r="K652" s="260"/>
      <c r="L652" s="261"/>
      <c r="M652" s="261"/>
      <c r="N652" s="261"/>
    </row>
    <row r="653" spans="1:14" s="45" customFormat="1" ht="15.75" hidden="1" thickTop="1">
      <c r="A653" s="284" t="s">
        <v>189</v>
      </c>
      <c r="B653" s="297"/>
      <c r="C653" s="352" t="s">
        <v>102</v>
      </c>
      <c r="D653" s="353"/>
      <c r="E653" s="354"/>
      <c r="F653" s="323">
        <v>0.05</v>
      </c>
      <c r="G653" s="355"/>
      <c r="H653" s="356">
        <v>6913.65</v>
      </c>
      <c r="I653" s="283"/>
      <c r="J653" s="267"/>
      <c r="K653" s="260"/>
      <c r="L653" s="261"/>
      <c r="M653" s="261"/>
      <c r="N653" s="261"/>
    </row>
    <row r="654" spans="1:14" s="45" customFormat="1" ht="15.75" hidden="1" thickTop="1">
      <c r="A654" s="284" t="s">
        <v>103</v>
      </c>
      <c r="B654" s="297"/>
      <c r="C654" s="352" t="s">
        <v>104</v>
      </c>
      <c r="D654" s="353"/>
      <c r="E654" s="354"/>
      <c r="F654" s="323">
        <v>0.08</v>
      </c>
      <c r="G654" s="355"/>
      <c r="H654" s="356">
        <v>11061.84</v>
      </c>
      <c r="I654" s="283"/>
      <c r="J654" s="267"/>
      <c r="K654" s="260"/>
      <c r="L654" s="261"/>
      <c r="M654" s="261"/>
      <c r="N654" s="261"/>
    </row>
    <row r="655" spans="1:14" s="45" customFormat="1" ht="15.75" hidden="1" thickTop="1">
      <c r="A655" s="284" t="s">
        <v>106</v>
      </c>
      <c r="B655" s="297"/>
      <c r="C655" s="352" t="s">
        <v>107</v>
      </c>
      <c r="D655" s="353"/>
      <c r="E655" s="354"/>
      <c r="F655" s="323">
        <v>0.16</v>
      </c>
      <c r="G655" s="355"/>
      <c r="H655" s="356">
        <v>1769.89</v>
      </c>
      <c r="I655" s="283"/>
      <c r="J655" s="267"/>
      <c r="K655" s="260"/>
      <c r="L655" s="261"/>
      <c r="M655" s="261"/>
      <c r="N655" s="261"/>
    </row>
    <row r="656" spans="1:14" s="45" customFormat="1" ht="15.75" hidden="1" thickTop="1">
      <c r="A656" s="296" t="s">
        <v>190</v>
      </c>
      <c r="B656" s="297"/>
      <c r="C656" s="285" t="s">
        <v>191</v>
      </c>
      <c r="D656" s="279"/>
      <c r="E656" s="280"/>
      <c r="F656" s="280"/>
      <c r="G656" s="326"/>
      <c r="H656" s="327">
        <v>45325.89</v>
      </c>
      <c r="I656" s="298">
        <v>-23399</v>
      </c>
      <c r="J656" s="267"/>
      <c r="K656" s="260"/>
      <c r="L656" s="261"/>
      <c r="M656" s="261"/>
      <c r="N656" s="261"/>
    </row>
    <row r="657" spans="1:14" s="45" customFormat="1" ht="16.5" hidden="1" thickTop="1" thickBot="1">
      <c r="A657" s="296" t="s">
        <v>192</v>
      </c>
      <c r="B657" s="297"/>
      <c r="C657" s="357"/>
      <c r="D657" s="358"/>
      <c r="E657" s="359"/>
      <c r="F657" s="349" t="s">
        <v>193</v>
      </c>
      <c r="G657" s="360">
        <v>183598.89</v>
      </c>
      <c r="H657" s="351">
        <v>183599</v>
      </c>
      <c r="I657" s="305">
        <v>160200</v>
      </c>
      <c r="J657" s="267"/>
      <c r="K657" s="260"/>
      <c r="L657" s="261"/>
      <c r="M657" s="261"/>
      <c r="N657" s="261"/>
    </row>
    <row r="658" spans="1:14" s="45" customFormat="1" ht="15.75" thickTop="1">
      <c r="A658"/>
      <c r="B658"/>
      <c r="C658" s="19"/>
      <c r="D658" s="306"/>
      <c r="E658" s="19"/>
      <c r="F658" s="19"/>
      <c r="G658" s="19"/>
      <c r="H658" s="19"/>
      <c r="I658" s="260"/>
      <c r="J658" s="260"/>
      <c r="K658" s="260"/>
      <c r="L658" s="261"/>
      <c r="M658" s="261"/>
      <c r="N658" s="261"/>
    </row>
    <row r="659" spans="1:14" s="45" customFormat="1" ht="15.75" thickBot="1">
      <c r="A659"/>
      <c r="B659"/>
      <c r="C659" s="19"/>
      <c r="D659" s="306"/>
      <c r="E659" s="19"/>
      <c r="F659" s="19"/>
      <c r="G659" s="19"/>
      <c r="H659" s="19"/>
      <c r="I659" s="260"/>
      <c r="J659" s="260"/>
      <c r="K659" s="260"/>
      <c r="L659" s="261"/>
      <c r="M659" s="261"/>
      <c r="N659" s="261"/>
    </row>
    <row r="660" spans="1:14" s="45" customFormat="1" ht="12.95" customHeight="1" thickTop="1">
      <c r="A660" s="262" t="s">
        <v>314</v>
      </c>
      <c r="B660" s="263"/>
      <c r="C660" s="1651" t="s">
        <v>75</v>
      </c>
      <c r="D660" s="1652"/>
      <c r="E660" s="1652"/>
      <c r="F660" s="1652"/>
      <c r="G660" s="264"/>
      <c r="H660" s="265" t="s">
        <v>205</v>
      </c>
      <c r="I660" s="266" t="s">
        <v>126</v>
      </c>
      <c r="J660" s="267"/>
      <c r="K660" s="260"/>
      <c r="L660" s="261"/>
      <c r="M660" s="261"/>
      <c r="N660" s="261"/>
    </row>
    <row r="661" spans="1:14" s="45" customFormat="1" ht="12.95" customHeight="1">
      <c r="A661" s="262"/>
      <c r="B661" s="263"/>
      <c r="C661" s="1653"/>
      <c r="D661" s="1654"/>
      <c r="E661" s="1654"/>
      <c r="F661" s="1654"/>
      <c r="G661" s="268"/>
      <c r="H661" s="269" t="s">
        <v>179</v>
      </c>
      <c r="I661" s="270">
        <v>36</v>
      </c>
      <c r="J661" s="267"/>
      <c r="K661" s="260"/>
      <c r="L661" s="261"/>
      <c r="M661" s="261"/>
      <c r="N661" s="261"/>
    </row>
    <row r="662" spans="1:14" s="45" customFormat="1">
      <c r="A662" s="271" t="s">
        <v>128</v>
      </c>
      <c r="B662" s="263"/>
      <c r="C662" s="272" t="s">
        <v>21</v>
      </c>
      <c r="D662" s="273" t="s">
        <v>22</v>
      </c>
      <c r="E662" s="274" t="s">
        <v>23</v>
      </c>
      <c r="F662" s="274" t="s">
        <v>129</v>
      </c>
      <c r="G662" s="275" t="s">
        <v>130</v>
      </c>
      <c r="H662" s="276" t="s">
        <v>131</v>
      </c>
      <c r="I662" s="346"/>
      <c r="J662" s="267"/>
      <c r="K662" s="260"/>
      <c r="L662" s="261"/>
      <c r="M662" s="261"/>
      <c r="N662" s="261"/>
    </row>
    <row r="663" spans="1:14" s="45" customFormat="1">
      <c r="A663" s="271"/>
      <c r="B663" s="263"/>
      <c r="C663" s="278"/>
      <c r="D663" s="279"/>
      <c r="E663" s="280"/>
      <c r="F663" s="280"/>
      <c r="G663" s="281"/>
      <c r="H663" s="282"/>
      <c r="I663" s="283"/>
      <c r="J663" s="267"/>
      <c r="K663" s="260"/>
      <c r="L663" s="261"/>
      <c r="M663" s="261"/>
      <c r="N663" s="261"/>
    </row>
    <row r="664" spans="1:14" s="45" customFormat="1">
      <c r="A664" s="284" t="s">
        <v>132</v>
      </c>
      <c r="B664" s="263"/>
      <c r="C664" s="285" t="s">
        <v>133</v>
      </c>
      <c r="D664" s="279"/>
      <c r="E664" s="280"/>
      <c r="F664" s="280"/>
      <c r="G664" s="281"/>
      <c r="H664" s="282"/>
      <c r="I664" s="283"/>
      <c r="J664" s="267"/>
      <c r="K664" s="260"/>
      <c r="L664" s="261"/>
      <c r="M664" s="261"/>
      <c r="N664" s="261"/>
    </row>
    <row r="665" spans="1:14" s="45" customFormat="1">
      <c r="A665" s="284">
        <v>101067</v>
      </c>
      <c r="B665" s="263" t="s">
        <v>252</v>
      </c>
      <c r="C665" s="272" t="s">
        <v>303</v>
      </c>
      <c r="D665" s="273" t="s">
        <v>22</v>
      </c>
      <c r="E665" s="274">
        <v>1.5</v>
      </c>
      <c r="F665" s="274">
        <v>0</v>
      </c>
      <c r="G665" s="275">
        <v>33510</v>
      </c>
      <c r="H665" s="276">
        <v>50265</v>
      </c>
      <c r="I665" s="346">
        <v>54</v>
      </c>
      <c r="J665" s="267"/>
      <c r="K665" s="260"/>
      <c r="L665" s="261"/>
      <c r="M665" s="261"/>
      <c r="N665" s="261"/>
    </row>
    <row r="666" spans="1:14" s="45" customFormat="1">
      <c r="A666" s="284">
        <v>101116</v>
      </c>
      <c r="B666" s="263" t="s">
        <v>134</v>
      </c>
      <c r="C666" s="272" t="s">
        <v>304</v>
      </c>
      <c r="D666" s="273" t="s">
        <v>288</v>
      </c>
      <c r="E666" s="274">
        <v>1</v>
      </c>
      <c r="F666" s="274">
        <v>0</v>
      </c>
      <c r="G666" s="275">
        <v>900</v>
      </c>
      <c r="H666" s="276">
        <v>900</v>
      </c>
      <c r="I666" s="346">
        <v>36</v>
      </c>
      <c r="J666" s="267"/>
      <c r="K666" s="260"/>
      <c r="L666" s="261"/>
      <c r="M666" s="261"/>
      <c r="N666" s="261"/>
    </row>
    <row r="667" spans="1:14" s="45" customFormat="1">
      <c r="A667" s="284">
        <v>101651</v>
      </c>
      <c r="B667" s="263" t="s">
        <v>252</v>
      </c>
      <c r="C667" s="272" t="s">
        <v>307</v>
      </c>
      <c r="D667" s="273" t="s">
        <v>142</v>
      </c>
      <c r="E667" s="274">
        <v>0.2</v>
      </c>
      <c r="F667" s="274">
        <v>0</v>
      </c>
      <c r="G667" s="275">
        <v>6199</v>
      </c>
      <c r="H667" s="276">
        <v>1239.8</v>
      </c>
      <c r="I667" s="346">
        <v>7.2</v>
      </c>
      <c r="J667" s="267"/>
      <c r="K667" s="260"/>
      <c r="L667" s="261"/>
      <c r="M667" s="261"/>
      <c r="N667" s="261"/>
    </row>
    <row r="668" spans="1:14" s="45" customFormat="1">
      <c r="A668" s="284">
        <v>100107</v>
      </c>
      <c r="B668" s="263" t="s">
        <v>291</v>
      </c>
      <c r="C668" s="272" t="s">
        <v>309</v>
      </c>
      <c r="D668" s="273" t="s">
        <v>170</v>
      </c>
      <c r="E668" s="274">
        <v>0.04</v>
      </c>
      <c r="F668" s="274">
        <v>0</v>
      </c>
      <c r="G668" s="275">
        <v>37862</v>
      </c>
      <c r="H668" s="276">
        <v>1514.48</v>
      </c>
      <c r="I668" s="346">
        <v>1.44</v>
      </c>
      <c r="J668" s="267"/>
      <c r="K668" s="260"/>
      <c r="L668" s="261"/>
      <c r="M668" s="261"/>
      <c r="N668" s="261"/>
    </row>
    <row r="669" spans="1:14" s="45" customFormat="1">
      <c r="A669" s="284">
        <v>101197</v>
      </c>
      <c r="B669" s="263" t="s">
        <v>291</v>
      </c>
      <c r="C669" s="272" t="s">
        <v>292</v>
      </c>
      <c r="D669" s="273" t="s">
        <v>293</v>
      </c>
      <c r="E669" s="274">
        <v>0.03</v>
      </c>
      <c r="F669" s="274">
        <v>0</v>
      </c>
      <c r="G669" s="275">
        <v>37500</v>
      </c>
      <c r="H669" s="276">
        <v>1125</v>
      </c>
      <c r="I669" s="346">
        <v>1.08</v>
      </c>
      <c r="J669" s="267"/>
      <c r="K669" s="260"/>
      <c r="L669" s="261"/>
      <c r="M669" s="261"/>
      <c r="N669" s="261"/>
    </row>
    <row r="670" spans="1:14" s="45" customFormat="1">
      <c r="A670" s="286" t="s">
        <v>143</v>
      </c>
      <c r="B670" s="263"/>
      <c r="C670" s="278"/>
      <c r="D670" s="279"/>
      <c r="E670" s="280"/>
      <c r="F670" s="280"/>
      <c r="G670" s="281" t="s">
        <v>144</v>
      </c>
      <c r="H670" s="287">
        <v>55044.280000000006</v>
      </c>
      <c r="I670" s="283"/>
      <c r="J670" s="267"/>
      <c r="K670" s="260"/>
      <c r="L670" s="261"/>
      <c r="M670" s="261"/>
      <c r="N670" s="261"/>
    </row>
    <row r="671" spans="1:14" s="45" customFormat="1" ht="27" customHeight="1">
      <c r="A671" s="284" t="s">
        <v>145</v>
      </c>
      <c r="B671" s="263"/>
      <c r="C671" s="288" t="s">
        <v>146</v>
      </c>
      <c r="D671" s="279" t="s">
        <v>147</v>
      </c>
      <c r="E671" s="279" t="s">
        <v>148</v>
      </c>
      <c r="F671" s="279" t="s">
        <v>149</v>
      </c>
      <c r="G671" s="289" t="s">
        <v>150</v>
      </c>
      <c r="H671" s="290" t="s">
        <v>151</v>
      </c>
      <c r="I671" s="283"/>
      <c r="J671" s="267"/>
      <c r="K671" s="260"/>
      <c r="L671" s="261"/>
      <c r="M671" s="261"/>
      <c r="N671" s="261"/>
    </row>
    <row r="672" spans="1:14" s="45" customFormat="1">
      <c r="A672" s="284">
        <v>200023</v>
      </c>
      <c r="B672" s="263" t="s">
        <v>146</v>
      </c>
      <c r="C672" s="272" t="s">
        <v>300</v>
      </c>
      <c r="D672" s="291">
        <v>85565</v>
      </c>
      <c r="E672" s="292">
        <v>1.85</v>
      </c>
      <c r="F672" s="293">
        <v>158295</v>
      </c>
      <c r="G672" s="294">
        <v>2.6669999999999998</v>
      </c>
      <c r="H672" s="276">
        <v>59353.205000000002</v>
      </c>
      <c r="I672" s="346">
        <v>13.498312710911136</v>
      </c>
      <c r="J672" s="267"/>
      <c r="K672" s="260"/>
      <c r="L672" s="261"/>
      <c r="M672" s="261"/>
      <c r="N672" s="261"/>
    </row>
    <row r="673" spans="1:14" s="45" customFormat="1">
      <c r="A673" s="284">
        <v>207104</v>
      </c>
      <c r="B673" s="263" t="s">
        <v>146</v>
      </c>
      <c r="C673" s="272" t="s">
        <v>315</v>
      </c>
      <c r="D673" s="273" t="s">
        <v>199</v>
      </c>
      <c r="E673" s="274">
        <v>1.7450000000000001</v>
      </c>
      <c r="F673" s="274"/>
      <c r="G673" s="275">
        <v>10000</v>
      </c>
      <c r="H673" s="276">
        <v>17450</v>
      </c>
      <c r="I673" s="346">
        <v>62.820000000000007</v>
      </c>
      <c r="J673" s="267"/>
      <c r="K673" s="260"/>
      <c r="L673" s="261"/>
      <c r="M673" s="261"/>
      <c r="N673" s="261"/>
    </row>
    <row r="674" spans="1:14" s="45" customFormat="1">
      <c r="A674" s="286" t="s">
        <v>153</v>
      </c>
      <c r="B674" s="263"/>
      <c r="C674" s="278"/>
      <c r="D674" s="279"/>
      <c r="E674" s="280"/>
      <c r="F674" s="280"/>
      <c r="G674" s="281" t="s">
        <v>154</v>
      </c>
      <c r="H674" s="287">
        <v>76803.205000000002</v>
      </c>
      <c r="I674" s="283"/>
      <c r="J674" s="267"/>
      <c r="K674" s="260"/>
      <c r="L674" s="261"/>
      <c r="M674" s="261"/>
      <c r="N674" s="261"/>
    </row>
    <row r="675" spans="1:14" s="45" customFormat="1">
      <c r="A675" s="284" t="s">
        <v>155</v>
      </c>
      <c r="B675" s="263"/>
      <c r="C675" s="295" t="s">
        <v>156</v>
      </c>
      <c r="D675" s="279"/>
      <c r="E675" s="280"/>
      <c r="F675" s="280"/>
      <c r="G675" s="281"/>
      <c r="H675" s="282"/>
      <c r="I675" s="283"/>
      <c r="J675" s="267"/>
      <c r="K675" s="260"/>
      <c r="L675" s="261"/>
      <c r="M675" s="261"/>
      <c r="N675" s="261"/>
    </row>
    <row r="676" spans="1:14" s="45" customFormat="1">
      <c r="A676" s="284">
        <v>300026</v>
      </c>
      <c r="B676" s="263" t="s">
        <v>156</v>
      </c>
      <c r="C676" s="272" t="s">
        <v>157</v>
      </c>
      <c r="D676" s="273" t="s">
        <v>158</v>
      </c>
      <c r="E676" s="292">
        <v>0.05</v>
      </c>
      <c r="F676" s="274">
        <v>0</v>
      </c>
      <c r="G676" s="275">
        <v>76803.205000000002</v>
      </c>
      <c r="H676" s="276">
        <v>3840.16</v>
      </c>
      <c r="I676" s="346">
        <v>138245.76000000001</v>
      </c>
      <c r="J676" s="267"/>
      <c r="K676" s="260"/>
      <c r="L676" s="261"/>
      <c r="M676" s="261"/>
      <c r="N676" s="261"/>
    </row>
    <row r="677" spans="1:14" s="45" customFormat="1">
      <c r="A677" s="286" t="s">
        <v>159</v>
      </c>
      <c r="B677" s="263"/>
      <c r="C677" s="278"/>
      <c r="D677" s="279"/>
      <c r="E677" s="280"/>
      <c r="F677" s="280"/>
      <c r="G677" s="281" t="s">
        <v>160</v>
      </c>
      <c r="H677" s="287">
        <v>3840.16</v>
      </c>
      <c r="I677" s="283"/>
      <c r="J677" s="267"/>
      <c r="K677" s="260"/>
      <c r="L677" s="261"/>
      <c r="M677" s="261"/>
      <c r="N677" s="261"/>
    </row>
    <row r="678" spans="1:14" s="45" customFormat="1">
      <c r="A678" s="296"/>
      <c r="B678" s="297"/>
      <c r="C678" s="278"/>
      <c r="D678" s="279"/>
      <c r="E678" s="280"/>
      <c r="F678" s="280"/>
      <c r="G678" s="281"/>
      <c r="H678" s="282"/>
      <c r="I678" s="283"/>
      <c r="J678" s="267"/>
      <c r="K678" s="260"/>
      <c r="L678" s="261"/>
      <c r="M678" s="261"/>
      <c r="N678" s="261"/>
    </row>
    <row r="679" spans="1:14" s="45" customFormat="1" ht="15.75" thickBot="1">
      <c r="A679" s="296" t="s">
        <v>26</v>
      </c>
      <c r="B679" s="297"/>
      <c r="C679" s="299"/>
      <c r="D679" s="347"/>
      <c r="E679" s="348"/>
      <c r="F679" s="349" t="s">
        <v>161</v>
      </c>
      <c r="G679" s="350">
        <v>135687.64499999999</v>
      </c>
      <c r="H679" s="351">
        <v>135688</v>
      </c>
      <c r="I679" s="305"/>
      <c r="J679" s="267"/>
      <c r="K679" s="260"/>
      <c r="L679" s="261"/>
      <c r="M679" s="261"/>
      <c r="N679" s="261"/>
    </row>
    <row r="680" spans="1:14" s="45" customFormat="1" ht="15.75" hidden="1" thickTop="1">
      <c r="A680" s="296" t="s">
        <v>188</v>
      </c>
      <c r="B680" s="297"/>
      <c r="C680" s="314" t="s">
        <v>96</v>
      </c>
      <c r="D680" s="315"/>
      <c r="E680" s="316"/>
      <c r="F680" s="316"/>
      <c r="G680" s="318"/>
      <c r="H680" s="319"/>
      <c r="I680" s="283"/>
      <c r="J680" s="267"/>
      <c r="K680" s="260"/>
      <c r="L680" s="261"/>
      <c r="M680" s="261"/>
      <c r="N680" s="261"/>
    </row>
    <row r="681" spans="1:14" s="45" customFormat="1" ht="15.75" hidden="1" thickTop="1">
      <c r="A681" s="284" t="s">
        <v>99</v>
      </c>
      <c r="B681" s="297"/>
      <c r="C681" s="352" t="s">
        <v>100</v>
      </c>
      <c r="D681" s="353"/>
      <c r="E681" s="354"/>
      <c r="F681" s="323">
        <v>0.185</v>
      </c>
      <c r="G681" s="355"/>
      <c r="H681" s="356">
        <v>25102.28</v>
      </c>
      <c r="I681" s="283"/>
      <c r="J681" s="267"/>
      <c r="K681" s="260"/>
      <c r="L681" s="261"/>
      <c r="M681" s="261"/>
      <c r="N681" s="261"/>
    </row>
    <row r="682" spans="1:14" s="45" customFormat="1" ht="15.75" hidden="1" thickTop="1">
      <c r="A682" s="284" t="s">
        <v>189</v>
      </c>
      <c r="B682" s="297"/>
      <c r="C682" s="352" t="s">
        <v>102</v>
      </c>
      <c r="D682" s="353"/>
      <c r="E682" s="354"/>
      <c r="F682" s="323">
        <v>0.05</v>
      </c>
      <c r="G682" s="355"/>
      <c r="H682" s="356">
        <v>6784.4</v>
      </c>
      <c r="I682" s="283"/>
      <c r="J682" s="267"/>
      <c r="K682" s="260"/>
      <c r="L682" s="261"/>
      <c r="M682" s="261"/>
      <c r="N682" s="261"/>
    </row>
    <row r="683" spans="1:14" s="45" customFormat="1" ht="15.75" hidden="1" thickTop="1">
      <c r="A683" s="284" t="s">
        <v>103</v>
      </c>
      <c r="B683" s="297"/>
      <c r="C683" s="352" t="s">
        <v>104</v>
      </c>
      <c r="D683" s="353"/>
      <c r="E683" s="354"/>
      <c r="F683" s="323">
        <v>0.08</v>
      </c>
      <c r="G683" s="355"/>
      <c r="H683" s="356">
        <v>10855.04</v>
      </c>
      <c r="I683" s="283"/>
      <c r="J683" s="267"/>
      <c r="K683" s="260"/>
      <c r="L683" s="261"/>
      <c r="M683" s="261"/>
      <c r="N683" s="261"/>
    </row>
    <row r="684" spans="1:14" s="45" customFormat="1" ht="15.75" hidden="1" thickTop="1">
      <c r="A684" s="284" t="s">
        <v>106</v>
      </c>
      <c r="B684" s="297"/>
      <c r="C684" s="352" t="s">
        <v>107</v>
      </c>
      <c r="D684" s="353"/>
      <c r="E684" s="354"/>
      <c r="F684" s="323">
        <v>0.16</v>
      </c>
      <c r="G684" s="355"/>
      <c r="H684" s="356">
        <v>1736.81</v>
      </c>
      <c r="I684" s="283"/>
      <c r="J684" s="267"/>
      <c r="K684" s="260"/>
      <c r="L684" s="261"/>
      <c r="M684" s="261"/>
      <c r="N684" s="261"/>
    </row>
    <row r="685" spans="1:14" s="45" customFormat="1" ht="15.75" hidden="1" thickTop="1">
      <c r="A685" s="296" t="s">
        <v>190</v>
      </c>
      <c r="B685" s="297"/>
      <c r="C685" s="285" t="s">
        <v>191</v>
      </c>
      <c r="D685" s="279"/>
      <c r="E685" s="280"/>
      <c r="F685" s="280"/>
      <c r="G685" s="326"/>
      <c r="H685" s="327">
        <v>44478.53</v>
      </c>
      <c r="I685" s="298">
        <v>-36207</v>
      </c>
      <c r="J685" s="267"/>
      <c r="K685" s="260"/>
      <c r="L685" s="261"/>
      <c r="M685" s="261"/>
      <c r="N685" s="261"/>
    </row>
    <row r="686" spans="1:14" s="45" customFormat="1" ht="16.5" hidden="1" thickTop="1" thickBot="1">
      <c r="A686" s="296" t="s">
        <v>192</v>
      </c>
      <c r="B686" s="297"/>
      <c r="C686" s="357"/>
      <c r="D686" s="358"/>
      <c r="E686" s="359"/>
      <c r="F686" s="349" t="s">
        <v>193</v>
      </c>
      <c r="G686" s="360">
        <v>180166.53</v>
      </c>
      <c r="H686" s="351">
        <v>180167</v>
      </c>
      <c r="I686" s="305">
        <v>143960</v>
      </c>
      <c r="J686" s="267"/>
      <c r="K686" s="260"/>
      <c r="L686" s="261"/>
      <c r="M686" s="261"/>
      <c r="N686" s="261"/>
    </row>
    <row r="687" spans="1:14" s="45" customFormat="1" ht="15.75" thickTop="1">
      <c r="A687"/>
      <c r="B687"/>
      <c r="C687" s="19"/>
      <c r="D687" s="306"/>
      <c r="E687" s="19"/>
      <c r="F687" s="19"/>
      <c r="G687" s="19"/>
      <c r="H687" s="19"/>
      <c r="I687" s="260"/>
      <c r="J687" s="260"/>
      <c r="K687" s="260"/>
      <c r="L687" s="261"/>
      <c r="M687" s="261"/>
      <c r="N687" s="261"/>
    </row>
    <row r="688" spans="1:14" s="45" customFormat="1" ht="15.75" thickBot="1">
      <c r="A688"/>
      <c r="B688"/>
      <c r="C688" s="19"/>
      <c r="D688" s="306"/>
      <c r="E688" s="19"/>
      <c r="F688" s="19"/>
      <c r="G688" s="19"/>
      <c r="H688" s="19"/>
      <c r="I688" s="260"/>
      <c r="J688" s="260"/>
      <c r="K688" s="260"/>
      <c r="L688" s="261"/>
      <c r="M688" s="261"/>
      <c r="N688" s="261"/>
    </row>
    <row r="689" spans="1:14" s="45" customFormat="1" ht="12.95" customHeight="1" thickTop="1">
      <c r="A689" s="262" t="s">
        <v>316</v>
      </c>
      <c r="B689" s="263"/>
      <c r="C689" s="1651" t="s">
        <v>76</v>
      </c>
      <c r="D689" s="1652"/>
      <c r="E689" s="1652"/>
      <c r="F689" s="1652"/>
      <c r="G689" s="264"/>
      <c r="H689" s="265" t="s">
        <v>224</v>
      </c>
      <c r="I689" s="266" t="s">
        <v>126</v>
      </c>
      <c r="J689" s="241"/>
      <c r="K689" s="260"/>
      <c r="L689" s="261"/>
      <c r="M689" s="261"/>
      <c r="N689" s="261"/>
    </row>
    <row r="690" spans="1:14" s="45" customFormat="1" ht="12.95" customHeight="1">
      <c r="A690" s="262"/>
      <c r="B690" s="263"/>
      <c r="C690" s="1653"/>
      <c r="D690" s="1654"/>
      <c r="E690" s="1654"/>
      <c r="F690" s="1654"/>
      <c r="G690" s="268"/>
      <c r="H690" s="269" t="s">
        <v>179</v>
      </c>
      <c r="I690" s="270">
        <v>20</v>
      </c>
      <c r="J690" s="241"/>
      <c r="K690" s="260"/>
      <c r="L690" s="261"/>
      <c r="M690" s="261"/>
      <c r="N690" s="261"/>
    </row>
    <row r="691" spans="1:14" s="45" customFormat="1">
      <c r="A691" s="271" t="s">
        <v>128</v>
      </c>
      <c r="B691" s="263"/>
      <c r="C691" s="272" t="s">
        <v>21</v>
      </c>
      <c r="D691" s="273" t="s">
        <v>22</v>
      </c>
      <c r="E691" s="274" t="s">
        <v>23</v>
      </c>
      <c r="F691" s="274" t="s">
        <v>129</v>
      </c>
      <c r="G691" s="275" t="s">
        <v>130</v>
      </c>
      <c r="H691" s="276" t="s">
        <v>131</v>
      </c>
      <c r="I691" s="346"/>
      <c r="J691" s="241"/>
      <c r="K691" s="260"/>
      <c r="L691" s="261"/>
      <c r="M691" s="261"/>
      <c r="N691" s="261"/>
    </row>
    <row r="692" spans="1:14" s="45" customFormat="1">
      <c r="A692" s="271"/>
      <c r="B692" s="263"/>
      <c r="C692" s="278"/>
      <c r="D692" s="279"/>
      <c r="E692" s="280"/>
      <c r="F692" s="280"/>
      <c r="G692" s="281"/>
      <c r="H692" s="282"/>
      <c r="I692" s="283"/>
      <c r="J692" s="241"/>
      <c r="K692" s="260"/>
      <c r="L692" s="261"/>
      <c r="M692" s="261"/>
      <c r="N692" s="261"/>
    </row>
    <row r="693" spans="1:14" s="45" customFormat="1">
      <c r="A693" s="296" t="s">
        <v>132</v>
      </c>
      <c r="B693" s="19"/>
      <c r="C693" s="285" t="s">
        <v>133</v>
      </c>
      <c r="D693" s="279"/>
      <c r="E693" s="280"/>
      <c r="F693" s="280"/>
      <c r="G693" s="281"/>
      <c r="H693" s="282"/>
      <c r="I693" s="283"/>
      <c r="J693" s="241"/>
      <c r="K693" s="260"/>
      <c r="L693" s="261"/>
      <c r="M693" s="261"/>
      <c r="N693" s="261"/>
    </row>
    <row r="694" spans="1:14" s="45" customFormat="1">
      <c r="A694" s="296">
        <v>101116</v>
      </c>
      <c r="B694" s="19" t="s">
        <v>134</v>
      </c>
      <c r="C694" s="272" t="s">
        <v>304</v>
      </c>
      <c r="D694" s="273" t="s">
        <v>288</v>
      </c>
      <c r="E694" s="274">
        <v>1.5</v>
      </c>
      <c r="F694" s="274">
        <v>0</v>
      </c>
      <c r="G694" s="275">
        <v>900</v>
      </c>
      <c r="H694" s="276">
        <v>1350</v>
      </c>
      <c r="I694" s="346">
        <v>30</v>
      </c>
      <c r="J694" s="241"/>
      <c r="K694" s="260"/>
      <c r="L694" s="261"/>
      <c r="M694" s="261"/>
      <c r="N694" s="261"/>
    </row>
    <row r="695" spans="1:14" s="45" customFormat="1">
      <c r="A695" s="296">
        <v>102427</v>
      </c>
      <c r="B695" s="19" t="s">
        <v>305</v>
      </c>
      <c r="C695" s="272" t="s">
        <v>306</v>
      </c>
      <c r="D695" s="273" t="s">
        <v>56</v>
      </c>
      <c r="E695" s="274">
        <v>0.6</v>
      </c>
      <c r="F695" s="274">
        <v>0</v>
      </c>
      <c r="G695" s="275">
        <v>24917</v>
      </c>
      <c r="H695" s="276">
        <v>14950.2</v>
      </c>
      <c r="I695" s="346">
        <v>12</v>
      </c>
      <c r="J695" s="241"/>
      <c r="K695" s="260"/>
      <c r="L695" s="261"/>
      <c r="M695" s="261"/>
      <c r="N695" s="261"/>
    </row>
    <row r="696" spans="1:14" s="45" customFormat="1">
      <c r="A696" s="296">
        <v>101651</v>
      </c>
      <c r="B696" s="19" t="s">
        <v>252</v>
      </c>
      <c r="C696" s="272" t="s">
        <v>307</v>
      </c>
      <c r="D696" s="273" t="s">
        <v>142</v>
      </c>
      <c r="E696" s="274">
        <v>0.8</v>
      </c>
      <c r="F696" s="274">
        <v>0</v>
      </c>
      <c r="G696" s="275">
        <v>6199</v>
      </c>
      <c r="H696" s="276">
        <v>4959.2</v>
      </c>
      <c r="I696" s="346">
        <v>16</v>
      </c>
      <c r="J696" s="241"/>
      <c r="K696" s="260"/>
      <c r="L696" s="261"/>
      <c r="M696" s="261"/>
      <c r="N696" s="261"/>
    </row>
    <row r="697" spans="1:14" s="45" customFormat="1">
      <c r="A697" s="296">
        <v>101631</v>
      </c>
      <c r="B697" s="19" t="s">
        <v>236</v>
      </c>
      <c r="C697" s="272" t="s">
        <v>308</v>
      </c>
      <c r="D697" s="273" t="s">
        <v>22</v>
      </c>
      <c r="E697" s="274">
        <v>0.4</v>
      </c>
      <c r="F697" s="274">
        <v>0</v>
      </c>
      <c r="G697" s="275">
        <v>8950</v>
      </c>
      <c r="H697" s="276">
        <v>3580</v>
      </c>
      <c r="I697" s="346">
        <v>8</v>
      </c>
      <c r="J697" s="241"/>
      <c r="K697" s="260"/>
      <c r="L697" s="261"/>
      <c r="M697" s="261"/>
      <c r="N697" s="261"/>
    </row>
    <row r="698" spans="1:14" s="45" customFormat="1">
      <c r="A698" s="296">
        <v>101069</v>
      </c>
      <c r="B698" s="19" t="s">
        <v>252</v>
      </c>
      <c r="C698" s="272" t="s">
        <v>317</v>
      </c>
      <c r="D698" s="273" t="s">
        <v>22</v>
      </c>
      <c r="E698" s="274">
        <v>1.1000000000000001</v>
      </c>
      <c r="F698" s="274">
        <v>0</v>
      </c>
      <c r="G698" s="275">
        <v>48135</v>
      </c>
      <c r="H698" s="276">
        <v>52948.5</v>
      </c>
      <c r="I698" s="346">
        <v>22</v>
      </c>
      <c r="J698" s="241"/>
      <c r="K698" s="260"/>
      <c r="L698" s="261"/>
      <c r="M698" s="261"/>
      <c r="N698" s="261"/>
    </row>
    <row r="699" spans="1:14" s="45" customFormat="1">
      <c r="A699" s="296">
        <v>100107</v>
      </c>
      <c r="B699" s="19" t="s">
        <v>291</v>
      </c>
      <c r="C699" s="272" t="s">
        <v>309</v>
      </c>
      <c r="D699" s="273" t="s">
        <v>170</v>
      </c>
      <c r="E699" s="274">
        <v>0.06</v>
      </c>
      <c r="F699" s="274">
        <v>0</v>
      </c>
      <c r="G699" s="275">
        <v>37862</v>
      </c>
      <c r="H699" s="276">
        <v>2271.7199999999998</v>
      </c>
      <c r="I699" s="346">
        <v>1.2</v>
      </c>
      <c r="J699" s="241"/>
      <c r="K699" s="260"/>
      <c r="L699" s="261"/>
      <c r="M699" s="261"/>
      <c r="N699" s="261"/>
    </row>
    <row r="700" spans="1:14" s="45" customFormat="1">
      <c r="A700" s="296">
        <v>101197</v>
      </c>
      <c r="B700" s="19" t="s">
        <v>291</v>
      </c>
      <c r="C700" s="361" t="s">
        <v>292</v>
      </c>
      <c r="D700" s="362" t="s">
        <v>293</v>
      </c>
      <c r="E700" s="363">
        <v>0.05</v>
      </c>
      <c r="F700" s="363">
        <v>0</v>
      </c>
      <c r="G700" s="364">
        <v>37500</v>
      </c>
      <c r="H700" s="365">
        <v>1875</v>
      </c>
      <c r="I700" s="346">
        <v>1</v>
      </c>
      <c r="J700" s="241"/>
      <c r="K700" s="260"/>
      <c r="L700" s="261"/>
      <c r="M700" s="261"/>
      <c r="N700" s="261"/>
    </row>
    <row r="701" spans="1:14" s="45" customFormat="1">
      <c r="A701" s="286" t="s">
        <v>143</v>
      </c>
      <c r="B701" s="19"/>
      <c r="C701" s="278"/>
      <c r="D701" s="279"/>
      <c r="E701" s="280"/>
      <c r="F701" s="280"/>
      <c r="G701" s="281" t="s">
        <v>144</v>
      </c>
      <c r="H701" s="366">
        <v>81934.62</v>
      </c>
      <c r="I701" s="283"/>
      <c r="J701" s="241"/>
      <c r="K701" s="260"/>
      <c r="L701" s="261"/>
      <c r="M701" s="261"/>
      <c r="N701" s="261"/>
    </row>
    <row r="702" spans="1:14" s="45" customFormat="1" ht="27" customHeight="1">
      <c r="A702" s="296" t="s">
        <v>145</v>
      </c>
      <c r="B702" s="19"/>
      <c r="C702" s="288" t="s">
        <v>146</v>
      </c>
      <c r="D702" s="279" t="s">
        <v>147</v>
      </c>
      <c r="E702" s="279" t="s">
        <v>148</v>
      </c>
      <c r="F702" s="279" t="s">
        <v>149</v>
      </c>
      <c r="G702" s="289" t="s">
        <v>150</v>
      </c>
      <c r="H702" s="290" t="s">
        <v>151</v>
      </c>
      <c r="I702" s="283"/>
      <c r="J702" s="241"/>
      <c r="K702" s="260"/>
      <c r="L702" s="261"/>
      <c r="M702" s="261"/>
      <c r="N702" s="261"/>
    </row>
    <row r="703" spans="1:14" s="45" customFormat="1">
      <c r="A703" s="296">
        <v>200023</v>
      </c>
      <c r="B703" s="19" t="s">
        <v>146</v>
      </c>
      <c r="C703" s="361" t="s">
        <v>300</v>
      </c>
      <c r="D703" s="367">
        <v>85565</v>
      </c>
      <c r="E703" s="368">
        <v>1.85</v>
      </c>
      <c r="F703" s="369">
        <v>158295</v>
      </c>
      <c r="G703" s="370">
        <v>2.6669999999999998</v>
      </c>
      <c r="H703" s="365">
        <v>59353.205000000002</v>
      </c>
      <c r="I703" s="340">
        <v>7.4990626171728536</v>
      </c>
      <c r="J703" s="241"/>
      <c r="K703" s="260"/>
      <c r="L703" s="261"/>
      <c r="M703" s="261"/>
      <c r="N703" s="261"/>
    </row>
    <row r="704" spans="1:14" s="45" customFormat="1">
      <c r="A704" s="286" t="s">
        <v>153</v>
      </c>
      <c r="B704" s="19"/>
      <c r="C704" s="278"/>
      <c r="D704" s="279"/>
      <c r="E704" s="280"/>
      <c r="F704" s="280"/>
      <c r="G704" s="281" t="s">
        <v>154</v>
      </c>
      <c r="H704" s="366">
        <v>59353.205000000002</v>
      </c>
      <c r="I704" s="283"/>
      <c r="J704" s="241"/>
      <c r="K704" s="260"/>
      <c r="L704" s="261"/>
      <c r="M704" s="261"/>
      <c r="N704" s="261"/>
    </row>
    <row r="705" spans="1:14" s="45" customFormat="1">
      <c r="A705" s="296" t="s">
        <v>155</v>
      </c>
      <c r="B705" s="19"/>
      <c r="C705" s="285" t="s">
        <v>156</v>
      </c>
      <c r="D705" s="279"/>
      <c r="E705" s="280"/>
      <c r="F705" s="280"/>
      <c r="G705" s="281"/>
      <c r="H705" s="282"/>
      <c r="I705" s="283"/>
      <c r="J705" s="241"/>
      <c r="K705" s="260"/>
      <c r="L705" s="261"/>
      <c r="M705" s="261"/>
      <c r="N705" s="261"/>
    </row>
    <row r="706" spans="1:14" s="45" customFormat="1">
      <c r="A706" s="296">
        <v>300026</v>
      </c>
      <c r="B706" s="19" t="s">
        <v>156</v>
      </c>
      <c r="C706" s="361" t="s">
        <v>157</v>
      </c>
      <c r="D706" s="362" t="s">
        <v>158</v>
      </c>
      <c r="E706" s="371">
        <v>0.05</v>
      </c>
      <c r="F706" s="363"/>
      <c r="G706" s="364">
        <v>59353.205000000002</v>
      </c>
      <c r="H706" s="365">
        <v>2967.66</v>
      </c>
      <c r="I706" s="340">
        <v>59353.2</v>
      </c>
      <c r="J706" s="241"/>
      <c r="K706" s="260"/>
      <c r="L706" s="261"/>
      <c r="M706" s="261"/>
      <c r="N706" s="261"/>
    </row>
    <row r="707" spans="1:14" s="45" customFormat="1">
      <c r="A707" s="286" t="s">
        <v>159</v>
      </c>
      <c r="B707" s="19"/>
      <c r="C707" s="278"/>
      <c r="D707" s="279"/>
      <c r="E707" s="280"/>
      <c r="F707" s="280"/>
      <c r="G707" s="281" t="s">
        <v>160</v>
      </c>
      <c r="H707" s="366">
        <v>2967.66</v>
      </c>
      <c r="I707" s="283"/>
      <c r="J707" s="241"/>
      <c r="K707" s="260"/>
      <c r="L707" s="261"/>
      <c r="M707" s="261"/>
      <c r="N707" s="261"/>
    </row>
    <row r="708" spans="1:14" s="45" customFormat="1">
      <c r="A708" s="296"/>
      <c r="B708" s="297"/>
      <c r="C708" s="278"/>
      <c r="D708" s="279"/>
      <c r="E708" s="280"/>
      <c r="F708" s="280"/>
      <c r="G708" s="281"/>
      <c r="H708" s="282"/>
      <c r="I708" s="283"/>
      <c r="J708" s="241"/>
      <c r="K708" s="260"/>
      <c r="L708" s="261"/>
      <c r="M708" s="261"/>
      <c r="N708" s="261"/>
    </row>
    <row r="709" spans="1:14" s="45" customFormat="1" ht="15.75" thickBot="1">
      <c r="A709" s="296" t="s">
        <v>26</v>
      </c>
      <c r="B709" s="297"/>
      <c r="C709" s="299"/>
      <c r="D709" s="347"/>
      <c r="E709" s="348"/>
      <c r="F709" s="349" t="s">
        <v>161</v>
      </c>
      <c r="G709" s="350">
        <v>144255.48499999999</v>
      </c>
      <c r="H709" s="351">
        <v>144255</v>
      </c>
      <c r="I709" s="305"/>
      <c r="J709" s="241"/>
      <c r="K709" s="260"/>
      <c r="L709" s="261"/>
      <c r="M709" s="261"/>
      <c r="N709" s="261"/>
    </row>
    <row r="710" spans="1:14" s="45" customFormat="1" ht="15.75" hidden="1" thickTop="1">
      <c r="A710" s="296" t="s">
        <v>188</v>
      </c>
      <c r="B710" s="297"/>
      <c r="C710" s="314" t="s">
        <v>96</v>
      </c>
      <c r="D710" s="315"/>
      <c r="E710" s="316"/>
      <c r="F710" s="316"/>
      <c r="G710" s="318"/>
      <c r="H710" s="319"/>
      <c r="I710" s="283"/>
      <c r="J710" s="241"/>
      <c r="K710" s="260"/>
      <c r="L710" s="261"/>
      <c r="M710" s="261"/>
      <c r="N710" s="261"/>
    </row>
    <row r="711" spans="1:14" s="45" customFormat="1" ht="15.75" hidden="1" thickTop="1">
      <c r="A711" s="284" t="s">
        <v>99</v>
      </c>
      <c r="B711" s="297"/>
      <c r="C711" s="352" t="s">
        <v>100</v>
      </c>
      <c r="D711" s="353"/>
      <c r="E711" s="354"/>
      <c r="F711" s="372">
        <v>0.185</v>
      </c>
      <c r="G711" s="355"/>
      <c r="H711" s="356">
        <v>26687.18</v>
      </c>
      <c r="I711" s="283"/>
      <c r="J711" s="241"/>
      <c r="K711" s="260"/>
      <c r="L711" s="261"/>
      <c r="M711" s="261"/>
      <c r="N711" s="261"/>
    </row>
    <row r="712" spans="1:14" s="45" customFormat="1" ht="15.75" hidden="1" thickTop="1">
      <c r="A712" s="284" t="s">
        <v>189</v>
      </c>
      <c r="B712" s="297"/>
      <c r="C712" s="352" t="s">
        <v>102</v>
      </c>
      <c r="D712" s="353"/>
      <c r="E712" s="354"/>
      <c r="F712" s="372">
        <v>0.05</v>
      </c>
      <c r="G712" s="355"/>
      <c r="H712" s="356">
        <v>7212.75</v>
      </c>
      <c r="I712" s="283"/>
      <c r="J712" s="241"/>
      <c r="K712" s="260"/>
      <c r="L712" s="261"/>
      <c r="M712" s="261"/>
      <c r="N712" s="261"/>
    </row>
    <row r="713" spans="1:14" s="45" customFormat="1" ht="15.75" hidden="1" thickTop="1">
      <c r="A713" s="284" t="s">
        <v>103</v>
      </c>
      <c r="B713" s="297"/>
      <c r="C713" s="352" t="s">
        <v>104</v>
      </c>
      <c r="D713" s="353"/>
      <c r="E713" s="354"/>
      <c r="F713" s="372">
        <v>0.08</v>
      </c>
      <c r="G713" s="355"/>
      <c r="H713" s="356">
        <v>11540.4</v>
      </c>
      <c r="I713" s="283"/>
      <c r="J713" s="241"/>
      <c r="K713" s="260"/>
      <c r="L713" s="261"/>
      <c r="M713" s="261"/>
      <c r="N713" s="261"/>
    </row>
    <row r="714" spans="1:14" s="45" customFormat="1" ht="15.75" hidden="1" thickTop="1">
      <c r="A714" s="284" t="s">
        <v>106</v>
      </c>
      <c r="B714" s="297"/>
      <c r="C714" s="352" t="s">
        <v>107</v>
      </c>
      <c r="D714" s="353"/>
      <c r="E714" s="354"/>
      <c r="F714" s="372">
        <v>0.16</v>
      </c>
      <c r="G714" s="355"/>
      <c r="H714" s="356">
        <v>1846.46</v>
      </c>
      <c r="I714" s="283"/>
      <c r="J714" s="241"/>
      <c r="K714" s="260"/>
      <c r="L714" s="261"/>
      <c r="M714" s="261"/>
      <c r="N714" s="261"/>
    </row>
    <row r="715" spans="1:14" s="45" customFormat="1" ht="15.75" hidden="1" thickTop="1">
      <c r="A715" s="296" t="s">
        <v>190</v>
      </c>
      <c r="B715" s="297"/>
      <c r="C715" s="285" t="s">
        <v>191</v>
      </c>
      <c r="D715" s="279"/>
      <c r="E715" s="280"/>
      <c r="F715" s="280"/>
      <c r="G715" s="326"/>
      <c r="H715" s="327">
        <v>47286.79</v>
      </c>
      <c r="I715" s="298"/>
      <c r="J715" s="241"/>
      <c r="K715" s="260"/>
      <c r="L715" s="261"/>
      <c r="M715" s="261"/>
      <c r="N715" s="261"/>
    </row>
    <row r="716" spans="1:14" s="45" customFormat="1" ht="16.5" hidden="1" thickTop="1" thickBot="1">
      <c r="A716" s="296" t="s">
        <v>192</v>
      </c>
      <c r="B716" s="297"/>
      <c r="C716" s="357"/>
      <c r="D716" s="358"/>
      <c r="E716" s="359"/>
      <c r="F716" s="349" t="s">
        <v>193</v>
      </c>
      <c r="G716" s="360">
        <v>191541.79</v>
      </c>
      <c r="H716" s="351">
        <v>191542</v>
      </c>
      <c r="I716" s="305">
        <v>182810</v>
      </c>
      <c r="J716" s="241"/>
      <c r="K716" s="260"/>
      <c r="L716" s="261"/>
      <c r="M716" s="261"/>
      <c r="N716" s="261"/>
    </row>
    <row r="717" spans="1:14" s="45" customFormat="1" ht="15.75" thickTop="1">
      <c r="A717"/>
      <c r="B717"/>
      <c r="C717" s="19"/>
      <c r="D717" s="306"/>
      <c r="E717" s="19"/>
      <c r="F717" s="19"/>
      <c r="G717" s="19"/>
      <c r="H717" s="19"/>
      <c r="I717" s="260"/>
      <c r="J717" s="260"/>
      <c r="K717" s="260"/>
      <c r="L717" s="261"/>
      <c r="M717" s="261"/>
      <c r="N717" s="261"/>
    </row>
    <row r="718" spans="1:14" s="45" customFormat="1" ht="15.75" thickBot="1">
      <c r="A718"/>
      <c r="B718"/>
      <c r="C718" s="19"/>
      <c r="D718" s="306"/>
      <c r="E718" s="19"/>
      <c r="F718" s="19"/>
      <c r="G718" s="19"/>
      <c r="H718" s="19"/>
      <c r="I718" s="260"/>
      <c r="J718" s="260"/>
      <c r="K718" s="260"/>
      <c r="L718" s="261"/>
      <c r="M718" s="261"/>
      <c r="N718" s="261"/>
    </row>
    <row r="719" spans="1:14" s="45" customFormat="1" ht="12.95" customHeight="1" thickTop="1">
      <c r="A719" s="262" t="s">
        <v>318</v>
      </c>
      <c r="B719" s="263"/>
      <c r="C719" s="1651" t="s">
        <v>77</v>
      </c>
      <c r="D719" s="1652"/>
      <c r="E719" s="1652"/>
      <c r="F719" s="1652"/>
      <c r="G719" s="264"/>
      <c r="H719" s="265" t="s">
        <v>319</v>
      </c>
      <c r="I719" s="266" t="s">
        <v>126</v>
      </c>
      <c r="J719" s="241"/>
      <c r="K719" s="260"/>
      <c r="L719" s="261"/>
      <c r="M719" s="261"/>
      <c r="N719" s="261"/>
    </row>
    <row r="720" spans="1:14" s="45" customFormat="1" ht="12.95" customHeight="1">
      <c r="A720" s="262"/>
      <c r="B720" s="263"/>
      <c r="C720" s="1653"/>
      <c r="D720" s="1654"/>
      <c r="E720" s="1654"/>
      <c r="F720" s="1654"/>
      <c r="G720" s="268"/>
      <c r="H720" s="269" t="s">
        <v>179</v>
      </c>
      <c r="I720" s="270">
        <v>2</v>
      </c>
      <c r="J720" s="241"/>
      <c r="K720" s="260"/>
      <c r="L720" s="261"/>
      <c r="M720" s="261"/>
      <c r="N720" s="261"/>
    </row>
    <row r="721" spans="1:14" s="45" customFormat="1">
      <c r="A721" s="271" t="s">
        <v>128</v>
      </c>
      <c r="B721" s="263"/>
      <c r="C721" s="373" t="s">
        <v>21</v>
      </c>
      <c r="D721" s="374" t="s">
        <v>22</v>
      </c>
      <c r="E721" s="375" t="s">
        <v>23</v>
      </c>
      <c r="F721" s="375" t="s">
        <v>129</v>
      </c>
      <c r="G721" s="376" t="s">
        <v>130</v>
      </c>
      <c r="H721" s="377" t="s">
        <v>131</v>
      </c>
      <c r="I721" s="340"/>
      <c r="J721" s="241"/>
      <c r="K721" s="260"/>
      <c r="L721" s="261"/>
      <c r="M721" s="261"/>
      <c r="N721" s="261"/>
    </row>
    <row r="722" spans="1:14" s="45" customFormat="1">
      <c r="A722" s="271"/>
      <c r="B722" s="263"/>
      <c r="C722" s="278"/>
      <c r="D722" s="279"/>
      <c r="E722" s="280"/>
      <c r="F722" s="280"/>
      <c r="G722" s="281"/>
      <c r="H722" s="282"/>
      <c r="I722" s="283"/>
      <c r="J722" s="241"/>
      <c r="K722" s="260"/>
      <c r="L722" s="261"/>
      <c r="M722" s="261"/>
      <c r="N722" s="261"/>
    </row>
    <row r="723" spans="1:14" s="45" customFormat="1">
      <c r="A723" s="284" t="s">
        <v>132</v>
      </c>
      <c r="B723" s="263"/>
      <c r="C723" s="285" t="s">
        <v>133</v>
      </c>
      <c r="D723" s="279"/>
      <c r="E723" s="280"/>
      <c r="F723" s="280"/>
      <c r="G723" s="281"/>
      <c r="H723" s="282"/>
      <c r="I723" s="283"/>
      <c r="J723" s="241"/>
      <c r="K723" s="260"/>
      <c r="L723" s="261"/>
      <c r="M723" s="261"/>
      <c r="N723" s="261"/>
    </row>
    <row r="724" spans="1:14" s="45" customFormat="1">
      <c r="A724" s="284">
        <v>101116</v>
      </c>
      <c r="B724" s="263" t="s">
        <v>134</v>
      </c>
      <c r="C724" s="373" t="s">
        <v>304</v>
      </c>
      <c r="D724" s="374" t="s">
        <v>288</v>
      </c>
      <c r="E724" s="375">
        <v>3</v>
      </c>
      <c r="F724" s="375">
        <v>0</v>
      </c>
      <c r="G724" s="376">
        <v>900</v>
      </c>
      <c r="H724" s="377">
        <v>2700</v>
      </c>
      <c r="I724" s="340">
        <v>6</v>
      </c>
      <c r="J724" s="241"/>
      <c r="K724" s="260"/>
      <c r="L724" s="261"/>
      <c r="M724" s="261"/>
      <c r="N724" s="261"/>
    </row>
    <row r="725" spans="1:14" s="45" customFormat="1">
      <c r="A725" s="284">
        <v>100882</v>
      </c>
      <c r="B725" s="263" t="s">
        <v>291</v>
      </c>
      <c r="C725" s="373" t="s">
        <v>320</v>
      </c>
      <c r="D725" s="374" t="s">
        <v>321</v>
      </c>
      <c r="E725" s="375">
        <v>0.18</v>
      </c>
      <c r="F725" s="375">
        <v>0</v>
      </c>
      <c r="G725" s="376">
        <v>46108</v>
      </c>
      <c r="H725" s="377">
        <v>8299.44</v>
      </c>
      <c r="I725" s="340">
        <v>0.36</v>
      </c>
      <c r="J725" s="241"/>
      <c r="K725" s="260"/>
      <c r="L725" s="261"/>
      <c r="M725" s="261"/>
      <c r="N725" s="261"/>
    </row>
    <row r="726" spans="1:14" s="45" customFormat="1">
      <c r="A726" s="284">
        <v>101904</v>
      </c>
      <c r="B726" s="263" t="s">
        <v>134</v>
      </c>
      <c r="C726" s="373" t="s">
        <v>290</v>
      </c>
      <c r="D726" s="374" t="s">
        <v>170</v>
      </c>
      <c r="E726" s="375">
        <v>2.5000000000000001E-2</v>
      </c>
      <c r="F726" s="375">
        <v>0</v>
      </c>
      <c r="G726" s="376">
        <v>16500</v>
      </c>
      <c r="H726" s="377">
        <v>412.5</v>
      </c>
      <c r="I726" s="340">
        <v>0.05</v>
      </c>
      <c r="J726" s="241"/>
      <c r="K726" s="260"/>
      <c r="L726" s="261"/>
      <c r="M726" s="261"/>
      <c r="N726" s="261"/>
    </row>
    <row r="727" spans="1:14" s="45" customFormat="1">
      <c r="A727" s="284">
        <v>101651</v>
      </c>
      <c r="B727" s="263" t="s">
        <v>252</v>
      </c>
      <c r="C727" s="373" t="s">
        <v>307</v>
      </c>
      <c r="D727" s="374" t="s">
        <v>142</v>
      </c>
      <c r="E727" s="375">
        <v>1.2</v>
      </c>
      <c r="F727" s="375">
        <v>0</v>
      </c>
      <c r="G727" s="376">
        <v>6199</v>
      </c>
      <c r="H727" s="377">
        <v>7438.8</v>
      </c>
      <c r="I727" s="340">
        <v>2.4</v>
      </c>
      <c r="J727" s="241"/>
      <c r="K727" s="260"/>
      <c r="L727" s="261"/>
      <c r="M727" s="261"/>
      <c r="N727" s="261"/>
    </row>
    <row r="728" spans="1:14" s="45" customFormat="1">
      <c r="A728" s="284">
        <v>101069</v>
      </c>
      <c r="B728" s="263" t="s">
        <v>252</v>
      </c>
      <c r="C728" s="373" t="s">
        <v>317</v>
      </c>
      <c r="D728" s="374" t="s">
        <v>22</v>
      </c>
      <c r="E728" s="375">
        <v>1.7</v>
      </c>
      <c r="F728" s="375">
        <v>0</v>
      </c>
      <c r="G728" s="376">
        <v>48135</v>
      </c>
      <c r="H728" s="377">
        <v>81829.5</v>
      </c>
      <c r="I728" s="340">
        <v>3.4</v>
      </c>
      <c r="J728" s="241"/>
      <c r="K728" s="260"/>
      <c r="L728" s="261"/>
      <c r="M728" s="261"/>
      <c r="N728" s="261"/>
    </row>
    <row r="729" spans="1:14" s="45" customFormat="1">
      <c r="A729" s="284">
        <v>100107</v>
      </c>
      <c r="B729" s="263" t="s">
        <v>291</v>
      </c>
      <c r="C729" s="373" t="s">
        <v>309</v>
      </c>
      <c r="D729" s="374" t="s">
        <v>170</v>
      </c>
      <c r="E729" s="375">
        <v>0.2</v>
      </c>
      <c r="F729" s="375">
        <v>0</v>
      </c>
      <c r="G729" s="376">
        <v>37862</v>
      </c>
      <c r="H729" s="377">
        <v>7572.4</v>
      </c>
      <c r="I729" s="340">
        <v>0.4</v>
      </c>
      <c r="J729" s="241"/>
      <c r="K729" s="260"/>
      <c r="L729" s="261"/>
      <c r="M729" s="261"/>
      <c r="N729" s="261"/>
    </row>
    <row r="730" spans="1:14" s="45" customFormat="1">
      <c r="A730" s="284">
        <v>101197</v>
      </c>
      <c r="B730" s="263" t="s">
        <v>291</v>
      </c>
      <c r="C730" s="373" t="s">
        <v>292</v>
      </c>
      <c r="D730" s="374" t="s">
        <v>293</v>
      </c>
      <c r="E730" s="375">
        <v>0.1</v>
      </c>
      <c r="F730" s="375">
        <v>0</v>
      </c>
      <c r="G730" s="376">
        <v>37500</v>
      </c>
      <c r="H730" s="377">
        <v>3750</v>
      </c>
      <c r="I730" s="340">
        <v>0.2</v>
      </c>
      <c r="J730" s="241"/>
      <c r="K730" s="260"/>
      <c r="L730" s="261"/>
      <c r="M730" s="261"/>
      <c r="N730" s="261"/>
    </row>
    <row r="731" spans="1:14" s="45" customFormat="1">
      <c r="A731" s="284">
        <v>100904</v>
      </c>
      <c r="B731" s="263" t="s">
        <v>252</v>
      </c>
      <c r="C731" s="378" t="s">
        <v>322</v>
      </c>
      <c r="D731" s="379" t="s">
        <v>22</v>
      </c>
      <c r="E731" s="380">
        <v>1</v>
      </c>
      <c r="F731" s="380">
        <v>0</v>
      </c>
      <c r="G731" s="381">
        <v>5000</v>
      </c>
      <c r="H731" s="382">
        <v>5000</v>
      </c>
      <c r="I731" s="340">
        <v>2</v>
      </c>
      <c r="J731" s="241"/>
      <c r="K731" s="260"/>
      <c r="L731" s="261"/>
      <c r="M731" s="261"/>
      <c r="N731" s="261"/>
    </row>
    <row r="732" spans="1:14" s="45" customFormat="1">
      <c r="A732" s="286" t="s">
        <v>143</v>
      </c>
      <c r="B732" s="263"/>
      <c r="C732" s="278"/>
      <c r="D732" s="279"/>
      <c r="E732" s="280"/>
      <c r="F732" s="280"/>
      <c r="G732" s="281" t="s">
        <v>144</v>
      </c>
      <c r="H732" s="287">
        <v>117002.64</v>
      </c>
      <c r="I732" s="283"/>
      <c r="J732" s="241"/>
      <c r="K732" s="260"/>
      <c r="L732" s="261"/>
      <c r="M732" s="261"/>
      <c r="N732" s="261"/>
    </row>
    <row r="733" spans="1:14" s="45" customFormat="1" ht="27" customHeight="1">
      <c r="A733" s="284" t="s">
        <v>145</v>
      </c>
      <c r="B733" s="263"/>
      <c r="C733" s="288" t="s">
        <v>146</v>
      </c>
      <c r="D733" s="279" t="s">
        <v>147</v>
      </c>
      <c r="E733" s="279" t="s">
        <v>148</v>
      </c>
      <c r="F733" s="279" t="s">
        <v>149</v>
      </c>
      <c r="G733" s="289" t="s">
        <v>150</v>
      </c>
      <c r="H733" s="290" t="s">
        <v>151</v>
      </c>
      <c r="I733" s="283"/>
      <c r="J733" s="241"/>
      <c r="K733" s="260"/>
      <c r="L733" s="261"/>
      <c r="M733" s="261"/>
      <c r="N733" s="261"/>
    </row>
    <row r="734" spans="1:14" s="45" customFormat="1">
      <c r="A734" s="284">
        <v>200023</v>
      </c>
      <c r="B734" s="263" t="s">
        <v>146</v>
      </c>
      <c r="C734" s="373" t="s">
        <v>300</v>
      </c>
      <c r="D734" s="367">
        <v>85565</v>
      </c>
      <c r="E734" s="368">
        <v>1.85</v>
      </c>
      <c r="F734" s="369">
        <v>158295</v>
      </c>
      <c r="G734" s="370">
        <v>1.778</v>
      </c>
      <c r="H734" s="377">
        <v>89029.808000000005</v>
      </c>
      <c r="I734" s="340">
        <v>1.124859392575928</v>
      </c>
      <c r="J734" s="241"/>
      <c r="K734" s="260"/>
      <c r="L734" s="261"/>
      <c r="M734" s="261"/>
      <c r="N734" s="261"/>
    </row>
    <row r="735" spans="1:14" s="45" customFormat="1">
      <c r="A735" s="284">
        <v>200026</v>
      </c>
      <c r="B735" s="263" t="s">
        <v>146</v>
      </c>
      <c r="C735" s="373" t="s">
        <v>301</v>
      </c>
      <c r="D735" s="367">
        <v>75762</v>
      </c>
      <c r="E735" s="368">
        <v>1.85</v>
      </c>
      <c r="F735" s="369">
        <v>140159</v>
      </c>
      <c r="G735" s="370">
        <v>8</v>
      </c>
      <c r="H735" s="377">
        <v>17519.875</v>
      </c>
      <c r="I735" s="340">
        <v>0.25</v>
      </c>
      <c r="J735" s="241"/>
      <c r="K735" s="260"/>
      <c r="L735" s="261"/>
      <c r="M735" s="261"/>
      <c r="N735" s="261"/>
    </row>
    <row r="736" spans="1:14" s="45" customFormat="1">
      <c r="A736" s="284">
        <v>207102</v>
      </c>
      <c r="B736" s="263" t="s">
        <v>146</v>
      </c>
      <c r="C736" s="378" t="s">
        <v>323</v>
      </c>
      <c r="D736" s="379" t="s">
        <v>199</v>
      </c>
      <c r="E736" s="380">
        <v>2.8774999999999999</v>
      </c>
      <c r="F736" s="380"/>
      <c r="G736" s="381">
        <v>10000</v>
      </c>
      <c r="H736" s="382">
        <v>28775</v>
      </c>
      <c r="I736" s="340">
        <v>5.7549999999999999</v>
      </c>
      <c r="J736" s="383"/>
      <c r="K736" s="260"/>
      <c r="L736" s="261"/>
      <c r="M736" s="261"/>
      <c r="N736" s="261"/>
    </row>
    <row r="737" spans="1:14" s="45" customFormat="1">
      <c r="A737" s="286" t="s">
        <v>153</v>
      </c>
      <c r="B737" s="263"/>
      <c r="C737" s="278"/>
      <c r="D737" s="279"/>
      <c r="E737" s="280"/>
      <c r="F737" s="280"/>
      <c r="G737" s="281" t="s">
        <v>154</v>
      </c>
      <c r="H737" s="287">
        <v>135324.68300000002</v>
      </c>
      <c r="I737" s="283"/>
      <c r="J737" s="241"/>
      <c r="K737" s="260"/>
      <c r="L737" s="261"/>
      <c r="M737" s="261"/>
      <c r="N737" s="261"/>
    </row>
    <row r="738" spans="1:14" s="45" customFormat="1">
      <c r="A738" s="284" t="s">
        <v>155</v>
      </c>
      <c r="B738" s="263"/>
      <c r="C738" s="295" t="s">
        <v>156</v>
      </c>
      <c r="D738" s="279"/>
      <c r="E738" s="280"/>
      <c r="F738" s="280"/>
      <c r="G738" s="281"/>
      <c r="H738" s="282"/>
      <c r="I738" s="283"/>
      <c r="J738" s="241"/>
      <c r="K738" s="260"/>
      <c r="L738" s="261"/>
      <c r="M738" s="261"/>
      <c r="N738" s="261"/>
    </row>
    <row r="739" spans="1:14" s="45" customFormat="1">
      <c r="A739" s="284">
        <v>300041</v>
      </c>
      <c r="B739" s="263" t="s">
        <v>156</v>
      </c>
      <c r="C739" s="373" t="s">
        <v>324</v>
      </c>
      <c r="D739" s="374" t="s">
        <v>173</v>
      </c>
      <c r="E739" s="375">
        <v>0.2</v>
      </c>
      <c r="F739" s="375"/>
      <c r="G739" s="376">
        <v>24000</v>
      </c>
      <c r="H739" s="377">
        <v>4800</v>
      </c>
      <c r="I739" s="340">
        <v>0.4</v>
      </c>
      <c r="J739" s="241"/>
      <c r="K739" s="260"/>
      <c r="L739" s="261"/>
      <c r="M739" s="261"/>
      <c r="N739" s="261"/>
    </row>
    <row r="740" spans="1:14" s="45" customFormat="1">
      <c r="A740" s="284">
        <v>300048</v>
      </c>
      <c r="B740" s="263" t="s">
        <v>156</v>
      </c>
      <c r="C740" s="373" t="s">
        <v>325</v>
      </c>
      <c r="D740" s="374" t="s">
        <v>173</v>
      </c>
      <c r="E740" s="375">
        <v>0.35</v>
      </c>
      <c r="F740" s="375">
        <v>0</v>
      </c>
      <c r="G740" s="376">
        <v>27000</v>
      </c>
      <c r="H740" s="377">
        <v>9450</v>
      </c>
      <c r="I740" s="340">
        <v>0.7</v>
      </c>
      <c r="J740" s="241"/>
      <c r="K740" s="260"/>
      <c r="L740" s="261"/>
      <c r="M740" s="261"/>
      <c r="N740" s="261"/>
    </row>
    <row r="741" spans="1:14" s="45" customFormat="1">
      <c r="A741" s="284">
        <v>300026</v>
      </c>
      <c r="B741" s="263" t="s">
        <v>156</v>
      </c>
      <c r="C741" s="373" t="s">
        <v>157</v>
      </c>
      <c r="D741" s="374" t="s">
        <v>158</v>
      </c>
      <c r="E741" s="368">
        <v>0.05</v>
      </c>
      <c r="F741" s="375">
        <v>0</v>
      </c>
      <c r="G741" s="376">
        <v>135324.68300000002</v>
      </c>
      <c r="H741" s="377">
        <v>6766.23</v>
      </c>
      <c r="I741" s="340">
        <v>13532.46</v>
      </c>
      <c r="J741" s="383"/>
      <c r="K741" s="260"/>
      <c r="L741" s="261"/>
      <c r="M741" s="261"/>
      <c r="N741" s="261"/>
    </row>
    <row r="742" spans="1:14" s="45" customFormat="1">
      <c r="A742" s="286" t="s">
        <v>159</v>
      </c>
      <c r="B742" s="263"/>
      <c r="C742" s="278"/>
      <c r="D742" s="279"/>
      <c r="E742" s="280"/>
      <c r="F742" s="280"/>
      <c r="G742" s="281" t="s">
        <v>160</v>
      </c>
      <c r="H742" s="287">
        <v>21016.23</v>
      </c>
      <c r="I742" s="283"/>
      <c r="J742" s="241"/>
      <c r="K742" s="260"/>
      <c r="L742" s="261"/>
      <c r="M742" s="261"/>
      <c r="N742" s="261"/>
    </row>
    <row r="743" spans="1:14" s="45" customFormat="1">
      <c r="A743" s="296"/>
      <c r="B743" s="297"/>
      <c r="C743" s="278"/>
      <c r="D743" s="279"/>
      <c r="E743" s="280"/>
      <c r="F743" s="280"/>
      <c r="G743" s="281"/>
      <c r="H743" s="282"/>
      <c r="I743" s="283"/>
      <c r="J743" s="383"/>
      <c r="K743" s="260"/>
      <c r="L743" s="261"/>
      <c r="M743" s="261"/>
      <c r="N743" s="261"/>
    </row>
    <row r="744" spans="1:14" s="45" customFormat="1" ht="15.75" thickBot="1">
      <c r="A744" s="296" t="s">
        <v>26</v>
      </c>
      <c r="B744" s="297"/>
      <c r="C744" s="299"/>
      <c r="D744" s="347"/>
      <c r="E744" s="348"/>
      <c r="F744" s="349" t="s">
        <v>161</v>
      </c>
      <c r="G744" s="350">
        <v>273343.55300000001</v>
      </c>
      <c r="H744" s="351">
        <v>273344</v>
      </c>
      <c r="I744" s="305"/>
      <c r="J744" s="241"/>
      <c r="K744" s="260"/>
      <c r="L744" s="261"/>
      <c r="M744" s="261"/>
      <c r="N744" s="261"/>
    </row>
    <row r="745" spans="1:14" s="45" customFormat="1" ht="15.75" hidden="1" thickTop="1">
      <c r="A745" s="296" t="s">
        <v>188</v>
      </c>
      <c r="B745" s="297"/>
      <c r="C745" s="314" t="s">
        <v>96</v>
      </c>
      <c r="D745" s="315"/>
      <c r="E745" s="316"/>
      <c r="F745" s="316"/>
      <c r="G745" s="318"/>
      <c r="H745" s="319"/>
      <c r="I745" s="283"/>
      <c r="J745" s="241"/>
      <c r="K745" s="260"/>
      <c r="L745" s="261"/>
      <c r="M745" s="261"/>
      <c r="N745" s="261"/>
    </row>
    <row r="746" spans="1:14" s="45" customFormat="1" ht="15.75" hidden="1" thickTop="1">
      <c r="A746" s="284" t="s">
        <v>99</v>
      </c>
      <c r="B746" s="297"/>
      <c r="C746" s="352" t="s">
        <v>100</v>
      </c>
      <c r="D746" s="353"/>
      <c r="E746" s="354"/>
      <c r="F746" s="372">
        <v>0.185</v>
      </c>
      <c r="G746" s="355"/>
      <c r="H746" s="356">
        <v>50568.639999999999</v>
      </c>
      <c r="I746" s="283"/>
      <c r="J746" s="241"/>
      <c r="K746" s="260"/>
      <c r="L746" s="261"/>
      <c r="M746" s="261"/>
      <c r="N746" s="261"/>
    </row>
    <row r="747" spans="1:14" s="45" customFormat="1" ht="15.75" hidden="1" thickTop="1">
      <c r="A747" s="284" t="s">
        <v>189</v>
      </c>
      <c r="B747" s="297"/>
      <c r="C747" s="352" t="s">
        <v>102</v>
      </c>
      <c r="D747" s="353"/>
      <c r="E747" s="354"/>
      <c r="F747" s="372">
        <v>0.05</v>
      </c>
      <c r="G747" s="355"/>
      <c r="H747" s="356">
        <v>13667.2</v>
      </c>
      <c r="I747" s="283"/>
      <c r="J747" s="241"/>
      <c r="K747" s="260"/>
      <c r="L747" s="261"/>
      <c r="M747" s="261"/>
      <c r="N747" s="261"/>
    </row>
    <row r="748" spans="1:14" s="45" customFormat="1" ht="15.75" hidden="1" thickTop="1">
      <c r="A748" s="284" t="s">
        <v>103</v>
      </c>
      <c r="B748" s="297"/>
      <c r="C748" s="352" t="s">
        <v>104</v>
      </c>
      <c r="D748" s="353"/>
      <c r="E748" s="354"/>
      <c r="F748" s="372">
        <v>0.08</v>
      </c>
      <c r="G748" s="355"/>
      <c r="H748" s="356">
        <v>21867.52</v>
      </c>
      <c r="I748" s="283"/>
      <c r="J748" s="241"/>
      <c r="K748" s="260"/>
      <c r="L748" s="261"/>
      <c r="M748" s="261"/>
      <c r="N748" s="261"/>
    </row>
    <row r="749" spans="1:14" s="45" customFormat="1" ht="15.75" hidden="1" thickTop="1">
      <c r="A749" s="284" t="s">
        <v>106</v>
      </c>
      <c r="B749" s="297"/>
      <c r="C749" s="352" t="s">
        <v>107</v>
      </c>
      <c r="D749" s="353"/>
      <c r="E749" s="354"/>
      <c r="F749" s="372">
        <v>0.16</v>
      </c>
      <c r="G749" s="355"/>
      <c r="H749" s="356">
        <v>3498.8</v>
      </c>
      <c r="I749" s="283"/>
      <c r="J749" s="241"/>
      <c r="K749" s="260"/>
      <c r="L749" s="261"/>
      <c r="M749" s="261"/>
      <c r="N749" s="261"/>
    </row>
    <row r="750" spans="1:14" s="45" customFormat="1" ht="15.75" hidden="1" thickTop="1">
      <c r="A750" s="296" t="s">
        <v>190</v>
      </c>
      <c r="B750" s="297"/>
      <c r="C750" s="285" t="s">
        <v>191</v>
      </c>
      <c r="D750" s="279"/>
      <c r="E750" s="280"/>
      <c r="F750" s="280"/>
      <c r="G750" s="326"/>
      <c r="H750" s="327">
        <v>89602.16</v>
      </c>
      <c r="I750" s="298"/>
      <c r="J750" s="241"/>
      <c r="K750" s="260"/>
      <c r="L750" s="261"/>
      <c r="M750" s="261"/>
      <c r="N750" s="261"/>
    </row>
    <row r="751" spans="1:14" s="45" customFormat="1" ht="16.5" hidden="1" thickTop="1" thickBot="1">
      <c r="A751" s="296" t="s">
        <v>192</v>
      </c>
      <c r="B751" s="297"/>
      <c r="C751" s="357"/>
      <c r="D751" s="358"/>
      <c r="E751" s="359"/>
      <c r="F751" s="349" t="s">
        <v>193</v>
      </c>
      <c r="G751" s="360">
        <v>362946.16000000003</v>
      </c>
      <c r="H751" s="351">
        <v>362946</v>
      </c>
      <c r="I751" s="305">
        <v>288680</v>
      </c>
      <c r="J751" s="241"/>
      <c r="K751" s="260"/>
      <c r="L751" s="261"/>
      <c r="M751" s="261"/>
      <c r="N751" s="261"/>
    </row>
    <row r="752" spans="1:14" s="45" customFormat="1" ht="15.75" thickTop="1">
      <c r="A752"/>
      <c r="B752"/>
      <c r="C752" s="19"/>
      <c r="D752" s="306"/>
      <c r="E752" s="19"/>
      <c r="F752" s="19"/>
      <c r="G752" s="19"/>
      <c r="H752" s="19"/>
      <c r="I752" s="260"/>
      <c r="J752" s="260"/>
      <c r="K752" s="260"/>
      <c r="L752" s="261"/>
      <c r="M752" s="261"/>
      <c r="N752" s="261"/>
    </row>
    <row r="753" spans="1:14" s="45" customFormat="1" ht="15.75" thickBot="1">
      <c r="A753"/>
      <c r="B753"/>
      <c r="C753" s="19"/>
      <c r="D753" s="306"/>
      <c r="E753" s="19"/>
      <c r="F753" s="19"/>
      <c r="G753" s="19"/>
      <c r="H753" s="19"/>
      <c r="I753" s="260"/>
      <c r="J753" s="260"/>
      <c r="K753" s="260"/>
      <c r="L753" s="261"/>
      <c r="M753" s="261"/>
      <c r="N753" s="261"/>
    </row>
    <row r="754" spans="1:14" s="45" customFormat="1" ht="12.95" customHeight="1" thickTop="1">
      <c r="A754" s="262" t="s">
        <v>326</v>
      </c>
      <c r="B754" s="263"/>
      <c r="C754" s="1651" t="s">
        <v>78</v>
      </c>
      <c r="D754" s="1652"/>
      <c r="E754" s="1652"/>
      <c r="F754" s="1652"/>
      <c r="G754" s="264"/>
      <c r="H754" s="265" t="s">
        <v>319</v>
      </c>
      <c r="I754" s="266" t="s">
        <v>126</v>
      </c>
      <c r="J754" s="267"/>
      <c r="K754" s="260"/>
      <c r="L754" s="261"/>
      <c r="M754" s="261"/>
      <c r="N754" s="261"/>
    </row>
    <row r="755" spans="1:14" s="45" customFormat="1" ht="12.95" customHeight="1">
      <c r="A755" s="262"/>
      <c r="B755" s="263"/>
      <c r="C755" s="1653"/>
      <c r="D755" s="1654"/>
      <c r="E755" s="1654"/>
      <c r="F755" s="1654"/>
      <c r="G755" s="268"/>
      <c r="H755" s="269" t="s">
        <v>179</v>
      </c>
      <c r="I755" s="270">
        <v>5</v>
      </c>
      <c r="J755" s="267"/>
      <c r="K755" s="260"/>
      <c r="L755" s="261"/>
      <c r="M755" s="261"/>
      <c r="N755" s="261"/>
    </row>
    <row r="756" spans="1:14" s="45" customFormat="1">
      <c r="A756" s="271" t="s">
        <v>128</v>
      </c>
      <c r="B756" s="263"/>
      <c r="C756" s="373" t="s">
        <v>21</v>
      </c>
      <c r="D756" s="374" t="s">
        <v>22</v>
      </c>
      <c r="E756" s="375" t="s">
        <v>23</v>
      </c>
      <c r="F756" s="375" t="s">
        <v>129</v>
      </c>
      <c r="G756" s="376" t="s">
        <v>130</v>
      </c>
      <c r="H756" s="377" t="s">
        <v>131</v>
      </c>
      <c r="I756" s="340"/>
      <c r="J756" s="267"/>
      <c r="K756" s="260"/>
      <c r="L756" s="261"/>
      <c r="M756" s="261"/>
      <c r="N756" s="261"/>
    </row>
    <row r="757" spans="1:14" s="45" customFormat="1">
      <c r="A757" s="271"/>
      <c r="B757" s="263"/>
      <c r="C757" s="278"/>
      <c r="D757" s="279"/>
      <c r="E757" s="280"/>
      <c r="F757" s="280"/>
      <c r="G757" s="281"/>
      <c r="H757" s="282"/>
      <c r="I757" s="283"/>
      <c r="J757" s="267"/>
      <c r="K757" s="260"/>
      <c r="L757" s="261"/>
      <c r="M757" s="261"/>
      <c r="N757" s="261"/>
    </row>
    <row r="758" spans="1:14" s="45" customFormat="1">
      <c r="A758" s="284" t="s">
        <v>132</v>
      </c>
      <c r="B758" s="263"/>
      <c r="C758" s="285" t="s">
        <v>133</v>
      </c>
      <c r="D758" s="279"/>
      <c r="E758" s="280"/>
      <c r="F758" s="280"/>
      <c r="G758" s="281"/>
      <c r="H758" s="282"/>
      <c r="I758" s="283"/>
      <c r="J758" s="267"/>
      <c r="K758" s="260"/>
      <c r="L758" s="261"/>
      <c r="M758" s="261"/>
      <c r="N758" s="261"/>
    </row>
    <row r="759" spans="1:14" s="45" customFormat="1">
      <c r="A759" s="284">
        <v>100209</v>
      </c>
      <c r="B759" s="263" t="s">
        <v>252</v>
      </c>
      <c r="C759" s="373" t="s">
        <v>327</v>
      </c>
      <c r="D759" s="374" t="s">
        <v>22</v>
      </c>
      <c r="E759" s="375">
        <v>3</v>
      </c>
      <c r="F759" s="375">
        <v>0</v>
      </c>
      <c r="G759" s="376">
        <v>43400</v>
      </c>
      <c r="H759" s="377">
        <v>130200</v>
      </c>
      <c r="I759" s="340">
        <v>15</v>
      </c>
      <c r="J759" s="267"/>
      <c r="K759" s="260"/>
      <c r="L759" s="261"/>
      <c r="M759" s="261"/>
      <c r="N759" s="261"/>
    </row>
    <row r="760" spans="1:14" s="45" customFormat="1">
      <c r="A760" s="284">
        <v>101080</v>
      </c>
      <c r="B760" s="263" t="s">
        <v>216</v>
      </c>
      <c r="C760" s="373" t="s">
        <v>328</v>
      </c>
      <c r="D760" s="374" t="s">
        <v>22</v>
      </c>
      <c r="E760" s="375">
        <v>2</v>
      </c>
      <c r="F760" s="375">
        <v>0</v>
      </c>
      <c r="G760" s="376">
        <v>32700</v>
      </c>
      <c r="H760" s="377">
        <v>65400</v>
      </c>
      <c r="I760" s="340">
        <v>10</v>
      </c>
      <c r="J760" s="267"/>
      <c r="K760" s="260"/>
      <c r="L760" s="261"/>
      <c r="M760" s="261"/>
      <c r="N760" s="261"/>
    </row>
    <row r="761" spans="1:14" s="45" customFormat="1">
      <c r="A761" s="284">
        <v>101289</v>
      </c>
      <c r="B761" s="263" t="s">
        <v>134</v>
      </c>
      <c r="C761" s="373" t="s">
        <v>329</v>
      </c>
      <c r="D761" s="374" t="s">
        <v>170</v>
      </c>
      <c r="E761" s="375">
        <v>0.15</v>
      </c>
      <c r="F761" s="375">
        <v>0</v>
      </c>
      <c r="G761" s="376">
        <v>34607</v>
      </c>
      <c r="H761" s="377">
        <v>5191.05</v>
      </c>
      <c r="I761" s="340">
        <v>0.75</v>
      </c>
      <c r="J761" s="267"/>
      <c r="K761" s="260"/>
      <c r="L761" s="261"/>
      <c r="M761" s="261"/>
      <c r="N761" s="261"/>
    </row>
    <row r="762" spans="1:14" s="45" customFormat="1">
      <c r="A762" s="284">
        <v>101506</v>
      </c>
      <c r="B762" s="263" t="s">
        <v>181</v>
      </c>
      <c r="C762" s="373" t="s">
        <v>330</v>
      </c>
      <c r="D762" s="374" t="s">
        <v>183</v>
      </c>
      <c r="E762" s="375">
        <v>0.8</v>
      </c>
      <c r="F762" s="375">
        <v>0</v>
      </c>
      <c r="G762" s="376">
        <v>2200</v>
      </c>
      <c r="H762" s="377">
        <v>1760</v>
      </c>
      <c r="I762" s="340">
        <v>4</v>
      </c>
      <c r="J762" s="267"/>
      <c r="K762" s="260"/>
      <c r="L762" s="261"/>
      <c r="M762" s="261"/>
      <c r="N762" s="261"/>
    </row>
    <row r="763" spans="1:14" s="45" customFormat="1">
      <c r="A763" s="284">
        <v>101253</v>
      </c>
      <c r="B763" s="263" t="s">
        <v>134</v>
      </c>
      <c r="C763" s="373" t="s">
        <v>331</v>
      </c>
      <c r="D763" s="374" t="s">
        <v>22</v>
      </c>
      <c r="E763" s="375">
        <v>0.79</v>
      </c>
      <c r="F763" s="375">
        <v>10</v>
      </c>
      <c r="G763" s="376">
        <v>17000</v>
      </c>
      <c r="H763" s="377">
        <v>14773</v>
      </c>
      <c r="I763" s="340">
        <v>4.3450000000000006</v>
      </c>
      <c r="J763" s="267"/>
      <c r="K763" s="260"/>
      <c r="L763" s="261"/>
      <c r="M763" s="261"/>
      <c r="N763" s="261"/>
    </row>
    <row r="764" spans="1:14" s="45" customFormat="1">
      <c r="A764" s="284">
        <v>100543</v>
      </c>
      <c r="B764" s="263" t="s">
        <v>216</v>
      </c>
      <c r="C764" s="373" t="s">
        <v>332</v>
      </c>
      <c r="D764" s="374" t="s">
        <v>333</v>
      </c>
      <c r="E764" s="375">
        <v>10</v>
      </c>
      <c r="F764" s="375">
        <v>0</v>
      </c>
      <c r="G764" s="376">
        <v>4550</v>
      </c>
      <c r="H764" s="377">
        <v>45500</v>
      </c>
      <c r="I764" s="340">
        <v>50</v>
      </c>
      <c r="J764" s="267"/>
      <c r="K764" s="260"/>
      <c r="L764" s="261"/>
      <c r="M764" s="261"/>
      <c r="N764" s="261"/>
    </row>
    <row r="765" spans="1:14" s="45" customFormat="1">
      <c r="A765" s="286" t="s">
        <v>143</v>
      </c>
      <c r="B765" s="263"/>
      <c r="C765" s="278"/>
      <c r="D765" s="279"/>
      <c r="E765" s="280"/>
      <c r="F765" s="280"/>
      <c r="G765" s="281" t="s">
        <v>144</v>
      </c>
      <c r="H765" s="287">
        <v>262824.05</v>
      </c>
      <c r="I765" s="283"/>
      <c r="J765" s="267"/>
      <c r="K765" s="260"/>
      <c r="L765" s="261"/>
      <c r="M765" s="261"/>
      <c r="N765" s="261"/>
    </row>
    <row r="766" spans="1:14" s="45" customFormat="1" ht="27" customHeight="1">
      <c r="A766" s="284" t="s">
        <v>145</v>
      </c>
      <c r="B766" s="263"/>
      <c r="C766" s="288" t="s">
        <v>146</v>
      </c>
      <c r="D766" s="279" t="s">
        <v>147</v>
      </c>
      <c r="E766" s="279" t="s">
        <v>148</v>
      </c>
      <c r="F766" s="279" t="s">
        <v>149</v>
      </c>
      <c r="G766" s="289" t="s">
        <v>150</v>
      </c>
      <c r="H766" s="290" t="s">
        <v>151</v>
      </c>
      <c r="I766" s="283"/>
      <c r="J766" s="267"/>
      <c r="K766" s="260"/>
      <c r="L766" s="261"/>
      <c r="M766" s="261"/>
      <c r="N766" s="261"/>
    </row>
    <row r="767" spans="1:14" s="45" customFormat="1">
      <c r="A767" s="284">
        <v>200015</v>
      </c>
      <c r="B767" s="263" t="s">
        <v>146</v>
      </c>
      <c r="C767" s="373" t="s">
        <v>334</v>
      </c>
      <c r="D767" s="367">
        <v>80216</v>
      </c>
      <c r="E767" s="368">
        <v>1.85</v>
      </c>
      <c r="F767" s="369">
        <v>148399</v>
      </c>
      <c r="G767" s="370">
        <v>2.6669999999999998</v>
      </c>
      <c r="H767" s="377">
        <v>55642.669000000002</v>
      </c>
      <c r="I767" s="340">
        <v>1.8747656542932134</v>
      </c>
      <c r="J767" s="267"/>
      <c r="K767" s="260"/>
      <c r="L767" s="261"/>
      <c r="M767" s="261"/>
      <c r="N767" s="261"/>
    </row>
    <row r="768" spans="1:14" s="45" customFormat="1">
      <c r="A768" s="284">
        <v>200017</v>
      </c>
      <c r="B768" s="263" t="s">
        <v>146</v>
      </c>
      <c r="C768" s="373" t="s">
        <v>335</v>
      </c>
      <c r="D768" s="367">
        <v>75762</v>
      </c>
      <c r="E768" s="368">
        <v>1.85</v>
      </c>
      <c r="F768" s="369">
        <v>140159</v>
      </c>
      <c r="G768" s="370">
        <v>1.3340000000000001</v>
      </c>
      <c r="H768" s="377">
        <v>105066.716</v>
      </c>
      <c r="I768" s="340">
        <v>3.7481259370314839</v>
      </c>
      <c r="J768" s="267"/>
      <c r="K768" s="260"/>
      <c r="L768" s="261"/>
      <c r="M768" s="261"/>
      <c r="N768" s="261"/>
    </row>
    <row r="769" spans="1:14" s="45" customFormat="1">
      <c r="A769" s="286" t="s">
        <v>153</v>
      </c>
      <c r="B769" s="263"/>
      <c r="C769" s="278"/>
      <c r="D769" s="279"/>
      <c r="E769" s="280"/>
      <c r="F769" s="280"/>
      <c r="G769" s="281" t="s">
        <v>154</v>
      </c>
      <c r="H769" s="287">
        <v>160709.38500000001</v>
      </c>
      <c r="I769" s="283"/>
      <c r="J769" s="267"/>
      <c r="K769" s="260"/>
      <c r="L769" s="261"/>
      <c r="M769" s="261"/>
      <c r="N769" s="261"/>
    </row>
    <row r="770" spans="1:14" s="45" customFormat="1">
      <c r="A770" s="284" t="s">
        <v>155</v>
      </c>
      <c r="B770" s="263"/>
      <c r="C770" s="295" t="s">
        <v>156</v>
      </c>
      <c r="D770" s="279"/>
      <c r="E770" s="280"/>
      <c r="F770" s="280"/>
      <c r="G770" s="281"/>
      <c r="H770" s="282"/>
      <c r="I770" s="283"/>
      <c r="J770" s="267"/>
      <c r="K770" s="260"/>
      <c r="L770" s="261"/>
      <c r="M770" s="261"/>
      <c r="N770" s="261"/>
    </row>
    <row r="771" spans="1:14" s="45" customFormat="1">
      <c r="A771" s="284">
        <v>300026</v>
      </c>
      <c r="B771" s="263" t="s">
        <v>156</v>
      </c>
      <c r="C771" s="373" t="s">
        <v>157</v>
      </c>
      <c r="D771" s="374" t="s">
        <v>158</v>
      </c>
      <c r="E771" s="368">
        <v>0.05</v>
      </c>
      <c r="F771" s="375">
        <v>0</v>
      </c>
      <c r="G771" s="376">
        <v>160709.38500000001</v>
      </c>
      <c r="H771" s="377">
        <v>8035.46</v>
      </c>
      <c r="I771" s="340">
        <v>40177.300000000003</v>
      </c>
      <c r="J771" s="267"/>
      <c r="K771" s="260"/>
      <c r="L771" s="261"/>
      <c r="M771" s="261"/>
      <c r="N771" s="261"/>
    </row>
    <row r="772" spans="1:14" s="45" customFormat="1">
      <c r="A772" s="286" t="s">
        <v>159</v>
      </c>
      <c r="B772" s="263"/>
      <c r="C772" s="278"/>
      <c r="D772" s="279"/>
      <c r="E772" s="280"/>
      <c r="F772" s="280"/>
      <c r="G772" s="281" t="s">
        <v>160</v>
      </c>
      <c r="H772" s="287">
        <v>8035.46</v>
      </c>
      <c r="I772" s="283"/>
      <c r="J772" s="267"/>
      <c r="K772" s="260"/>
      <c r="L772" s="261"/>
      <c r="M772" s="261"/>
      <c r="N772" s="261"/>
    </row>
    <row r="773" spans="1:14" s="45" customFormat="1">
      <c r="A773" s="296"/>
      <c r="B773" s="297"/>
      <c r="C773" s="278"/>
      <c r="D773" s="279"/>
      <c r="E773" s="280"/>
      <c r="F773" s="280"/>
      <c r="G773" s="281"/>
      <c r="H773" s="282"/>
      <c r="I773" s="283"/>
      <c r="J773" s="267"/>
      <c r="K773" s="260"/>
      <c r="L773" s="261"/>
      <c r="M773" s="261"/>
      <c r="N773" s="261"/>
    </row>
    <row r="774" spans="1:14" s="45" customFormat="1" ht="15.75" thickBot="1">
      <c r="A774" s="296" t="s">
        <v>26</v>
      </c>
      <c r="B774" s="297"/>
      <c r="C774" s="299"/>
      <c r="D774" s="347"/>
      <c r="E774" s="348"/>
      <c r="F774" s="349" t="s">
        <v>161</v>
      </c>
      <c r="G774" s="350">
        <v>431568.89499999996</v>
      </c>
      <c r="H774" s="351">
        <v>431569</v>
      </c>
      <c r="I774" s="305"/>
      <c r="J774" s="267"/>
      <c r="K774" s="260"/>
      <c r="L774" s="261"/>
      <c r="M774" s="261"/>
      <c r="N774" s="261"/>
    </row>
    <row r="775" spans="1:14" s="45" customFormat="1" ht="15.75" hidden="1" thickTop="1">
      <c r="A775" s="296" t="s">
        <v>188</v>
      </c>
      <c r="B775" s="297"/>
      <c r="C775" s="314" t="s">
        <v>96</v>
      </c>
      <c r="D775" s="315"/>
      <c r="E775" s="316"/>
      <c r="F775" s="316"/>
      <c r="G775" s="318"/>
      <c r="H775" s="319"/>
      <c r="I775" s="283"/>
      <c r="J775" s="267"/>
      <c r="K775" s="260"/>
      <c r="L775" s="261"/>
      <c r="M775" s="261"/>
      <c r="N775" s="261"/>
    </row>
    <row r="776" spans="1:14" s="45" customFormat="1" ht="15.75" hidden="1" thickTop="1">
      <c r="A776" s="284" t="s">
        <v>99</v>
      </c>
      <c r="B776" s="297"/>
      <c r="C776" s="352" t="s">
        <v>100</v>
      </c>
      <c r="D776" s="353"/>
      <c r="E776" s="354"/>
      <c r="F776" s="372">
        <v>0.185</v>
      </c>
      <c r="G776" s="355"/>
      <c r="H776" s="356">
        <v>79840.27</v>
      </c>
      <c r="I776" s="283"/>
      <c r="J776" s="267"/>
      <c r="K776" s="260"/>
      <c r="L776" s="261"/>
      <c r="M776" s="261"/>
      <c r="N776" s="261"/>
    </row>
    <row r="777" spans="1:14" s="45" customFormat="1" ht="15.75" hidden="1" thickTop="1">
      <c r="A777" s="284" t="s">
        <v>189</v>
      </c>
      <c r="B777" s="297"/>
      <c r="C777" s="352" t="s">
        <v>102</v>
      </c>
      <c r="D777" s="353"/>
      <c r="E777" s="354"/>
      <c r="F777" s="372">
        <v>0.05</v>
      </c>
      <c r="G777" s="355"/>
      <c r="H777" s="356">
        <v>21578.45</v>
      </c>
      <c r="I777" s="283"/>
      <c r="J777" s="267"/>
      <c r="K777" s="260"/>
      <c r="L777" s="261"/>
      <c r="M777" s="261"/>
      <c r="N777" s="261"/>
    </row>
    <row r="778" spans="1:14" s="45" customFormat="1" ht="15.75" hidden="1" thickTop="1">
      <c r="A778" s="284" t="s">
        <v>103</v>
      </c>
      <c r="B778" s="297"/>
      <c r="C778" s="352" t="s">
        <v>104</v>
      </c>
      <c r="D778" s="353"/>
      <c r="E778" s="354"/>
      <c r="F778" s="372">
        <v>0.08</v>
      </c>
      <c r="G778" s="355"/>
      <c r="H778" s="356">
        <v>34525.519999999997</v>
      </c>
      <c r="I778" s="283"/>
      <c r="J778" s="267"/>
      <c r="K778" s="260"/>
      <c r="L778" s="261"/>
      <c r="M778" s="261"/>
      <c r="N778" s="261"/>
    </row>
    <row r="779" spans="1:14" s="45" customFormat="1" ht="15.75" hidden="1" thickTop="1">
      <c r="A779" s="284" t="s">
        <v>106</v>
      </c>
      <c r="B779" s="297"/>
      <c r="C779" s="352" t="s">
        <v>107</v>
      </c>
      <c r="D779" s="353"/>
      <c r="E779" s="354"/>
      <c r="F779" s="372">
        <v>0.16</v>
      </c>
      <c r="G779" s="355"/>
      <c r="H779" s="356">
        <v>5524.08</v>
      </c>
      <c r="I779" s="283"/>
      <c r="J779" s="267"/>
      <c r="K779" s="260"/>
      <c r="L779" s="261"/>
      <c r="M779" s="261"/>
      <c r="N779" s="261"/>
    </row>
    <row r="780" spans="1:14" s="45" customFormat="1" ht="15.75" hidden="1" thickTop="1">
      <c r="A780" s="296" t="s">
        <v>190</v>
      </c>
      <c r="B780" s="297"/>
      <c r="C780" s="285" t="s">
        <v>191</v>
      </c>
      <c r="D780" s="279"/>
      <c r="E780" s="280"/>
      <c r="F780" s="280"/>
      <c r="G780" s="326"/>
      <c r="H780" s="327">
        <v>141468.31999999998</v>
      </c>
      <c r="I780" s="298">
        <v>-157787</v>
      </c>
      <c r="J780" s="267"/>
      <c r="K780" s="260"/>
      <c r="L780" s="261"/>
      <c r="M780" s="261"/>
      <c r="N780" s="261"/>
    </row>
    <row r="781" spans="1:14" s="45" customFormat="1" ht="16.5" hidden="1" thickTop="1" thickBot="1">
      <c r="A781" s="296" t="s">
        <v>192</v>
      </c>
      <c r="B781" s="297"/>
      <c r="C781" s="357"/>
      <c r="D781" s="358"/>
      <c r="E781" s="359"/>
      <c r="F781" s="349" t="s">
        <v>193</v>
      </c>
      <c r="G781" s="360">
        <v>573037.31999999995</v>
      </c>
      <c r="H781" s="351">
        <v>573037</v>
      </c>
      <c r="I781" s="305">
        <v>415250</v>
      </c>
      <c r="J781" s="267"/>
      <c r="K781" s="260"/>
      <c r="L781" s="261"/>
      <c r="M781" s="261"/>
      <c r="N781" s="261"/>
    </row>
    <row r="782" spans="1:14" s="45" customFormat="1" ht="15.75" thickTop="1">
      <c r="A782"/>
      <c r="B782"/>
      <c r="C782" s="19"/>
      <c r="D782" s="306"/>
      <c r="E782" s="19"/>
      <c r="F782" s="19"/>
      <c r="G782" s="19"/>
      <c r="H782" s="19"/>
      <c r="I782" s="260"/>
      <c r="J782" s="260"/>
      <c r="K782" s="260"/>
      <c r="L782" s="261"/>
      <c r="M782" s="261"/>
      <c r="N782" s="261"/>
    </row>
    <row r="783" spans="1:14" s="45" customFormat="1" ht="15.75" thickBot="1">
      <c r="A783"/>
      <c r="B783"/>
      <c r="C783" s="19"/>
      <c r="D783" s="306"/>
      <c r="E783" s="19"/>
      <c r="F783" s="19"/>
      <c r="G783" s="19"/>
      <c r="H783" s="19"/>
      <c r="I783" s="260"/>
      <c r="J783" s="260"/>
      <c r="K783" s="260"/>
      <c r="L783" s="261"/>
      <c r="M783" s="261"/>
      <c r="N783" s="261"/>
    </row>
    <row r="784" spans="1:14" s="45" customFormat="1" ht="12.95" customHeight="1" thickTop="1">
      <c r="A784" s="262" t="s">
        <v>336</v>
      </c>
      <c r="B784" s="263"/>
      <c r="C784" s="1651" t="s">
        <v>79</v>
      </c>
      <c r="D784" s="1652"/>
      <c r="E784" s="1652"/>
      <c r="F784" s="1652"/>
      <c r="G784" s="264"/>
      <c r="H784" s="265" t="s">
        <v>205</v>
      </c>
      <c r="I784" s="266" t="s">
        <v>126</v>
      </c>
      <c r="J784" s="267"/>
      <c r="K784" s="260"/>
      <c r="L784" s="261"/>
      <c r="M784" s="261"/>
      <c r="N784" s="261"/>
    </row>
    <row r="785" spans="1:14" s="45" customFormat="1" ht="12.95" customHeight="1">
      <c r="A785" s="262"/>
      <c r="B785" s="263"/>
      <c r="C785" s="1653"/>
      <c r="D785" s="1654"/>
      <c r="E785" s="1654"/>
      <c r="F785" s="1654"/>
      <c r="G785" s="268"/>
      <c r="H785" s="269" t="s">
        <v>179</v>
      </c>
      <c r="I785" s="270">
        <v>454</v>
      </c>
      <c r="J785" s="267"/>
      <c r="K785" s="260"/>
      <c r="L785" s="261"/>
      <c r="M785" s="261"/>
      <c r="N785" s="261"/>
    </row>
    <row r="786" spans="1:14" s="45" customFormat="1">
      <c r="A786" s="271" t="s">
        <v>128</v>
      </c>
      <c r="B786" s="263"/>
      <c r="C786" s="373" t="s">
        <v>21</v>
      </c>
      <c r="D786" s="374" t="s">
        <v>22</v>
      </c>
      <c r="E786" s="375" t="s">
        <v>23</v>
      </c>
      <c r="F786" s="375" t="s">
        <v>129</v>
      </c>
      <c r="G786" s="376" t="s">
        <v>130</v>
      </c>
      <c r="H786" s="377" t="s">
        <v>131</v>
      </c>
      <c r="I786" s="340"/>
      <c r="J786" s="267"/>
      <c r="K786" s="260"/>
      <c r="L786" s="261"/>
      <c r="M786" s="261"/>
      <c r="N786" s="261"/>
    </row>
    <row r="787" spans="1:14" s="45" customFormat="1">
      <c r="A787" s="271"/>
      <c r="B787" s="263"/>
      <c r="C787" s="278"/>
      <c r="D787" s="279"/>
      <c r="E787" s="280"/>
      <c r="F787" s="280"/>
      <c r="G787" s="281"/>
      <c r="H787" s="282"/>
      <c r="I787" s="283"/>
      <c r="J787" s="267"/>
      <c r="K787" s="260"/>
      <c r="L787" s="261"/>
      <c r="M787" s="261"/>
      <c r="N787" s="261"/>
    </row>
    <row r="788" spans="1:14" s="45" customFormat="1">
      <c r="A788" s="284" t="s">
        <v>132</v>
      </c>
      <c r="B788" s="263"/>
      <c r="C788" s="285" t="s">
        <v>133</v>
      </c>
      <c r="D788" s="279"/>
      <c r="E788" s="280"/>
      <c r="F788" s="280"/>
      <c r="G788" s="281"/>
      <c r="H788" s="282"/>
      <c r="I788" s="283"/>
      <c r="J788" s="267"/>
      <c r="K788" s="260"/>
      <c r="L788" s="261"/>
      <c r="M788" s="261"/>
      <c r="N788" s="261"/>
    </row>
    <row r="789" spans="1:14" s="45" customFormat="1">
      <c r="A789" s="284">
        <v>100053</v>
      </c>
      <c r="B789" s="263" t="s">
        <v>134</v>
      </c>
      <c r="C789" s="373" t="s">
        <v>135</v>
      </c>
      <c r="D789" s="374" t="s">
        <v>136</v>
      </c>
      <c r="E789" s="375">
        <v>3.5000000000000003E-2</v>
      </c>
      <c r="F789" s="375">
        <v>0</v>
      </c>
      <c r="G789" s="376">
        <v>15</v>
      </c>
      <c r="H789" s="377">
        <v>0.52</v>
      </c>
      <c r="I789" s="340">
        <v>15.890000000000002</v>
      </c>
      <c r="J789" s="267"/>
      <c r="K789" s="260"/>
      <c r="L789" s="261"/>
      <c r="M789" s="261"/>
      <c r="N789" s="261"/>
    </row>
    <row r="790" spans="1:14" s="45" customFormat="1">
      <c r="A790" s="284">
        <v>102436</v>
      </c>
      <c r="B790" s="263" t="s">
        <v>291</v>
      </c>
      <c r="C790" s="373" t="s">
        <v>337</v>
      </c>
      <c r="D790" s="374" t="s">
        <v>170</v>
      </c>
      <c r="E790" s="375">
        <v>0.05</v>
      </c>
      <c r="F790" s="375">
        <v>1</v>
      </c>
      <c r="G790" s="376">
        <v>42900</v>
      </c>
      <c r="H790" s="377">
        <v>2166.4499999999998</v>
      </c>
      <c r="I790" s="340">
        <v>22.927000000000003</v>
      </c>
      <c r="J790" s="267"/>
      <c r="K790" s="260"/>
      <c r="L790" s="261"/>
      <c r="M790" s="261"/>
      <c r="N790" s="261"/>
    </row>
    <row r="791" spans="1:14" s="45" customFormat="1">
      <c r="A791" s="286" t="s">
        <v>143</v>
      </c>
      <c r="B791" s="263"/>
      <c r="C791" s="278"/>
      <c r="D791" s="279"/>
      <c r="E791" s="280"/>
      <c r="F791" s="280"/>
      <c r="G791" s="281" t="s">
        <v>144</v>
      </c>
      <c r="H791" s="287">
        <v>2166.9699999999998</v>
      </c>
      <c r="I791" s="283"/>
      <c r="J791" s="267"/>
      <c r="K791" s="260"/>
      <c r="L791" s="261"/>
      <c r="M791" s="261"/>
      <c r="N791" s="261"/>
    </row>
    <row r="792" spans="1:14" s="45" customFormat="1" ht="27" customHeight="1">
      <c r="A792" s="284" t="s">
        <v>145</v>
      </c>
      <c r="B792" s="263"/>
      <c r="C792" s="288" t="s">
        <v>146</v>
      </c>
      <c r="D792" s="279" t="s">
        <v>147</v>
      </c>
      <c r="E792" s="279" t="s">
        <v>148</v>
      </c>
      <c r="F792" s="279" t="s">
        <v>149</v>
      </c>
      <c r="G792" s="289" t="s">
        <v>150</v>
      </c>
      <c r="H792" s="290" t="s">
        <v>151</v>
      </c>
      <c r="I792" s="283"/>
      <c r="J792" s="267"/>
      <c r="K792" s="260"/>
      <c r="L792" s="261"/>
      <c r="M792" s="261"/>
      <c r="N792" s="261"/>
    </row>
    <row r="793" spans="1:14" s="45" customFormat="1">
      <c r="A793" s="284">
        <v>200026</v>
      </c>
      <c r="B793" s="263" t="s">
        <v>146</v>
      </c>
      <c r="C793" s="373" t="s">
        <v>301</v>
      </c>
      <c r="D793" s="367">
        <v>75762</v>
      </c>
      <c r="E793" s="368">
        <v>1.85</v>
      </c>
      <c r="F793" s="369">
        <v>140159</v>
      </c>
      <c r="G793" s="370">
        <v>44.445</v>
      </c>
      <c r="H793" s="377">
        <v>3153.538</v>
      </c>
      <c r="I793" s="340">
        <v>10.214872314096073</v>
      </c>
      <c r="J793" s="267"/>
      <c r="K793" s="260"/>
      <c r="L793" s="261"/>
      <c r="M793" s="261"/>
      <c r="N793" s="261"/>
    </row>
    <row r="794" spans="1:14" s="45" customFormat="1">
      <c r="A794" s="286" t="s">
        <v>153</v>
      </c>
      <c r="B794" s="263"/>
      <c r="C794" s="278"/>
      <c r="D794" s="279"/>
      <c r="E794" s="280"/>
      <c r="F794" s="280"/>
      <c r="G794" s="281" t="s">
        <v>154</v>
      </c>
      <c r="H794" s="287">
        <v>3153.538</v>
      </c>
      <c r="I794" s="283"/>
      <c r="J794" s="267"/>
      <c r="K794" s="260"/>
      <c r="L794" s="261"/>
      <c r="M794" s="261"/>
      <c r="N794" s="261"/>
    </row>
    <row r="795" spans="1:14" s="45" customFormat="1">
      <c r="A795" s="284" t="s">
        <v>155</v>
      </c>
      <c r="B795" s="263"/>
      <c r="C795" s="295" t="s">
        <v>156</v>
      </c>
      <c r="D795" s="279"/>
      <c r="E795" s="280"/>
      <c r="F795" s="280"/>
      <c r="G795" s="281"/>
      <c r="H795" s="282"/>
      <c r="I795" s="283"/>
      <c r="J795" s="267"/>
      <c r="K795" s="260"/>
      <c r="L795" s="261"/>
      <c r="M795" s="261"/>
      <c r="N795" s="261"/>
    </row>
    <row r="796" spans="1:14" s="45" customFormat="1">
      <c r="A796" s="284">
        <v>300026</v>
      </c>
      <c r="B796" s="263" t="s">
        <v>156</v>
      </c>
      <c r="C796" s="373" t="s">
        <v>157</v>
      </c>
      <c r="D796" s="374" t="s">
        <v>158</v>
      </c>
      <c r="E796" s="368">
        <v>0.05</v>
      </c>
      <c r="F796" s="375">
        <v>0</v>
      </c>
      <c r="G796" s="376">
        <v>3153.538</v>
      </c>
      <c r="H796" s="377">
        <v>157.66999999999999</v>
      </c>
      <c r="I796" s="340">
        <v>71582.179999999993</v>
      </c>
      <c r="J796" s="267"/>
      <c r="K796" s="260"/>
      <c r="L796" s="261"/>
      <c r="M796" s="261"/>
      <c r="N796" s="261"/>
    </row>
    <row r="797" spans="1:14" s="45" customFormat="1">
      <c r="A797" s="284">
        <v>300002</v>
      </c>
      <c r="B797" s="263" t="s">
        <v>156</v>
      </c>
      <c r="C797" s="373" t="s">
        <v>213</v>
      </c>
      <c r="D797" s="374" t="s">
        <v>214</v>
      </c>
      <c r="E797" s="375">
        <v>0.1</v>
      </c>
      <c r="F797" s="375">
        <v>0</v>
      </c>
      <c r="G797" s="376">
        <v>714</v>
      </c>
      <c r="H797" s="377">
        <v>71.400000000000006</v>
      </c>
      <c r="I797" s="340">
        <v>45.400000000000006</v>
      </c>
      <c r="J797" s="267"/>
      <c r="K797" s="260"/>
      <c r="L797" s="261"/>
      <c r="M797" s="261"/>
      <c r="N797" s="261"/>
    </row>
    <row r="798" spans="1:14" s="45" customFormat="1">
      <c r="A798" s="286" t="s">
        <v>159</v>
      </c>
      <c r="B798" s="263"/>
      <c r="C798" s="278"/>
      <c r="D798" s="279"/>
      <c r="E798" s="280"/>
      <c r="F798" s="280"/>
      <c r="G798" s="281" t="s">
        <v>160</v>
      </c>
      <c r="H798" s="287">
        <v>229.07</v>
      </c>
      <c r="I798" s="283"/>
      <c r="J798" s="267"/>
      <c r="K798" s="260"/>
      <c r="L798" s="261"/>
      <c r="M798" s="261"/>
      <c r="N798" s="261"/>
    </row>
    <row r="799" spans="1:14" s="45" customFormat="1">
      <c r="A799" s="296"/>
      <c r="B799" s="297"/>
      <c r="C799" s="278"/>
      <c r="D799" s="279"/>
      <c r="E799" s="280"/>
      <c r="F799" s="280"/>
      <c r="G799" s="281"/>
      <c r="H799" s="282"/>
      <c r="I799" s="283"/>
      <c r="J799" s="267"/>
      <c r="K799" s="260"/>
      <c r="L799" s="261"/>
      <c r="M799" s="261"/>
      <c r="N799" s="261"/>
    </row>
    <row r="800" spans="1:14" s="45" customFormat="1" ht="15.75" thickBot="1">
      <c r="A800" s="296" t="s">
        <v>26</v>
      </c>
      <c r="B800" s="297"/>
      <c r="C800" s="299"/>
      <c r="D800" s="347"/>
      <c r="E800" s="348"/>
      <c r="F800" s="349" t="s">
        <v>161</v>
      </c>
      <c r="G800" s="350">
        <v>5549.5779999999995</v>
      </c>
      <c r="H800" s="351">
        <v>5550</v>
      </c>
      <c r="I800" s="305"/>
      <c r="J800" s="267"/>
      <c r="K800" s="260"/>
      <c r="L800" s="261"/>
      <c r="M800" s="261"/>
      <c r="N800" s="261"/>
    </row>
    <row r="801" spans="1:14" s="45" customFormat="1" ht="15.75" hidden="1" thickTop="1">
      <c r="A801" s="296" t="s">
        <v>188</v>
      </c>
      <c r="B801" s="297"/>
      <c r="C801" s="314" t="s">
        <v>96</v>
      </c>
      <c r="D801" s="315"/>
      <c r="E801" s="316"/>
      <c r="F801" s="316"/>
      <c r="G801" s="318"/>
      <c r="H801" s="319"/>
      <c r="I801" s="283"/>
      <c r="J801" s="267"/>
      <c r="K801" s="260"/>
      <c r="L801" s="261"/>
      <c r="M801" s="261"/>
      <c r="N801" s="261"/>
    </row>
    <row r="802" spans="1:14" s="45" customFormat="1" ht="15.75" hidden="1" thickTop="1">
      <c r="A802" s="284" t="s">
        <v>99</v>
      </c>
      <c r="B802" s="297"/>
      <c r="C802" s="352" t="s">
        <v>100</v>
      </c>
      <c r="D802" s="353"/>
      <c r="E802" s="354"/>
      <c r="F802" s="372">
        <v>0.185</v>
      </c>
      <c r="G802" s="355"/>
      <c r="H802" s="356">
        <v>1026.75</v>
      </c>
      <c r="I802" s="283"/>
      <c r="J802" s="267"/>
      <c r="K802" s="260"/>
      <c r="L802" s="261"/>
      <c r="M802" s="261"/>
      <c r="N802" s="261"/>
    </row>
    <row r="803" spans="1:14" s="45" customFormat="1" ht="15.75" hidden="1" thickTop="1">
      <c r="A803" s="284" t="s">
        <v>189</v>
      </c>
      <c r="B803" s="297"/>
      <c r="C803" s="352" t="s">
        <v>102</v>
      </c>
      <c r="D803" s="353"/>
      <c r="E803" s="354"/>
      <c r="F803" s="372">
        <v>0.05</v>
      </c>
      <c r="G803" s="355"/>
      <c r="H803" s="356">
        <v>277.5</v>
      </c>
      <c r="I803" s="283"/>
      <c r="J803" s="267"/>
      <c r="K803" s="260"/>
      <c r="L803" s="261"/>
      <c r="M803" s="261"/>
      <c r="N803" s="261"/>
    </row>
    <row r="804" spans="1:14" s="45" customFormat="1" ht="15.75" hidden="1" thickTop="1">
      <c r="A804" s="284" t="s">
        <v>103</v>
      </c>
      <c r="B804" s="297"/>
      <c r="C804" s="352" t="s">
        <v>104</v>
      </c>
      <c r="D804" s="353"/>
      <c r="E804" s="354"/>
      <c r="F804" s="372">
        <v>0.08</v>
      </c>
      <c r="G804" s="355"/>
      <c r="H804" s="356">
        <v>444</v>
      </c>
      <c r="I804" s="283"/>
      <c r="J804" s="267"/>
      <c r="K804" s="260"/>
      <c r="L804" s="261"/>
      <c r="M804" s="261"/>
      <c r="N804" s="261"/>
    </row>
    <row r="805" spans="1:14" s="45" customFormat="1" ht="15.75" hidden="1" thickTop="1">
      <c r="A805" s="284" t="s">
        <v>106</v>
      </c>
      <c r="B805" s="297"/>
      <c r="C805" s="352" t="s">
        <v>107</v>
      </c>
      <c r="D805" s="353"/>
      <c r="E805" s="354"/>
      <c r="F805" s="372">
        <v>0.16</v>
      </c>
      <c r="G805" s="355"/>
      <c r="H805" s="356">
        <v>71.040000000000006</v>
      </c>
      <c r="I805" s="283"/>
      <c r="J805" s="267"/>
      <c r="K805" s="260"/>
      <c r="L805" s="261"/>
      <c r="M805" s="261"/>
      <c r="N805" s="261"/>
    </row>
    <row r="806" spans="1:14" s="45" customFormat="1" ht="15.75" hidden="1" thickTop="1">
      <c r="A806" s="296" t="s">
        <v>190</v>
      </c>
      <c r="B806" s="297"/>
      <c r="C806" s="285" t="s">
        <v>191</v>
      </c>
      <c r="D806" s="279"/>
      <c r="E806" s="280"/>
      <c r="F806" s="280"/>
      <c r="G806" s="326"/>
      <c r="H806" s="327">
        <v>1819.29</v>
      </c>
      <c r="I806" s="298">
        <v>-2239</v>
      </c>
      <c r="J806" s="267"/>
      <c r="K806" s="260"/>
      <c r="L806" s="261"/>
      <c r="M806" s="261"/>
      <c r="N806" s="261"/>
    </row>
    <row r="807" spans="1:14" s="45" customFormat="1" ht="16.5" hidden="1" thickTop="1" thickBot="1">
      <c r="A807" s="296" t="s">
        <v>192</v>
      </c>
      <c r="B807" s="297"/>
      <c r="C807" s="357"/>
      <c r="D807" s="358"/>
      <c r="E807" s="359"/>
      <c r="F807" s="349" t="s">
        <v>193</v>
      </c>
      <c r="G807" s="360">
        <v>7369.29</v>
      </c>
      <c r="H807" s="351">
        <v>7369</v>
      </c>
      <c r="I807" s="305">
        <v>5130</v>
      </c>
      <c r="J807" s="267"/>
      <c r="K807" s="260"/>
      <c r="L807" s="261"/>
      <c r="M807" s="261"/>
      <c r="N807" s="261"/>
    </row>
    <row r="808" spans="1:14" s="45" customFormat="1" ht="15.75" thickTop="1">
      <c r="A808"/>
      <c r="B808"/>
      <c r="C808" s="19"/>
      <c r="D808" s="306"/>
      <c r="E808" s="19"/>
      <c r="F808" s="19"/>
      <c r="G808" s="19"/>
      <c r="H808" s="19"/>
      <c r="I808" s="260"/>
      <c r="J808" s="260"/>
      <c r="K808" s="260"/>
      <c r="L808" s="261"/>
      <c r="M808" s="261"/>
      <c r="N808" s="261"/>
    </row>
    <row r="809" spans="1:14" s="45" customFormat="1" ht="15.75" thickBot="1">
      <c r="A809"/>
      <c r="B809"/>
      <c r="C809" s="19"/>
      <c r="D809" s="306"/>
      <c r="E809" s="19"/>
      <c r="F809" s="19"/>
      <c r="G809" s="19"/>
      <c r="H809" s="19"/>
      <c r="I809" s="260"/>
      <c r="J809" s="260"/>
      <c r="K809" s="260"/>
      <c r="L809" s="261"/>
      <c r="M809" s="261"/>
      <c r="N809" s="261"/>
    </row>
    <row r="810" spans="1:14" s="45" customFormat="1" ht="12.95" customHeight="1" thickTop="1">
      <c r="A810" s="262" t="s">
        <v>338</v>
      </c>
      <c r="B810" s="263"/>
      <c r="C810" s="1651" t="s">
        <v>80</v>
      </c>
      <c r="D810" s="1652"/>
      <c r="E810" s="1652"/>
      <c r="F810" s="1652"/>
      <c r="G810" s="264"/>
      <c r="H810" s="265" t="s">
        <v>205</v>
      </c>
      <c r="I810" s="266" t="s">
        <v>126</v>
      </c>
      <c r="J810" s="267"/>
      <c r="K810" s="260"/>
      <c r="L810" s="261"/>
      <c r="M810" s="261"/>
      <c r="N810" s="261"/>
    </row>
    <row r="811" spans="1:14" s="45" customFormat="1" ht="12.95" customHeight="1">
      <c r="A811" s="262"/>
      <c r="B811" s="263"/>
      <c r="C811" s="1653"/>
      <c r="D811" s="1654"/>
      <c r="E811" s="1654"/>
      <c r="F811" s="1654"/>
      <c r="G811" s="268"/>
      <c r="H811" s="269" t="s">
        <v>179</v>
      </c>
      <c r="I811" s="270">
        <v>454</v>
      </c>
      <c r="J811" s="267"/>
      <c r="K811" s="260"/>
      <c r="L811" s="261"/>
      <c r="M811" s="261"/>
      <c r="N811" s="261"/>
    </row>
    <row r="812" spans="1:14" s="45" customFormat="1">
      <c r="A812" s="271" t="s">
        <v>128</v>
      </c>
      <c r="B812" s="263"/>
      <c r="C812" s="373" t="s">
        <v>21</v>
      </c>
      <c r="D812" s="374" t="s">
        <v>22</v>
      </c>
      <c r="E812" s="375" t="s">
        <v>23</v>
      </c>
      <c r="F812" s="375" t="s">
        <v>129</v>
      </c>
      <c r="G812" s="376" t="s">
        <v>130</v>
      </c>
      <c r="H812" s="377" t="s">
        <v>131</v>
      </c>
      <c r="I812" s="340"/>
      <c r="J812" s="267"/>
      <c r="K812" s="260"/>
      <c r="L812" s="261"/>
      <c r="M812" s="261"/>
      <c r="N812" s="261"/>
    </row>
    <row r="813" spans="1:14" s="45" customFormat="1">
      <c r="A813" s="271"/>
      <c r="B813" s="263"/>
      <c r="C813" s="278"/>
      <c r="D813" s="279"/>
      <c r="E813" s="280"/>
      <c r="F813" s="280"/>
      <c r="G813" s="281"/>
      <c r="H813" s="282"/>
      <c r="I813" s="283"/>
      <c r="J813" s="267"/>
      <c r="K813" s="260"/>
      <c r="L813" s="261"/>
      <c r="M813" s="261"/>
      <c r="N813" s="261"/>
    </row>
    <row r="814" spans="1:14" s="45" customFormat="1">
      <c r="A814" s="284" t="s">
        <v>132</v>
      </c>
      <c r="B814" s="263"/>
      <c r="C814" s="285" t="s">
        <v>133</v>
      </c>
      <c r="D814" s="279"/>
      <c r="E814" s="280"/>
      <c r="F814" s="280"/>
      <c r="G814" s="281"/>
      <c r="H814" s="282"/>
      <c r="I814" s="283"/>
      <c r="J814" s="267"/>
      <c r="K814" s="260"/>
      <c r="L814" s="261"/>
      <c r="M814" s="261"/>
      <c r="N814" s="261"/>
    </row>
    <row r="815" spans="1:14" s="45" customFormat="1">
      <c r="A815" s="284">
        <v>100954</v>
      </c>
      <c r="B815" s="263" t="s">
        <v>291</v>
      </c>
      <c r="C815" s="373" t="s">
        <v>339</v>
      </c>
      <c r="D815" s="374" t="s">
        <v>340</v>
      </c>
      <c r="E815" s="375">
        <v>0.12</v>
      </c>
      <c r="F815" s="375">
        <v>1</v>
      </c>
      <c r="G815" s="376">
        <v>42900</v>
      </c>
      <c r="H815" s="377">
        <v>5199.4799999999996</v>
      </c>
      <c r="I815" s="340">
        <v>55.024799999999999</v>
      </c>
      <c r="J815" s="267"/>
      <c r="K815" s="260"/>
      <c r="L815" s="261"/>
      <c r="M815" s="261"/>
      <c r="N815" s="261"/>
    </row>
    <row r="816" spans="1:14" s="45" customFormat="1">
      <c r="A816" s="284">
        <v>105018</v>
      </c>
      <c r="B816" s="263" t="s">
        <v>291</v>
      </c>
      <c r="C816" s="373" t="s">
        <v>341</v>
      </c>
      <c r="D816" s="374" t="s">
        <v>170</v>
      </c>
      <c r="E816" s="375">
        <v>0.05</v>
      </c>
      <c r="F816" s="375">
        <v>0</v>
      </c>
      <c r="G816" s="376">
        <v>23000</v>
      </c>
      <c r="H816" s="377">
        <v>1150</v>
      </c>
      <c r="I816" s="340">
        <v>22.700000000000003</v>
      </c>
      <c r="J816" s="267"/>
      <c r="K816" s="260"/>
      <c r="L816" s="261"/>
      <c r="M816" s="261"/>
      <c r="N816" s="261"/>
    </row>
    <row r="817" spans="1:14" s="45" customFormat="1">
      <c r="A817" s="286" t="s">
        <v>143</v>
      </c>
      <c r="B817" s="263"/>
      <c r="C817" s="278"/>
      <c r="D817" s="279"/>
      <c r="E817" s="280"/>
      <c r="F817" s="280"/>
      <c r="G817" s="281" t="s">
        <v>144</v>
      </c>
      <c r="H817" s="287">
        <v>6349.48</v>
      </c>
      <c r="I817" s="283"/>
      <c r="J817" s="267"/>
      <c r="K817" s="260"/>
      <c r="L817" s="261"/>
      <c r="M817" s="261"/>
      <c r="N817" s="261"/>
    </row>
    <row r="818" spans="1:14" s="45" customFormat="1" ht="27" customHeight="1">
      <c r="A818" s="284" t="s">
        <v>145</v>
      </c>
      <c r="B818" s="263"/>
      <c r="C818" s="288" t="s">
        <v>146</v>
      </c>
      <c r="D818" s="279" t="s">
        <v>147</v>
      </c>
      <c r="E818" s="279" t="s">
        <v>148</v>
      </c>
      <c r="F818" s="279" t="s">
        <v>149</v>
      </c>
      <c r="G818" s="289" t="s">
        <v>150</v>
      </c>
      <c r="H818" s="290" t="s">
        <v>151</v>
      </c>
      <c r="I818" s="283"/>
      <c r="J818" s="267"/>
      <c r="K818" s="260"/>
      <c r="L818" s="261"/>
      <c r="M818" s="261"/>
      <c r="N818" s="261"/>
    </row>
    <row r="819" spans="1:14" s="45" customFormat="1">
      <c r="A819" s="284">
        <v>200004</v>
      </c>
      <c r="B819" s="263" t="s">
        <v>146</v>
      </c>
      <c r="C819" s="373" t="s">
        <v>278</v>
      </c>
      <c r="D819" s="367">
        <v>80216</v>
      </c>
      <c r="E819" s="368">
        <v>1.85</v>
      </c>
      <c r="F819" s="369">
        <v>148399</v>
      </c>
      <c r="G819" s="370">
        <v>32</v>
      </c>
      <c r="H819" s="377">
        <v>4637.4679999999998</v>
      </c>
      <c r="I819" s="340">
        <v>14.1875</v>
      </c>
      <c r="J819" s="267"/>
      <c r="K819" s="260"/>
      <c r="L819" s="261"/>
      <c r="M819" s="261"/>
      <c r="N819" s="261"/>
    </row>
    <row r="820" spans="1:14" s="45" customFormat="1">
      <c r="A820" s="286" t="s">
        <v>153</v>
      </c>
      <c r="B820" s="263"/>
      <c r="C820" s="278"/>
      <c r="D820" s="279"/>
      <c r="E820" s="280"/>
      <c r="F820" s="280"/>
      <c r="G820" s="281" t="s">
        <v>154</v>
      </c>
      <c r="H820" s="287">
        <v>4637.4679999999998</v>
      </c>
      <c r="I820" s="283"/>
      <c r="J820" s="267"/>
      <c r="K820" s="260"/>
      <c r="L820" s="261"/>
      <c r="M820" s="261"/>
      <c r="N820" s="261"/>
    </row>
    <row r="821" spans="1:14" s="45" customFormat="1">
      <c r="A821" s="284" t="s">
        <v>155</v>
      </c>
      <c r="B821" s="263"/>
      <c r="C821" s="295" t="s">
        <v>156</v>
      </c>
      <c r="D821" s="279"/>
      <c r="E821" s="280"/>
      <c r="F821" s="280"/>
      <c r="G821" s="281"/>
      <c r="H821" s="282"/>
      <c r="I821" s="283"/>
      <c r="J821" s="267"/>
      <c r="K821" s="260"/>
      <c r="L821" s="261"/>
      <c r="M821" s="261"/>
      <c r="N821" s="261"/>
    </row>
    <row r="822" spans="1:14" s="45" customFormat="1">
      <c r="A822" s="284">
        <v>300026</v>
      </c>
      <c r="B822" s="263" t="s">
        <v>156</v>
      </c>
      <c r="C822" s="373" t="s">
        <v>157</v>
      </c>
      <c r="D822" s="374" t="s">
        <v>158</v>
      </c>
      <c r="E822" s="368">
        <v>0.05</v>
      </c>
      <c r="F822" s="375">
        <v>0</v>
      </c>
      <c r="G822" s="376">
        <v>4637.4679999999998</v>
      </c>
      <c r="H822" s="377">
        <v>231.87</v>
      </c>
      <c r="I822" s="340">
        <v>105268.98</v>
      </c>
      <c r="J822" s="267"/>
      <c r="K822" s="260"/>
      <c r="L822" s="261"/>
      <c r="M822" s="261"/>
      <c r="N822" s="261"/>
    </row>
    <row r="823" spans="1:14" s="45" customFormat="1">
      <c r="A823" s="284">
        <v>300002</v>
      </c>
      <c r="B823" s="263" t="s">
        <v>156</v>
      </c>
      <c r="C823" s="373" t="s">
        <v>213</v>
      </c>
      <c r="D823" s="374" t="s">
        <v>214</v>
      </c>
      <c r="E823" s="375">
        <v>0.2</v>
      </c>
      <c r="F823" s="375">
        <v>0</v>
      </c>
      <c r="G823" s="376">
        <v>714</v>
      </c>
      <c r="H823" s="377">
        <v>142.80000000000001</v>
      </c>
      <c r="I823" s="340">
        <v>90.800000000000011</v>
      </c>
      <c r="J823" s="267"/>
      <c r="K823" s="260"/>
      <c r="L823" s="261"/>
      <c r="M823" s="261"/>
      <c r="N823" s="261"/>
    </row>
    <row r="824" spans="1:14" s="45" customFormat="1">
      <c r="A824" s="286" t="s">
        <v>159</v>
      </c>
      <c r="B824" s="263"/>
      <c r="C824" s="278"/>
      <c r="D824" s="279"/>
      <c r="E824" s="280"/>
      <c r="F824" s="280"/>
      <c r="G824" s="281" t="s">
        <v>160</v>
      </c>
      <c r="H824" s="287">
        <v>374.67</v>
      </c>
      <c r="I824" s="283"/>
      <c r="J824" s="267"/>
      <c r="K824" s="260"/>
      <c r="L824" s="261"/>
      <c r="M824" s="261"/>
      <c r="N824" s="261"/>
    </row>
    <row r="825" spans="1:14" s="45" customFormat="1">
      <c r="A825" s="296"/>
      <c r="B825" s="297"/>
      <c r="C825" s="278"/>
      <c r="D825" s="279"/>
      <c r="E825" s="280"/>
      <c r="F825" s="280"/>
      <c r="G825" s="281"/>
      <c r="H825" s="282"/>
      <c r="I825" s="283"/>
      <c r="J825" s="267"/>
      <c r="K825" s="260"/>
      <c r="L825" s="261"/>
      <c r="M825" s="261"/>
      <c r="N825" s="261"/>
    </row>
    <row r="826" spans="1:14" s="45" customFormat="1" ht="15.75" thickBot="1">
      <c r="A826" s="296" t="s">
        <v>26</v>
      </c>
      <c r="B826" s="297"/>
      <c r="C826" s="299"/>
      <c r="D826" s="347"/>
      <c r="E826" s="348"/>
      <c r="F826" s="349" t="s">
        <v>161</v>
      </c>
      <c r="G826" s="350">
        <v>11361.617999999999</v>
      </c>
      <c r="H826" s="351">
        <v>11362</v>
      </c>
      <c r="I826" s="305"/>
      <c r="J826" s="267"/>
      <c r="K826" s="260"/>
      <c r="L826" s="261"/>
      <c r="M826" s="261"/>
      <c r="N826" s="261"/>
    </row>
    <row r="827" spans="1:14" s="45" customFormat="1" ht="15.75" hidden="1" thickTop="1">
      <c r="A827" s="296" t="s">
        <v>188</v>
      </c>
      <c r="B827" s="297"/>
      <c r="C827" s="314" t="s">
        <v>96</v>
      </c>
      <c r="D827" s="315"/>
      <c r="E827" s="316"/>
      <c r="F827" s="316"/>
      <c r="G827" s="318"/>
      <c r="H827" s="319"/>
      <c r="I827" s="283"/>
      <c r="J827" s="267"/>
      <c r="K827" s="260"/>
      <c r="L827" s="261"/>
      <c r="M827" s="261"/>
      <c r="N827" s="261"/>
    </row>
    <row r="828" spans="1:14" s="45" customFormat="1" ht="15.75" hidden="1" thickTop="1">
      <c r="A828" s="284" t="s">
        <v>99</v>
      </c>
      <c r="B828" s="297"/>
      <c r="C828" s="352" t="s">
        <v>100</v>
      </c>
      <c r="D828" s="353"/>
      <c r="E828" s="354"/>
      <c r="F828" s="372">
        <v>0.185</v>
      </c>
      <c r="G828" s="355"/>
      <c r="H828" s="356">
        <v>2101.9699999999998</v>
      </c>
      <c r="I828" s="283"/>
      <c r="J828" s="267"/>
      <c r="K828" s="260"/>
      <c r="L828" s="261"/>
      <c r="M828" s="261"/>
      <c r="N828" s="261"/>
    </row>
    <row r="829" spans="1:14" s="45" customFormat="1" ht="15.75" hidden="1" thickTop="1">
      <c r="A829" s="284" t="s">
        <v>189</v>
      </c>
      <c r="B829" s="297"/>
      <c r="C829" s="352" t="s">
        <v>102</v>
      </c>
      <c r="D829" s="353"/>
      <c r="E829" s="354"/>
      <c r="F829" s="372">
        <v>0.05</v>
      </c>
      <c r="G829" s="355"/>
      <c r="H829" s="356">
        <v>568.1</v>
      </c>
      <c r="I829" s="283"/>
      <c r="J829" s="267"/>
      <c r="K829" s="260"/>
      <c r="L829" s="261"/>
      <c r="M829" s="261"/>
      <c r="N829" s="261"/>
    </row>
    <row r="830" spans="1:14" s="45" customFormat="1" ht="15.75" hidden="1" thickTop="1">
      <c r="A830" s="284" t="s">
        <v>103</v>
      </c>
      <c r="B830" s="297"/>
      <c r="C830" s="352" t="s">
        <v>104</v>
      </c>
      <c r="D830" s="353"/>
      <c r="E830" s="354"/>
      <c r="F830" s="372">
        <v>0.08</v>
      </c>
      <c r="G830" s="355"/>
      <c r="H830" s="356">
        <v>908.96</v>
      </c>
      <c r="I830" s="283"/>
      <c r="J830" s="267"/>
      <c r="K830" s="260"/>
      <c r="L830" s="261"/>
      <c r="M830" s="261"/>
      <c r="N830" s="261"/>
    </row>
    <row r="831" spans="1:14" s="45" customFormat="1" ht="15.75" hidden="1" thickTop="1">
      <c r="A831" s="284" t="s">
        <v>106</v>
      </c>
      <c r="B831" s="297"/>
      <c r="C831" s="352" t="s">
        <v>107</v>
      </c>
      <c r="D831" s="353"/>
      <c r="E831" s="354"/>
      <c r="F831" s="372">
        <v>0.16</v>
      </c>
      <c r="G831" s="355"/>
      <c r="H831" s="356">
        <v>145.43</v>
      </c>
      <c r="I831" s="283"/>
      <c r="J831" s="267"/>
      <c r="K831" s="260"/>
      <c r="L831" s="261"/>
      <c r="M831" s="261"/>
      <c r="N831" s="261"/>
    </row>
    <row r="832" spans="1:14" s="45" customFormat="1" ht="15.75" hidden="1" thickTop="1">
      <c r="A832" s="296" t="s">
        <v>190</v>
      </c>
      <c r="B832" s="297"/>
      <c r="C832" s="285" t="s">
        <v>191</v>
      </c>
      <c r="D832" s="279"/>
      <c r="E832" s="280"/>
      <c r="F832" s="280"/>
      <c r="G832" s="326"/>
      <c r="H832" s="327">
        <v>3724.4599999999996</v>
      </c>
      <c r="I832" s="298">
        <v>-4316</v>
      </c>
      <c r="J832" s="267"/>
      <c r="K832" s="260"/>
      <c r="L832" s="261"/>
      <c r="M832" s="261"/>
      <c r="N832" s="261"/>
    </row>
    <row r="833" spans="1:14" s="45" customFormat="1" ht="16.5" hidden="1" thickTop="1" thickBot="1">
      <c r="A833" s="296" t="s">
        <v>192</v>
      </c>
      <c r="B833" s="297"/>
      <c r="C833" s="357"/>
      <c r="D833" s="358"/>
      <c r="E833" s="359"/>
      <c r="F833" s="349" t="s">
        <v>193</v>
      </c>
      <c r="G833" s="360">
        <v>15086.46</v>
      </c>
      <c r="H833" s="351">
        <v>15086</v>
      </c>
      <c r="I833" s="305">
        <v>10770</v>
      </c>
      <c r="J833" s="267"/>
      <c r="K833" s="260"/>
      <c r="L833" s="261"/>
      <c r="M833" s="261"/>
      <c r="N833" s="261"/>
    </row>
    <row r="834" spans="1:14" s="45" customFormat="1" ht="15.75" thickTop="1">
      <c r="A834"/>
      <c r="B834"/>
      <c r="C834" s="19"/>
      <c r="D834" s="306"/>
      <c r="E834" s="19"/>
      <c r="F834" s="19"/>
      <c r="G834" s="19"/>
      <c r="H834" s="19"/>
      <c r="I834" s="260"/>
      <c r="J834" s="260"/>
      <c r="K834" s="260"/>
      <c r="L834" s="261"/>
      <c r="M834" s="261"/>
      <c r="N834" s="261"/>
    </row>
    <row r="835" spans="1:14" s="45" customFormat="1" ht="15.75" thickBot="1">
      <c r="A835"/>
      <c r="B835"/>
      <c r="C835" s="19"/>
      <c r="D835" s="306"/>
      <c r="E835" s="19"/>
      <c r="F835" s="19"/>
      <c r="G835" s="19"/>
      <c r="H835" s="19"/>
      <c r="I835" s="260"/>
      <c r="J835" s="260"/>
      <c r="K835" s="260"/>
      <c r="L835" s="261"/>
      <c r="M835" s="261"/>
      <c r="N835" s="261"/>
    </row>
    <row r="836" spans="1:14" s="45" customFormat="1" ht="12.95" customHeight="1" thickTop="1">
      <c r="A836" s="262" t="s">
        <v>342</v>
      </c>
      <c r="B836" s="263"/>
      <c r="C836" s="1651" t="s">
        <v>81</v>
      </c>
      <c r="D836" s="1652"/>
      <c r="E836" s="1652"/>
      <c r="F836" s="1652"/>
      <c r="G836" s="264"/>
      <c r="H836" s="265" t="s">
        <v>178</v>
      </c>
      <c r="I836" s="266" t="s">
        <v>126</v>
      </c>
      <c r="J836" s="267"/>
      <c r="K836" s="260"/>
      <c r="L836" s="261"/>
      <c r="M836" s="261"/>
      <c r="N836" s="261"/>
    </row>
    <row r="837" spans="1:14" s="45" customFormat="1" ht="12.95" customHeight="1">
      <c r="A837" s="262"/>
      <c r="B837" s="263"/>
      <c r="C837" s="1653"/>
      <c r="D837" s="1654"/>
      <c r="E837" s="1654"/>
      <c r="F837" s="1654"/>
      <c r="G837" s="268"/>
      <c r="H837" s="269" t="s">
        <v>179</v>
      </c>
      <c r="I837" s="270">
        <v>84</v>
      </c>
      <c r="J837" s="267"/>
      <c r="K837" s="260"/>
      <c r="L837" s="261"/>
      <c r="M837" s="261"/>
      <c r="N837" s="261"/>
    </row>
    <row r="838" spans="1:14" s="45" customFormat="1">
      <c r="A838" s="271" t="s">
        <v>128</v>
      </c>
      <c r="B838" s="263"/>
      <c r="C838" s="373" t="s">
        <v>21</v>
      </c>
      <c r="D838" s="374" t="s">
        <v>22</v>
      </c>
      <c r="E838" s="375" t="s">
        <v>23</v>
      </c>
      <c r="F838" s="375" t="s">
        <v>129</v>
      </c>
      <c r="G838" s="376" t="s">
        <v>130</v>
      </c>
      <c r="H838" s="377" t="s">
        <v>131</v>
      </c>
      <c r="I838" s="340"/>
      <c r="J838" s="267"/>
      <c r="K838" s="260"/>
      <c r="L838" s="261"/>
      <c r="M838" s="261"/>
      <c r="N838" s="261"/>
    </row>
    <row r="839" spans="1:14" s="45" customFormat="1">
      <c r="A839" s="271"/>
      <c r="B839" s="263"/>
      <c r="C839" s="278"/>
      <c r="D839" s="279"/>
      <c r="E839" s="280"/>
      <c r="F839" s="280"/>
      <c r="G839" s="281"/>
      <c r="H839" s="282"/>
      <c r="I839" s="283"/>
      <c r="J839" s="267"/>
      <c r="K839" s="260"/>
      <c r="L839" s="261"/>
      <c r="M839" s="261"/>
      <c r="N839" s="261"/>
    </row>
    <row r="840" spans="1:14" s="45" customFormat="1">
      <c r="A840" s="284" t="s">
        <v>132</v>
      </c>
      <c r="B840" s="263"/>
      <c r="C840" s="285" t="s">
        <v>133</v>
      </c>
      <c r="D840" s="279"/>
      <c r="E840" s="280"/>
      <c r="F840" s="280"/>
      <c r="G840" s="281"/>
      <c r="H840" s="282"/>
      <c r="I840" s="283"/>
      <c r="J840" s="267"/>
      <c r="K840" s="260"/>
      <c r="L840" s="261"/>
      <c r="M840" s="261"/>
      <c r="N840" s="261"/>
    </row>
    <row r="841" spans="1:14" s="45" customFormat="1">
      <c r="A841" s="284">
        <v>101117</v>
      </c>
      <c r="B841" s="263" t="s">
        <v>134</v>
      </c>
      <c r="C841" s="373" t="s">
        <v>343</v>
      </c>
      <c r="D841" s="374" t="s">
        <v>288</v>
      </c>
      <c r="E841" s="375">
        <v>1.05</v>
      </c>
      <c r="F841" s="375">
        <v>0</v>
      </c>
      <c r="G841" s="376">
        <v>900</v>
      </c>
      <c r="H841" s="377">
        <v>945</v>
      </c>
      <c r="I841" s="340">
        <v>88.2</v>
      </c>
      <c r="J841" s="267"/>
      <c r="K841" s="260"/>
      <c r="L841" s="261"/>
      <c r="M841" s="261"/>
      <c r="N841" s="261"/>
    </row>
    <row r="842" spans="1:14" s="45" customFormat="1">
      <c r="A842" s="284">
        <v>101904</v>
      </c>
      <c r="B842" s="263" t="s">
        <v>134</v>
      </c>
      <c r="C842" s="373" t="s">
        <v>290</v>
      </c>
      <c r="D842" s="374" t="s">
        <v>170</v>
      </c>
      <c r="E842" s="375">
        <v>0.03</v>
      </c>
      <c r="F842" s="375">
        <v>0</v>
      </c>
      <c r="G842" s="376">
        <v>16500</v>
      </c>
      <c r="H842" s="377">
        <v>495</v>
      </c>
      <c r="I842" s="340">
        <v>2.52</v>
      </c>
      <c r="J842" s="267"/>
      <c r="K842" s="260"/>
      <c r="L842" s="261"/>
      <c r="M842" s="261"/>
      <c r="N842" s="261"/>
    </row>
    <row r="843" spans="1:14" s="45" customFormat="1">
      <c r="A843" s="284">
        <v>100881</v>
      </c>
      <c r="B843" s="263" t="s">
        <v>291</v>
      </c>
      <c r="C843" s="373" t="s">
        <v>344</v>
      </c>
      <c r="D843" s="374" t="s">
        <v>170</v>
      </c>
      <c r="E843" s="375">
        <v>0.04</v>
      </c>
      <c r="F843" s="375">
        <v>0</v>
      </c>
      <c r="G843" s="376">
        <v>45990</v>
      </c>
      <c r="H843" s="377">
        <v>1839.6</v>
      </c>
      <c r="I843" s="340">
        <v>3.36</v>
      </c>
      <c r="J843" s="267"/>
      <c r="K843" s="260"/>
      <c r="L843" s="261"/>
      <c r="M843" s="261"/>
      <c r="N843" s="261"/>
    </row>
    <row r="844" spans="1:14" s="45" customFormat="1">
      <c r="A844" s="286" t="s">
        <v>143</v>
      </c>
      <c r="B844" s="263"/>
      <c r="C844" s="278"/>
      <c r="D844" s="279"/>
      <c r="E844" s="280"/>
      <c r="F844" s="280"/>
      <c r="G844" s="281" t="s">
        <v>144</v>
      </c>
      <c r="H844" s="287">
        <v>3279.6</v>
      </c>
      <c r="I844" s="283"/>
      <c r="J844" s="267"/>
      <c r="K844" s="260"/>
      <c r="L844" s="261"/>
      <c r="M844" s="261"/>
      <c r="N844" s="261"/>
    </row>
    <row r="845" spans="1:14" s="45" customFormat="1" ht="27" customHeight="1">
      <c r="A845" s="284" t="s">
        <v>145</v>
      </c>
      <c r="B845" s="263"/>
      <c r="C845" s="288" t="s">
        <v>146</v>
      </c>
      <c r="D845" s="279" t="s">
        <v>147</v>
      </c>
      <c r="E845" s="279" t="s">
        <v>148</v>
      </c>
      <c r="F845" s="279" t="s">
        <v>149</v>
      </c>
      <c r="G845" s="289" t="s">
        <v>150</v>
      </c>
      <c r="H845" s="290" t="s">
        <v>151</v>
      </c>
      <c r="I845" s="283"/>
      <c r="J845" s="267"/>
      <c r="K845" s="260"/>
      <c r="L845" s="261"/>
      <c r="M845" s="261"/>
      <c r="N845" s="261"/>
    </row>
    <row r="846" spans="1:14" s="45" customFormat="1">
      <c r="A846" s="284">
        <v>200026</v>
      </c>
      <c r="B846" s="263" t="s">
        <v>146</v>
      </c>
      <c r="C846" s="373" t="s">
        <v>301</v>
      </c>
      <c r="D846" s="367">
        <v>75762</v>
      </c>
      <c r="E846" s="368">
        <v>1.85</v>
      </c>
      <c r="F846" s="369">
        <v>140159</v>
      </c>
      <c r="G846" s="370">
        <v>20</v>
      </c>
      <c r="H846" s="377">
        <v>7007.95</v>
      </c>
      <c r="I846" s="340">
        <v>4.2</v>
      </c>
      <c r="J846" s="267"/>
      <c r="K846" s="260"/>
      <c r="L846" s="261"/>
      <c r="M846" s="261"/>
      <c r="N846" s="261"/>
    </row>
    <row r="847" spans="1:14" s="45" customFormat="1">
      <c r="A847" s="286" t="s">
        <v>153</v>
      </c>
      <c r="B847" s="263"/>
      <c r="C847" s="278"/>
      <c r="D847" s="279"/>
      <c r="E847" s="280"/>
      <c r="F847" s="280"/>
      <c r="G847" s="281" t="s">
        <v>154</v>
      </c>
      <c r="H847" s="287">
        <v>7007.95</v>
      </c>
      <c r="I847" s="283"/>
      <c r="J847" s="267"/>
      <c r="K847" s="260"/>
      <c r="L847" s="261"/>
      <c r="M847" s="261"/>
      <c r="N847" s="261"/>
    </row>
    <row r="848" spans="1:14" s="45" customFormat="1">
      <c r="A848" s="284" t="s">
        <v>155</v>
      </c>
      <c r="B848" s="263"/>
      <c r="C848" s="295" t="s">
        <v>156</v>
      </c>
      <c r="D848" s="279"/>
      <c r="E848" s="280"/>
      <c r="F848" s="280"/>
      <c r="G848" s="281"/>
      <c r="H848" s="282"/>
      <c r="I848" s="283"/>
      <c r="J848" s="267"/>
      <c r="K848" s="260"/>
      <c r="L848" s="261"/>
      <c r="M848" s="261"/>
      <c r="N848" s="261"/>
    </row>
    <row r="849" spans="1:14" s="45" customFormat="1">
      <c r="A849" s="284">
        <v>300026</v>
      </c>
      <c r="B849" s="263" t="s">
        <v>156</v>
      </c>
      <c r="C849" s="373" t="s">
        <v>157</v>
      </c>
      <c r="D849" s="374" t="s">
        <v>158</v>
      </c>
      <c r="E849" s="368">
        <v>0.05</v>
      </c>
      <c r="F849" s="375">
        <v>0</v>
      </c>
      <c r="G849" s="376">
        <v>7007.95</v>
      </c>
      <c r="H849" s="377">
        <v>350.39</v>
      </c>
      <c r="I849" s="340">
        <v>29432.76</v>
      </c>
      <c r="J849" s="267"/>
      <c r="K849" s="260"/>
      <c r="L849" s="261"/>
      <c r="M849" s="261"/>
      <c r="N849" s="261"/>
    </row>
    <row r="850" spans="1:14" s="45" customFormat="1">
      <c r="A850" s="286" t="s">
        <v>159</v>
      </c>
      <c r="B850" s="263"/>
      <c r="C850" s="278"/>
      <c r="D850" s="279"/>
      <c r="E850" s="280"/>
      <c r="F850" s="280"/>
      <c r="G850" s="281" t="s">
        <v>160</v>
      </c>
      <c r="H850" s="287">
        <v>350.39</v>
      </c>
      <c r="I850" s="283"/>
      <c r="J850" s="267"/>
      <c r="K850" s="260"/>
      <c r="L850" s="261"/>
      <c r="M850" s="261"/>
      <c r="N850" s="261"/>
    </row>
    <row r="851" spans="1:14" s="45" customFormat="1">
      <c r="A851" s="296"/>
      <c r="B851" s="297"/>
      <c r="C851" s="278"/>
      <c r="D851" s="279"/>
      <c r="E851" s="280"/>
      <c r="F851" s="280"/>
      <c r="G851" s="281"/>
      <c r="H851" s="282"/>
      <c r="I851" s="283"/>
      <c r="J851" s="267"/>
      <c r="K851" s="260"/>
      <c r="L851" s="261"/>
      <c r="M851" s="261"/>
      <c r="N851" s="261"/>
    </row>
    <row r="852" spans="1:14" s="45" customFormat="1" ht="15.75" thickBot="1">
      <c r="A852" s="296" t="s">
        <v>26</v>
      </c>
      <c r="B852" s="297"/>
      <c r="C852" s="299"/>
      <c r="D852" s="347"/>
      <c r="E852" s="348"/>
      <c r="F852" s="349" t="s">
        <v>161</v>
      </c>
      <c r="G852" s="350">
        <v>10637.939999999999</v>
      </c>
      <c r="H852" s="351">
        <v>10638</v>
      </c>
      <c r="I852" s="305"/>
      <c r="J852" s="267"/>
      <c r="K852" s="260"/>
      <c r="L852" s="261"/>
      <c r="M852" s="261"/>
      <c r="N852" s="261"/>
    </row>
    <row r="853" spans="1:14" s="45" customFormat="1" ht="15.75" hidden="1" thickTop="1">
      <c r="A853" s="296" t="s">
        <v>188</v>
      </c>
      <c r="B853" s="297"/>
      <c r="C853" s="314" t="s">
        <v>96</v>
      </c>
      <c r="D853" s="315"/>
      <c r="E853" s="316"/>
      <c r="F853" s="316"/>
      <c r="G853" s="318"/>
      <c r="H853" s="319"/>
      <c r="I853" s="283"/>
      <c r="J853" s="267"/>
      <c r="K853" s="260"/>
      <c r="L853" s="261"/>
      <c r="M853" s="261"/>
      <c r="N853" s="261"/>
    </row>
    <row r="854" spans="1:14" s="45" customFormat="1" ht="15.75" hidden="1" thickTop="1">
      <c r="A854" s="284" t="s">
        <v>99</v>
      </c>
      <c r="B854" s="297"/>
      <c r="C854" s="352" t="s">
        <v>100</v>
      </c>
      <c r="D854" s="353"/>
      <c r="E854" s="354"/>
      <c r="F854" s="372">
        <v>0.185</v>
      </c>
      <c r="G854" s="355"/>
      <c r="H854" s="356">
        <v>1968.03</v>
      </c>
      <c r="I854" s="283"/>
      <c r="J854" s="267"/>
      <c r="K854" s="260"/>
      <c r="L854" s="261"/>
      <c r="M854" s="261"/>
      <c r="N854" s="261"/>
    </row>
    <row r="855" spans="1:14" s="45" customFormat="1" ht="15.75" hidden="1" thickTop="1">
      <c r="A855" s="284" t="s">
        <v>189</v>
      </c>
      <c r="B855" s="297"/>
      <c r="C855" s="352" t="s">
        <v>102</v>
      </c>
      <c r="D855" s="353"/>
      <c r="E855" s="354"/>
      <c r="F855" s="372">
        <v>0.05</v>
      </c>
      <c r="G855" s="355"/>
      <c r="H855" s="356">
        <v>531.9</v>
      </c>
      <c r="I855" s="283"/>
      <c r="J855" s="267"/>
      <c r="K855" s="260"/>
      <c r="L855" s="261"/>
      <c r="M855" s="261"/>
      <c r="N855" s="261"/>
    </row>
    <row r="856" spans="1:14" s="45" customFormat="1" ht="15.75" hidden="1" thickTop="1">
      <c r="A856" s="284" t="s">
        <v>103</v>
      </c>
      <c r="B856" s="297"/>
      <c r="C856" s="352" t="s">
        <v>104</v>
      </c>
      <c r="D856" s="353"/>
      <c r="E856" s="354"/>
      <c r="F856" s="372">
        <v>0.08</v>
      </c>
      <c r="G856" s="355"/>
      <c r="H856" s="356">
        <v>851.04</v>
      </c>
      <c r="I856" s="283"/>
      <c r="J856" s="267"/>
      <c r="K856" s="260"/>
      <c r="L856" s="261"/>
      <c r="M856" s="261"/>
      <c r="N856" s="261"/>
    </row>
    <row r="857" spans="1:14" s="45" customFormat="1" ht="15.75" hidden="1" thickTop="1">
      <c r="A857" s="284" t="s">
        <v>106</v>
      </c>
      <c r="B857" s="297"/>
      <c r="C857" s="352" t="s">
        <v>107</v>
      </c>
      <c r="D857" s="353"/>
      <c r="E857" s="354"/>
      <c r="F857" s="372">
        <v>0.16</v>
      </c>
      <c r="G857" s="355"/>
      <c r="H857" s="356">
        <v>136.16999999999999</v>
      </c>
      <c r="I857" s="283"/>
      <c r="J857" s="267"/>
      <c r="K857" s="260"/>
      <c r="L857" s="261"/>
      <c r="M857" s="261"/>
      <c r="N857" s="261"/>
    </row>
    <row r="858" spans="1:14" s="45" customFormat="1" ht="15.75" hidden="1" thickTop="1">
      <c r="A858" s="296" t="s">
        <v>190</v>
      </c>
      <c r="B858" s="297"/>
      <c r="C858" s="285" t="s">
        <v>191</v>
      </c>
      <c r="D858" s="279"/>
      <c r="E858" s="280"/>
      <c r="F858" s="280"/>
      <c r="G858" s="326"/>
      <c r="H858" s="327">
        <v>3487.14</v>
      </c>
      <c r="I858" s="298">
        <v>-4485</v>
      </c>
      <c r="J858" s="267"/>
      <c r="K858" s="260"/>
      <c r="L858" s="261"/>
      <c r="M858" s="261"/>
      <c r="N858" s="261"/>
    </row>
    <row r="859" spans="1:14" s="45" customFormat="1" ht="16.5" hidden="1" thickTop="1" thickBot="1">
      <c r="A859" s="296" t="s">
        <v>192</v>
      </c>
      <c r="B859" s="297"/>
      <c r="C859" s="357"/>
      <c r="D859" s="358"/>
      <c r="E859" s="359"/>
      <c r="F859" s="349" t="s">
        <v>193</v>
      </c>
      <c r="G859" s="360">
        <v>14125.14</v>
      </c>
      <c r="H859" s="351">
        <v>14125</v>
      </c>
      <c r="I859" s="305">
        <v>9640</v>
      </c>
      <c r="J859" s="267"/>
      <c r="K859" s="260"/>
      <c r="L859" s="261"/>
      <c r="M859" s="261"/>
      <c r="N859" s="261"/>
    </row>
    <row r="860" spans="1:14" s="45" customFormat="1" ht="15.75" thickTop="1">
      <c r="A860"/>
      <c r="B860"/>
      <c r="C860" s="19"/>
      <c r="D860" s="306"/>
      <c r="E860" s="19"/>
      <c r="F860" s="19"/>
      <c r="G860" s="19"/>
      <c r="H860" s="19"/>
      <c r="I860" s="260"/>
      <c r="J860" s="260"/>
      <c r="K860" s="260"/>
      <c r="L860" s="261"/>
      <c r="M860" s="261"/>
      <c r="N860" s="261"/>
    </row>
    <row r="861" spans="1:14" s="45" customFormat="1" ht="15.75" thickBot="1">
      <c r="A861"/>
      <c r="B861"/>
      <c r="C861" s="19"/>
      <c r="D861" s="306"/>
      <c r="E861" s="19"/>
      <c r="F861" s="19"/>
      <c r="G861" s="19"/>
      <c r="H861" s="19"/>
      <c r="I861" s="260"/>
      <c r="J861" s="260"/>
      <c r="K861" s="260"/>
      <c r="L861" s="261"/>
      <c r="M861" s="261"/>
      <c r="N861" s="261"/>
    </row>
    <row r="862" spans="1:14" s="45" customFormat="1" ht="12.95" customHeight="1" thickTop="1">
      <c r="A862" s="262" t="s">
        <v>345</v>
      </c>
      <c r="B862" s="263"/>
      <c r="C862" s="1651" t="s">
        <v>83</v>
      </c>
      <c r="D862" s="1652"/>
      <c r="E862" s="1652"/>
      <c r="F862" s="1652"/>
      <c r="G862" s="264"/>
      <c r="H862" s="265" t="s">
        <v>205</v>
      </c>
      <c r="I862" s="266" t="s">
        <v>126</v>
      </c>
      <c r="J862" s="267"/>
      <c r="K862" s="260"/>
      <c r="L862" s="261"/>
      <c r="M862" s="261"/>
      <c r="N862" s="261"/>
    </row>
    <row r="863" spans="1:14" s="45" customFormat="1" ht="12.95" customHeight="1">
      <c r="A863" s="262"/>
      <c r="B863" s="263"/>
      <c r="C863" s="1653"/>
      <c r="D863" s="1654"/>
      <c r="E863" s="1654"/>
      <c r="F863" s="1654"/>
      <c r="G863" s="268"/>
      <c r="H863" s="269" t="s">
        <v>179</v>
      </c>
      <c r="I863" s="270">
        <v>160</v>
      </c>
      <c r="J863" s="267"/>
      <c r="K863" s="260"/>
      <c r="L863" s="261"/>
      <c r="M863" s="261"/>
      <c r="N863" s="261"/>
    </row>
    <row r="864" spans="1:14" s="45" customFormat="1">
      <c r="A864" s="271" t="s">
        <v>128</v>
      </c>
      <c r="B864" s="263"/>
      <c r="C864" s="373" t="s">
        <v>21</v>
      </c>
      <c r="D864" s="374" t="s">
        <v>22</v>
      </c>
      <c r="E864" s="375" t="s">
        <v>23</v>
      </c>
      <c r="F864" s="384" t="s">
        <v>129</v>
      </c>
      <c r="G864" s="376" t="s">
        <v>130</v>
      </c>
      <c r="H864" s="377" t="s">
        <v>131</v>
      </c>
      <c r="I864" s="385"/>
      <c r="J864" s="267"/>
      <c r="K864" s="260"/>
      <c r="L864" s="261"/>
      <c r="M864" s="261"/>
      <c r="N864" s="261"/>
    </row>
    <row r="865" spans="1:14" s="45" customFormat="1">
      <c r="A865" s="271"/>
      <c r="B865" s="263"/>
      <c r="C865" s="278"/>
      <c r="D865" s="279"/>
      <c r="E865" s="280"/>
      <c r="F865" s="309"/>
      <c r="G865" s="281"/>
      <c r="H865" s="282"/>
      <c r="I865" s="310"/>
      <c r="J865" s="267"/>
      <c r="K865" s="260"/>
      <c r="L865" s="261"/>
      <c r="M865" s="261"/>
      <c r="N865" s="261"/>
    </row>
    <row r="866" spans="1:14" s="45" customFormat="1">
      <c r="A866" s="271" t="s">
        <v>132</v>
      </c>
      <c r="B866" s="263"/>
      <c r="C866" s="285" t="s">
        <v>133</v>
      </c>
      <c r="D866" s="279"/>
      <c r="E866" s="280"/>
      <c r="F866" s="309"/>
      <c r="G866" s="281"/>
      <c r="H866" s="282"/>
      <c r="I866" s="310"/>
      <c r="J866" s="267"/>
      <c r="K866" s="260"/>
      <c r="L866" s="261"/>
      <c r="M866" s="261"/>
      <c r="N866" s="261"/>
    </row>
    <row r="867" spans="1:14" s="45" customFormat="1">
      <c r="A867" s="271">
        <v>100112</v>
      </c>
      <c r="B867" s="263" t="s">
        <v>168</v>
      </c>
      <c r="C867" s="373" t="s">
        <v>346</v>
      </c>
      <c r="D867" s="374" t="s">
        <v>142</v>
      </c>
      <c r="E867" s="375">
        <v>0.2</v>
      </c>
      <c r="F867" s="384">
        <v>0</v>
      </c>
      <c r="G867" s="376">
        <v>10100</v>
      </c>
      <c r="H867" s="377">
        <v>2020</v>
      </c>
      <c r="I867" s="385">
        <v>32</v>
      </c>
      <c r="J867" s="267"/>
      <c r="K867" s="260"/>
      <c r="L867" s="261"/>
      <c r="M867" s="261"/>
      <c r="N867" s="261"/>
    </row>
    <row r="868" spans="1:14" s="45" customFormat="1">
      <c r="A868" s="271">
        <v>109069</v>
      </c>
      <c r="B868" s="263"/>
      <c r="C868" s="373" t="s">
        <v>180</v>
      </c>
      <c r="D868" s="374" t="s">
        <v>22</v>
      </c>
      <c r="E868" s="375">
        <v>1</v>
      </c>
      <c r="F868" s="384">
        <v>0</v>
      </c>
      <c r="G868" s="376">
        <v>3500</v>
      </c>
      <c r="H868" s="377">
        <v>3500</v>
      </c>
      <c r="I868" s="385">
        <v>160</v>
      </c>
      <c r="J868" s="267"/>
      <c r="K868" s="260"/>
      <c r="L868" s="261"/>
      <c r="M868" s="261"/>
      <c r="N868" s="261"/>
    </row>
    <row r="869" spans="1:14" s="45" customFormat="1">
      <c r="A869" s="271">
        <v>101509</v>
      </c>
      <c r="B869" s="263" t="s">
        <v>181</v>
      </c>
      <c r="C869" s="373" t="s">
        <v>182</v>
      </c>
      <c r="D869" s="374" t="s">
        <v>183</v>
      </c>
      <c r="E869" s="375">
        <v>0.05</v>
      </c>
      <c r="F869" s="384">
        <v>0</v>
      </c>
      <c r="G869" s="376">
        <v>2000</v>
      </c>
      <c r="H869" s="377">
        <v>100</v>
      </c>
      <c r="I869" s="385">
        <v>8</v>
      </c>
      <c r="J869" s="267"/>
      <c r="K869" s="260"/>
      <c r="L869" s="261"/>
      <c r="M869" s="261"/>
      <c r="N869" s="261"/>
    </row>
    <row r="870" spans="1:14" s="45" customFormat="1">
      <c r="A870" s="271">
        <v>101717</v>
      </c>
      <c r="B870" s="263" t="s">
        <v>216</v>
      </c>
      <c r="C870" s="373" t="s">
        <v>219</v>
      </c>
      <c r="D870" s="374" t="s">
        <v>22</v>
      </c>
      <c r="E870" s="375">
        <v>0.5</v>
      </c>
      <c r="F870" s="384">
        <v>0</v>
      </c>
      <c r="G870" s="376">
        <v>8000</v>
      </c>
      <c r="H870" s="377">
        <v>4000</v>
      </c>
      <c r="I870" s="385">
        <v>80</v>
      </c>
      <c r="J870" s="267"/>
      <c r="K870" s="260"/>
      <c r="L870" s="261"/>
      <c r="M870" s="261"/>
      <c r="N870" s="261"/>
    </row>
    <row r="871" spans="1:14" s="45" customFormat="1">
      <c r="A871" s="311" t="s">
        <v>220</v>
      </c>
      <c r="B871" s="263" t="s">
        <v>210</v>
      </c>
      <c r="C871" s="373" t="s">
        <v>221</v>
      </c>
      <c r="D871" s="374" t="s">
        <v>139</v>
      </c>
      <c r="E871" s="375">
        <v>0.1</v>
      </c>
      <c r="F871" s="384">
        <v>0</v>
      </c>
      <c r="G871" s="376">
        <v>236654</v>
      </c>
      <c r="H871" s="377">
        <v>23665.4</v>
      </c>
      <c r="I871" s="385">
        <v>16</v>
      </c>
      <c r="J871" s="267"/>
      <c r="K871" s="260"/>
      <c r="L871" s="261"/>
      <c r="M871" s="261"/>
      <c r="N871" s="261"/>
    </row>
    <row r="872" spans="1:14" s="45" customFormat="1">
      <c r="A872" s="311" t="s">
        <v>143</v>
      </c>
      <c r="B872" s="263"/>
      <c r="C872" s="278"/>
      <c r="D872" s="279"/>
      <c r="E872" s="280"/>
      <c r="F872" s="309"/>
      <c r="G872" s="281" t="s">
        <v>144</v>
      </c>
      <c r="H872" s="287">
        <v>33285.4</v>
      </c>
      <c r="I872" s="310"/>
      <c r="J872" s="267"/>
      <c r="K872" s="260"/>
      <c r="L872" s="261"/>
      <c r="M872" s="261"/>
      <c r="N872" s="261"/>
    </row>
    <row r="873" spans="1:14" s="45" customFormat="1" ht="27" customHeight="1">
      <c r="A873" s="271" t="s">
        <v>145</v>
      </c>
      <c r="B873" s="263"/>
      <c r="C873" s="288" t="s">
        <v>146</v>
      </c>
      <c r="D873" s="279" t="s">
        <v>147</v>
      </c>
      <c r="E873" s="279" t="s">
        <v>148</v>
      </c>
      <c r="F873" s="312" t="s">
        <v>149</v>
      </c>
      <c r="G873" s="289" t="s">
        <v>150</v>
      </c>
      <c r="H873" s="290" t="s">
        <v>151</v>
      </c>
      <c r="I873" s="310"/>
      <c r="J873" s="267"/>
      <c r="K873" s="260"/>
      <c r="L873" s="261"/>
      <c r="M873" s="261"/>
      <c r="N873" s="261"/>
    </row>
    <row r="874" spans="1:14" s="45" customFormat="1">
      <c r="A874" s="271">
        <v>200009</v>
      </c>
      <c r="B874" s="263" t="s">
        <v>146</v>
      </c>
      <c r="C874" s="373" t="s">
        <v>186</v>
      </c>
      <c r="D874" s="367">
        <v>98063</v>
      </c>
      <c r="E874" s="368">
        <v>1.85</v>
      </c>
      <c r="F874" s="369">
        <v>181416</v>
      </c>
      <c r="G874" s="370">
        <v>40</v>
      </c>
      <c r="H874" s="377">
        <v>4535.3999999999996</v>
      </c>
      <c r="I874" s="385">
        <v>4</v>
      </c>
      <c r="J874" s="267"/>
      <c r="K874" s="260"/>
      <c r="L874" s="261"/>
      <c r="M874" s="261"/>
      <c r="N874" s="261"/>
    </row>
    <row r="875" spans="1:14" s="45" customFormat="1">
      <c r="A875" s="311" t="s">
        <v>153</v>
      </c>
      <c r="B875" s="263"/>
      <c r="C875" s="278"/>
      <c r="D875" s="279"/>
      <c r="E875" s="280"/>
      <c r="F875" s="309"/>
      <c r="G875" s="281" t="s">
        <v>154</v>
      </c>
      <c r="H875" s="287">
        <v>4535.3999999999996</v>
      </c>
      <c r="I875" s="310"/>
      <c r="J875" s="267"/>
      <c r="K875" s="260"/>
      <c r="L875" s="261"/>
      <c r="M875" s="261"/>
      <c r="N875" s="261"/>
    </row>
    <row r="876" spans="1:14" s="45" customFormat="1">
      <c r="A876" s="271" t="s">
        <v>155</v>
      </c>
      <c r="B876" s="263"/>
      <c r="C876" s="295" t="s">
        <v>156</v>
      </c>
      <c r="D876" s="279"/>
      <c r="E876" s="280"/>
      <c r="F876" s="309"/>
      <c r="G876" s="281"/>
      <c r="H876" s="282"/>
      <c r="I876" s="310"/>
      <c r="J876" s="267"/>
      <c r="K876" s="260"/>
      <c r="L876" s="261"/>
      <c r="M876" s="261"/>
      <c r="N876" s="261"/>
    </row>
    <row r="877" spans="1:14" s="45" customFormat="1">
      <c r="A877" s="271">
        <v>300026</v>
      </c>
      <c r="B877" s="263" t="s">
        <v>156</v>
      </c>
      <c r="C877" s="373" t="s">
        <v>157</v>
      </c>
      <c r="D877" s="374" t="s">
        <v>158</v>
      </c>
      <c r="E877" s="368">
        <v>0.05</v>
      </c>
      <c r="F877" s="384">
        <v>0</v>
      </c>
      <c r="G877" s="376">
        <v>4535.3999999999996</v>
      </c>
      <c r="H877" s="377">
        <v>226.77</v>
      </c>
      <c r="I877" s="385">
        <v>36283.200000000004</v>
      </c>
      <c r="J877" s="267"/>
      <c r="K877" s="260"/>
      <c r="L877" s="261"/>
      <c r="M877" s="261"/>
      <c r="N877" s="261"/>
    </row>
    <row r="878" spans="1:14" s="45" customFormat="1">
      <c r="A878" s="311" t="s">
        <v>159</v>
      </c>
      <c r="B878" s="263"/>
      <c r="C878" s="278"/>
      <c r="D878" s="279"/>
      <c r="E878" s="280"/>
      <c r="F878" s="309"/>
      <c r="G878" s="281" t="s">
        <v>160</v>
      </c>
      <c r="H878" s="287">
        <v>226.77</v>
      </c>
      <c r="I878" s="310"/>
      <c r="J878" s="267"/>
      <c r="K878" s="260"/>
      <c r="L878" s="261"/>
      <c r="M878" s="261"/>
      <c r="N878" s="261"/>
    </row>
    <row r="879" spans="1:14" s="45" customFormat="1">
      <c r="A879" s="311"/>
      <c r="B879" s="297"/>
      <c r="C879" s="278"/>
      <c r="D879" s="279"/>
      <c r="E879" s="280"/>
      <c r="F879" s="309"/>
      <c r="G879" s="281"/>
      <c r="H879" s="282"/>
      <c r="I879" s="328"/>
      <c r="J879" s="267"/>
      <c r="K879" s="260"/>
      <c r="L879" s="261"/>
      <c r="M879" s="261"/>
      <c r="N879" s="261"/>
    </row>
    <row r="880" spans="1:14" s="45" customFormat="1" ht="15.75" thickBot="1">
      <c r="A880" s="311" t="s">
        <v>26</v>
      </c>
      <c r="B880" s="297"/>
      <c r="C880" s="299"/>
      <c r="D880" s="347"/>
      <c r="E880" s="348"/>
      <c r="F880" s="386" t="s">
        <v>161</v>
      </c>
      <c r="G880" s="350">
        <v>38047.57</v>
      </c>
      <c r="H880" s="351">
        <v>38048</v>
      </c>
      <c r="I880" s="305"/>
      <c r="J880" s="267"/>
      <c r="K880" s="260"/>
      <c r="L880" s="261"/>
      <c r="M880" s="261"/>
      <c r="N880" s="261"/>
    </row>
    <row r="881" spans="1:14" s="45" customFormat="1" ht="15.75" hidden="1" thickTop="1">
      <c r="A881" s="311" t="s">
        <v>188</v>
      </c>
      <c r="B881" s="297"/>
      <c r="C881" s="314" t="s">
        <v>96</v>
      </c>
      <c r="D881" s="315"/>
      <c r="E881" s="316"/>
      <c r="F881" s="317"/>
      <c r="G881" s="318"/>
      <c r="H881" s="319"/>
      <c r="I881" s="310"/>
      <c r="J881" s="267"/>
      <c r="K881" s="260"/>
      <c r="L881" s="261"/>
      <c r="M881" s="261"/>
      <c r="N881" s="261"/>
    </row>
    <row r="882" spans="1:14" s="45" customFormat="1" ht="15.75" hidden="1" thickTop="1">
      <c r="A882" s="271" t="s">
        <v>99</v>
      </c>
      <c r="B882" s="297"/>
      <c r="C882" s="352" t="s">
        <v>100</v>
      </c>
      <c r="D882" s="353"/>
      <c r="E882" s="354"/>
      <c r="F882" s="372">
        <v>0.185</v>
      </c>
      <c r="G882" s="355"/>
      <c r="H882" s="356">
        <v>7038.88</v>
      </c>
      <c r="I882" s="310"/>
      <c r="J882" s="267"/>
      <c r="K882" s="260"/>
      <c r="L882" s="261"/>
      <c r="M882" s="261"/>
      <c r="N882" s="261"/>
    </row>
    <row r="883" spans="1:14" s="45" customFormat="1" ht="15.75" hidden="1" thickTop="1">
      <c r="A883" s="271" t="s">
        <v>189</v>
      </c>
      <c r="B883" s="297"/>
      <c r="C883" s="352" t="s">
        <v>102</v>
      </c>
      <c r="D883" s="353"/>
      <c r="E883" s="354"/>
      <c r="F883" s="372">
        <v>0.05</v>
      </c>
      <c r="G883" s="355"/>
      <c r="H883" s="356">
        <v>1902.4</v>
      </c>
      <c r="I883" s="310"/>
      <c r="J883" s="267"/>
      <c r="K883" s="260"/>
      <c r="L883" s="261"/>
      <c r="M883" s="261"/>
      <c r="N883" s="261"/>
    </row>
    <row r="884" spans="1:14" s="45" customFormat="1" ht="15.75" hidden="1" thickTop="1">
      <c r="A884" s="271" t="s">
        <v>103</v>
      </c>
      <c r="B884" s="297"/>
      <c r="C884" s="352" t="s">
        <v>104</v>
      </c>
      <c r="D884" s="353"/>
      <c r="E884" s="354"/>
      <c r="F884" s="372">
        <v>0.08</v>
      </c>
      <c r="G884" s="355"/>
      <c r="H884" s="356">
        <v>3043.84</v>
      </c>
      <c r="I884" s="310"/>
      <c r="J884" s="267"/>
      <c r="K884" s="260"/>
      <c r="L884" s="261"/>
      <c r="M884" s="261"/>
      <c r="N884" s="261"/>
    </row>
    <row r="885" spans="1:14" s="45" customFormat="1" ht="15.75" hidden="1" thickTop="1">
      <c r="A885" s="271" t="s">
        <v>106</v>
      </c>
      <c r="B885" s="297"/>
      <c r="C885" s="352" t="s">
        <v>107</v>
      </c>
      <c r="D885" s="353"/>
      <c r="E885" s="354"/>
      <c r="F885" s="372">
        <v>0.16</v>
      </c>
      <c r="G885" s="355"/>
      <c r="H885" s="356">
        <v>487.01</v>
      </c>
      <c r="I885" s="310"/>
      <c r="J885" s="267"/>
      <c r="K885" s="260"/>
      <c r="L885" s="261"/>
      <c r="M885" s="261"/>
      <c r="N885" s="261"/>
    </row>
    <row r="886" spans="1:14" s="45" customFormat="1" ht="15.75" hidden="1" thickTop="1">
      <c r="A886" s="311" t="s">
        <v>190</v>
      </c>
      <c r="B886" s="297"/>
      <c r="C886" s="285" t="s">
        <v>191</v>
      </c>
      <c r="D886" s="279"/>
      <c r="E886" s="280"/>
      <c r="F886" s="309"/>
      <c r="G886" s="326"/>
      <c r="H886" s="327">
        <v>12472.130000000001</v>
      </c>
      <c r="I886" s="328">
        <v>-14560</v>
      </c>
      <c r="J886" s="267"/>
      <c r="K886" s="260"/>
      <c r="L886" s="261"/>
      <c r="M886" s="261"/>
      <c r="N886" s="261"/>
    </row>
    <row r="887" spans="1:14" s="45" customFormat="1" ht="16.5" hidden="1" thickTop="1" thickBot="1">
      <c r="A887" s="311" t="s">
        <v>192</v>
      </c>
      <c r="B887" s="297"/>
      <c r="C887" s="357"/>
      <c r="D887" s="358"/>
      <c r="E887" s="359"/>
      <c r="F887" s="386" t="s">
        <v>193</v>
      </c>
      <c r="G887" s="360">
        <v>50520.130000000005</v>
      </c>
      <c r="H887" s="351">
        <v>50520</v>
      </c>
      <c r="I887" s="305">
        <v>35960</v>
      </c>
      <c r="J887" s="267"/>
      <c r="K887" s="260"/>
      <c r="L887" s="261"/>
      <c r="M887" s="261"/>
      <c r="N887" s="261"/>
    </row>
    <row r="888" spans="1:14" s="45" customFormat="1" ht="15.75" thickTop="1">
      <c r="A888"/>
      <c r="B888"/>
      <c r="C888" s="19"/>
      <c r="D888" s="306"/>
      <c r="E888" s="19"/>
      <c r="F888" s="19"/>
      <c r="G888" s="19"/>
      <c r="H888" s="19"/>
      <c r="I888" s="260"/>
      <c r="J888" s="260"/>
      <c r="K888" s="260"/>
      <c r="L888" s="261"/>
      <c r="M888" s="261"/>
      <c r="N888" s="261"/>
    </row>
    <row r="889" spans="1:14" s="45" customFormat="1" ht="15.75" thickBot="1">
      <c r="A889"/>
      <c r="B889"/>
      <c r="C889" s="19"/>
      <c r="D889" s="306"/>
      <c r="E889" s="19"/>
      <c r="F889" s="19"/>
      <c r="G889" s="19"/>
      <c r="H889" s="19"/>
      <c r="I889" s="260"/>
      <c r="J889" s="260"/>
      <c r="K889" s="260"/>
      <c r="L889" s="261"/>
      <c r="M889" s="261"/>
      <c r="N889" s="261"/>
    </row>
    <row r="890" spans="1:14" s="45" customFormat="1" ht="12.95" customHeight="1" thickTop="1">
      <c r="A890" s="262" t="s">
        <v>347</v>
      </c>
      <c r="B890" s="263"/>
      <c r="C890" s="1651" t="s">
        <v>84</v>
      </c>
      <c r="D890" s="1652"/>
      <c r="E890" s="1652"/>
      <c r="F890" s="1652"/>
      <c r="G890" s="264"/>
      <c r="H890" s="265" t="s">
        <v>178</v>
      </c>
      <c r="I890" s="266" t="s">
        <v>126</v>
      </c>
      <c r="J890" s="267"/>
      <c r="K890" s="260"/>
      <c r="L890" s="261"/>
      <c r="M890" s="261"/>
      <c r="N890" s="261"/>
    </row>
    <row r="891" spans="1:14" s="45" customFormat="1" ht="12.95" customHeight="1">
      <c r="A891" s="262"/>
      <c r="B891" s="263"/>
      <c r="C891" s="1653"/>
      <c r="D891" s="1654"/>
      <c r="E891" s="1654"/>
      <c r="F891" s="1654"/>
      <c r="G891" s="268"/>
      <c r="H891" s="269" t="s">
        <v>179</v>
      </c>
      <c r="I891" s="270">
        <v>78</v>
      </c>
      <c r="J891" s="267"/>
      <c r="K891" s="260"/>
      <c r="L891" s="261"/>
      <c r="M891" s="261"/>
      <c r="N891" s="261"/>
    </row>
    <row r="892" spans="1:14" s="45" customFormat="1">
      <c r="A892" s="271" t="s">
        <v>128</v>
      </c>
      <c r="B892" s="263"/>
      <c r="C892" s="373" t="s">
        <v>21</v>
      </c>
      <c r="D892" s="374" t="s">
        <v>22</v>
      </c>
      <c r="E892" s="375" t="s">
        <v>23</v>
      </c>
      <c r="F892" s="375" t="s">
        <v>129</v>
      </c>
      <c r="G892" s="376" t="s">
        <v>130</v>
      </c>
      <c r="H892" s="377" t="s">
        <v>131</v>
      </c>
      <c r="I892" s="340"/>
      <c r="J892" s="267"/>
      <c r="K892" s="260"/>
      <c r="L892" s="261"/>
      <c r="M892" s="261"/>
      <c r="N892" s="261"/>
    </row>
    <row r="893" spans="1:14" s="45" customFormat="1">
      <c r="A893" s="271"/>
      <c r="B893" s="263"/>
      <c r="C893" s="278"/>
      <c r="D893" s="279"/>
      <c r="E893" s="280"/>
      <c r="F893" s="280"/>
      <c r="G893" s="281"/>
      <c r="H893" s="282"/>
      <c r="I893" s="283"/>
      <c r="J893" s="267"/>
      <c r="K893" s="260"/>
      <c r="L893" s="261"/>
      <c r="M893" s="261"/>
      <c r="N893" s="261"/>
    </row>
    <row r="894" spans="1:14" s="45" customFormat="1">
      <c r="A894" s="284" t="s">
        <v>132</v>
      </c>
      <c r="B894" s="263"/>
      <c r="C894" s="285" t="s">
        <v>133</v>
      </c>
      <c r="D894" s="279"/>
      <c r="E894" s="280"/>
      <c r="F894" s="280"/>
      <c r="G894" s="281"/>
      <c r="H894" s="282"/>
      <c r="I894" s="283"/>
      <c r="J894" s="267"/>
      <c r="K894" s="260"/>
      <c r="L894" s="261"/>
      <c r="M894" s="261"/>
      <c r="N894" s="261"/>
    </row>
    <row r="895" spans="1:14" s="45" customFormat="1">
      <c r="A895" s="284">
        <v>100209</v>
      </c>
      <c r="B895" s="263" t="s">
        <v>252</v>
      </c>
      <c r="C895" s="373" t="s">
        <v>327</v>
      </c>
      <c r="D895" s="374" t="s">
        <v>22</v>
      </c>
      <c r="E895" s="375">
        <v>6</v>
      </c>
      <c r="F895" s="375">
        <v>0</v>
      </c>
      <c r="G895" s="376">
        <v>43400</v>
      </c>
      <c r="H895" s="377">
        <v>260400</v>
      </c>
      <c r="I895" s="340">
        <v>468</v>
      </c>
      <c r="J895" s="267"/>
      <c r="K895" s="260"/>
      <c r="L895" s="261"/>
      <c r="M895" s="261"/>
      <c r="N895" s="261"/>
    </row>
    <row r="896" spans="1:14" s="45" customFormat="1">
      <c r="A896" s="284">
        <v>101080</v>
      </c>
      <c r="B896" s="263" t="s">
        <v>216</v>
      </c>
      <c r="C896" s="373" t="s">
        <v>328</v>
      </c>
      <c r="D896" s="374" t="s">
        <v>22</v>
      </c>
      <c r="E896" s="375">
        <v>3</v>
      </c>
      <c r="F896" s="375">
        <v>0</v>
      </c>
      <c r="G896" s="376">
        <v>32700</v>
      </c>
      <c r="H896" s="377">
        <v>98100</v>
      </c>
      <c r="I896" s="340">
        <v>234</v>
      </c>
      <c r="J896" s="267"/>
      <c r="K896" s="260"/>
      <c r="L896" s="261"/>
      <c r="M896" s="261"/>
      <c r="N896" s="261"/>
    </row>
    <row r="897" spans="1:14" s="45" customFormat="1">
      <c r="A897" s="284">
        <v>101289</v>
      </c>
      <c r="B897" s="263" t="s">
        <v>134</v>
      </c>
      <c r="C897" s="373" t="s">
        <v>329</v>
      </c>
      <c r="D897" s="374" t="s">
        <v>170</v>
      </c>
      <c r="E897" s="375">
        <v>0.4</v>
      </c>
      <c r="F897" s="375">
        <v>0</v>
      </c>
      <c r="G897" s="376">
        <v>34607</v>
      </c>
      <c r="H897" s="377">
        <v>13842.8</v>
      </c>
      <c r="I897" s="340">
        <v>31.200000000000003</v>
      </c>
      <c r="J897" s="267"/>
      <c r="K897" s="260"/>
      <c r="L897" s="261"/>
      <c r="M897" s="261"/>
      <c r="N897" s="261"/>
    </row>
    <row r="898" spans="1:14" s="45" customFormat="1">
      <c r="A898" s="284">
        <v>101506</v>
      </c>
      <c r="B898" s="263" t="s">
        <v>181</v>
      </c>
      <c r="C898" s="373" t="s">
        <v>330</v>
      </c>
      <c r="D898" s="374" t="s">
        <v>183</v>
      </c>
      <c r="E898" s="375">
        <v>1.5</v>
      </c>
      <c r="F898" s="375">
        <v>0</v>
      </c>
      <c r="G898" s="376">
        <v>2200</v>
      </c>
      <c r="H898" s="377">
        <v>3300</v>
      </c>
      <c r="I898" s="340">
        <v>117</v>
      </c>
      <c r="J898" s="267"/>
      <c r="K898" s="260"/>
      <c r="L898" s="261"/>
      <c r="M898" s="261"/>
      <c r="N898" s="261"/>
    </row>
    <row r="899" spans="1:14" s="45" customFormat="1">
      <c r="A899" s="284">
        <v>101253</v>
      </c>
      <c r="B899" s="263" t="s">
        <v>134</v>
      </c>
      <c r="C899" s="373" t="s">
        <v>331</v>
      </c>
      <c r="D899" s="374" t="s">
        <v>22</v>
      </c>
      <c r="E899" s="375">
        <v>1.8</v>
      </c>
      <c r="F899" s="375">
        <v>10</v>
      </c>
      <c r="G899" s="376">
        <v>17000</v>
      </c>
      <c r="H899" s="377">
        <v>33660</v>
      </c>
      <c r="I899" s="340">
        <v>154.44000000000003</v>
      </c>
      <c r="J899" s="267"/>
      <c r="K899" s="260"/>
      <c r="L899" s="261"/>
      <c r="M899" s="261"/>
      <c r="N899" s="261"/>
    </row>
    <row r="900" spans="1:14" s="45" customFormat="1">
      <c r="A900" s="284">
        <v>100543</v>
      </c>
      <c r="B900" s="263" t="s">
        <v>216</v>
      </c>
      <c r="C900" s="373" t="s">
        <v>332</v>
      </c>
      <c r="D900" s="374" t="s">
        <v>333</v>
      </c>
      <c r="E900" s="375">
        <v>26</v>
      </c>
      <c r="F900" s="375">
        <v>0</v>
      </c>
      <c r="G900" s="376">
        <v>4550</v>
      </c>
      <c r="H900" s="377">
        <v>118300</v>
      </c>
      <c r="I900" s="340">
        <v>2028</v>
      </c>
      <c r="J900" s="267"/>
      <c r="K900" s="260"/>
      <c r="L900" s="261"/>
      <c r="M900" s="261"/>
      <c r="N900" s="261"/>
    </row>
    <row r="901" spans="1:14" s="45" customFormat="1">
      <c r="A901" s="286" t="s">
        <v>143</v>
      </c>
      <c r="B901" s="263"/>
      <c r="C901" s="278"/>
      <c r="D901" s="279"/>
      <c r="E901" s="280"/>
      <c r="F901" s="280"/>
      <c r="G901" s="281" t="s">
        <v>144</v>
      </c>
      <c r="H901" s="287">
        <v>527602.80000000005</v>
      </c>
      <c r="I901" s="283"/>
      <c r="J901" s="267"/>
      <c r="K901" s="260"/>
      <c r="L901" s="261"/>
      <c r="M901" s="261"/>
      <c r="N901" s="261"/>
    </row>
    <row r="902" spans="1:14" s="45" customFormat="1" ht="27" customHeight="1">
      <c r="A902" s="284" t="s">
        <v>145</v>
      </c>
      <c r="B902" s="263"/>
      <c r="C902" s="288" t="s">
        <v>146</v>
      </c>
      <c r="D902" s="279" t="s">
        <v>147</v>
      </c>
      <c r="E902" s="279" t="s">
        <v>148</v>
      </c>
      <c r="F902" s="279" t="s">
        <v>149</v>
      </c>
      <c r="G902" s="289" t="s">
        <v>150</v>
      </c>
      <c r="H902" s="290" t="s">
        <v>151</v>
      </c>
      <c r="I902" s="283"/>
      <c r="J902" s="267"/>
      <c r="K902" s="260"/>
      <c r="L902" s="261"/>
      <c r="M902" s="261"/>
      <c r="N902" s="261"/>
    </row>
    <row r="903" spans="1:14" s="45" customFormat="1">
      <c r="A903" s="284">
        <v>200015</v>
      </c>
      <c r="B903" s="263" t="s">
        <v>146</v>
      </c>
      <c r="C903" s="373" t="s">
        <v>334</v>
      </c>
      <c r="D903" s="367">
        <v>80216</v>
      </c>
      <c r="E903" s="368">
        <v>1.85</v>
      </c>
      <c r="F903" s="369">
        <v>148399</v>
      </c>
      <c r="G903" s="370">
        <v>1.6</v>
      </c>
      <c r="H903" s="377">
        <v>92749.375</v>
      </c>
      <c r="I903" s="340">
        <v>48.75</v>
      </c>
      <c r="J903" s="267"/>
      <c r="K903" s="260"/>
      <c r="L903" s="261"/>
      <c r="M903" s="261"/>
      <c r="N903" s="261"/>
    </row>
    <row r="904" spans="1:14" s="45" customFormat="1">
      <c r="A904" s="284">
        <v>200017</v>
      </c>
      <c r="B904" s="263" t="s">
        <v>146</v>
      </c>
      <c r="C904" s="373" t="s">
        <v>335</v>
      </c>
      <c r="D904" s="367">
        <v>75762</v>
      </c>
      <c r="E904" s="368">
        <v>1.85</v>
      </c>
      <c r="F904" s="369">
        <v>140159</v>
      </c>
      <c r="G904" s="370">
        <v>0.72799999999999998</v>
      </c>
      <c r="H904" s="377">
        <v>192526.098</v>
      </c>
      <c r="I904" s="340">
        <v>107.14285714285714</v>
      </c>
      <c r="J904" s="267"/>
      <c r="K904" s="260"/>
      <c r="L904" s="261"/>
      <c r="M904" s="261"/>
      <c r="N904" s="261"/>
    </row>
    <row r="905" spans="1:14" s="45" customFormat="1">
      <c r="A905" s="286" t="s">
        <v>153</v>
      </c>
      <c r="B905" s="263"/>
      <c r="C905" s="278"/>
      <c r="D905" s="279"/>
      <c r="E905" s="280"/>
      <c r="F905" s="280"/>
      <c r="G905" s="281" t="s">
        <v>154</v>
      </c>
      <c r="H905" s="287">
        <v>285275.473</v>
      </c>
      <c r="I905" s="283"/>
      <c r="J905" s="267"/>
      <c r="K905" s="260"/>
      <c r="L905" s="261"/>
      <c r="M905" s="261"/>
      <c r="N905" s="261"/>
    </row>
    <row r="906" spans="1:14" s="45" customFormat="1">
      <c r="A906" s="284" t="s">
        <v>155</v>
      </c>
      <c r="B906" s="263"/>
      <c r="C906" s="295" t="s">
        <v>156</v>
      </c>
      <c r="D906" s="279"/>
      <c r="E906" s="280"/>
      <c r="F906" s="280"/>
      <c r="G906" s="281"/>
      <c r="H906" s="282"/>
      <c r="I906" s="283"/>
      <c r="J906" s="267"/>
      <c r="K906" s="260"/>
      <c r="L906" s="261"/>
      <c r="M906" s="261"/>
      <c r="N906" s="261"/>
    </row>
    <row r="907" spans="1:14" s="45" customFormat="1">
      <c r="A907" s="284">
        <v>300026</v>
      </c>
      <c r="B907" s="263" t="s">
        <v>156</v>
      </c>
      <c r="C907" s="373" t="s">
        <v>157</v>
      </c>
      <c r="D907" s="374" t="s">
        <v>158</v>
      </c>
      <c r="E907" s="368">
        <v>0.05</v>
      </c>
      <c r="F907" s="375">
        <v>0</v>
      </c>
      <c r="G907" s="376">
        <v>285275.473</v>
      </c>
      <c r="H907" s="377">
        <v>14263.77</v>
      </c>
      <c r="I907" s="340">
        <v>1112574.06</v>
      </c>
      <c r="J907" s="267"/>
      <c r="K907" s="260"/>
      <c r="L907" s="261"/>
      <c r="M907" s="261"/>
      <c r="N907" s="261"/>
    </row>
    <row r="908" spans="1:14" s="45" customFormat="1">
      <c r="A908" s="286" t="s">
        <v>159</v>
      </c>
      <c r="B908" s="263"/>
      <c r="C908" s="278"/>
      <c r="D908" s="279"/>
      <c r="E908" s="280"/>
      <c r="F908" s="280"/>
      <c r="G908" s="281" t="s">
        <v>160</v>
      </c>
      <c r="H908" s="287">
        <v>14263.77</v>
      </c>
      <c r="I908" s="283"/>
      <c r="J908" s="267"/>
      <c r="K908" s="260"/>
      <c r="L908" s="261"/>
      <c r="M908" s="261"/>
      <c r="N908" s="261"/>
    </row>
    <row r="909" spans="1:14" s="45" customFormat="1">
      <c r="A909" s="296"/>
      <c r="B909" s="297"/>
      <c r="C909" s="278"/>
      <c r="D909" s="279"/>
      <c r="E909" s="280"/>
      <c r="F909" s="280"/>
      <c r="G909" s="281"/>
      <c r="H909" s="282"/>
      <c r="I909" s="283"/>
      <c r="J909" s="267"/>
      <c r="K909" s="260"/>
      <c r="L909" s="261"/>
      <c r="M909" s="261"/>
      <c r="N909" s="261"/>
    </row>
    <row r="910" spans="1:14" s="45" customFormat="1" ht="15.75" thickBot="1">
      <c r="A910" s="296" t="s">
        <v>26</v>
      </c>
      <c r="B910" s="297"/>
      <c r="C910" s="299"/>
      <c r="D910" s="347"/>
      <c r="E910" s="348"/>
      <c r="F910" s="349" t="s">
        <v>161</v>
      </c>
      <c r="G910" s="350">
        <v>827142.04300000006</v>
      </c>
      <c r="H910" s="351">
        <v>827142</v>
      </c>
      <c r="I910" s="305"/>
      <c r="J910" s="267"/>
      <c r="K910" s="260"/>
      <c r="L910" s="261"/>
      <c r="M910" s="261"/>
      <c r="N910" s="261"/>
    </row>
    <row r="911" spans="1:14" s="45" customFormat="1" ht="15.75" hidden="1" thickTop="1">
      <c r="A911" s="296" t="s">
        <v>188</v>
      </c>
      <c r="B911" s="297"/>
      <c r="C911" s="314" t="s">
        <v>96</v>
      </c>
      <c r="D911" s="315"/>
      <c r="E911" s="316"/>
      <c r="F911" s="316"/>
      <c r="G911" s="318"/>
      <c r="H911" s="319"/>
      <c r="I911" s="283"/>
      <c r="J911" s="267"/>
      <c r="K911" s="260"/>
      <c r="L911" s="261"/>
      <c r="M911" s="261"/>
      <c r="N911" s="261"/>
    </row>
    <row r="912" spans="1:14" s="45" customFormat="1" ht="15.75" hidden="1" thickTop="1">
      <c r="A912" s="284" t="s">
        <v>99</v>
      </c>
      <c r="B912" s="297"/>
      <c r="C912" s="352" t="s">
        <v>100</v>
      </c>
      <c r="D912" s="353"/>
      <c r="E912" s="354"/>
      <c r="F912" s="372">
        <v>0.185</v>
      </c>
      <c r="G912" s="355"/>
      <c r="H912" s="356">
        <v>153021.26999999999</v>
      </c>
      <c r="I912" s="283"/>
      <c r="J912" s="267"/>
      <c r="K912" s="260"/>
      <c r="L912" s="261"/>
      <c r="M912" s="261"/>
      <c r="N912" s="261"/>
    </row>
    <row r="913" spans="1:14" s="45" customFormat="1" ht="15.75" hidden="1" thickTop="1">
      <c r="A913" s="284" t="s">
        <v>189</v>
      </c>
      <c r="B913" s="297"/>
      <c r="C913" s="352" t="s">
        <v>102</v>
      </c>
      <c r="D913" s="353"/>
      <c r="E913" s="354"/>
      <c r="F913" s="372">
        <v>0.05</v>
      </c>
      <c r="G913" s="355"/>
      <c r="H913" s="356">
        <v>41357.1</v>
      </c>
      <c r="I913" s="283"/>
      <c r="J913" s="267"/>
      <c r="K913" s="260"/>
      <c r="L913" s="261"/>
      <c r="M913" s="261"/>
      <c r="N913" s="261"/>
    </row>
    <row r="914" spans="1:14" s="45" customFormat="1" ht="15.75" hidden="1" thickTop="1">
      <c r="A914" s="284" t="s">
        <v>103</v>
      </c>
      <c r="B914" s="297"/>
      <c r="C914" s="352" t="s">
        <v>104</v>
      </c>
      <c r="D914" s="353"/>
      <c r="E914" s="354"/>
      <c r="F914" s="372">
        <v>0.08</v>
      </c>
      <c r="G914" s="355"/>
      <c r="H914" s="356">
        <v>66171.360000000001</v>
      </c>
      <c r="I914" s="283"/>
      <c r="J914" s="267"/>
      <c r="K914" s="260"/>
      <c r="L914" s="261"/>
      <c r="M914" s="261"/>
      <c r="N914" s="261"/>
    </row>
    <row r="915" spans="1:14" s="45" customFormat="1" ht="15.75" hidden="1" thickTop="1">
      <c r="A915" s="284" t="s">
        <v>106</v>
      </c>
      <c r="B915" s="297"/>
      <c r="C915" s="352" t="s">
        <v>107</v>
      </c>
      <c r="D915" s="353"/>
      <c r="E915" s="354"/>
      <c r="F915" s="372">
        <v>0.16</v>
      </c>
      <c r="G915" s="355"/>
      <c r="H915" s="356">
        <v>10587.42</v>
      </c>
      <c r="I915" s="283"/>
      <c r="J915" s="267"/>
      <c r="K915" s="260"/>
      <c r="L915" s="261"/>
      <c r="M915" s="261"/>
      <c r="N915" s="261"/>
    </row>
    <row r="916" spans="1:14" s="45" customFormat="1" ht="15.75" hidden="1" thickTop="1">
      <c r="A916" s="296" t="s">
        <v>190</v>
      </c>
      <c r="B916" s="297"/>
      <c r="C916" s="285" t="s">
        <v>191</v>
      </c>
      <c r="D916" s="279"/>
      <c r="E916" s="280"/>
      <c r="F916" s="280"/>
      <c r="G916" s="326"/>
      <c r="H916" s="327">
        <v>271137.14999999997</v>
      </c>
      <c r="I916" s="298">
        <v>-1098279</v>
      </c>
      <c r="J916" s="267"/>
      <c r="K916" s="260"/>
      <c r="L916" s="261"/>
      <c r="M916" s="261"/>
      <c r="N916" s="261"/>
    </row>
    <row r="917" spans="1:14" s="45" customFormat="1" ht="16.5" hidden="1" thickTop="1" thickBot="1">
      <c r="A917" s="296" t="s">
        <v>192</v>
      </c>
      <c r="B917" s="297"/>
      <c r="C917" s="357"/>
      <c r="D917" s="358"/>
      <c r="E917" s="359"/>
      <c r="F917" s="349" t="s">
        <v>193</v>
      </c>
      <c r="G917" s="360">
        <v>1098279.1499999999</v>
      </c>
      <c r="H917" s="351">
        <v>1098279</v>
      </c>
      <c r="I917" s="305"/>
      <c r="J917" s="267"/>
      <c r="K917" s="260"/>
      <c r="L917" s="261"/>
      <c r="M917" s="261"/>
      <c r="N917" s="261"/>
    </row>
    <row r="918" spans="1:14" s="45" customFormat="1" ht="15.75" thickTop="1">
      <c r="A918"/>
      <c r="B918"/>
      <c r="C918" s="19"/>
      <c r="D918" s="306"/>
      <c r="E918" s="19"/>
      <c r="F918" s="19"/>
      <c r="G918" s="19"/>
      <c r="H918" s="19"/>
      <c r="I918" s="260"/>
      <c r="J918" s="260"/>
      <c r="K918" s="260"/>
      <c r="L918" s="261"/>
      <c r="M918" s="261"/>
      <c r="N918" s="261"/>
    </row>
    <row r="919" spans="1:14" s="45" customFormat="1" ht="15.75" thickBot="1">
      <c r="A919"/>
      <c r="B919"/>
      <c r="C919" s="19"/>
      <c r="D919" s="306"/>
      <c r="E919" s="19"/>
      <c r="F919" s="19"/>
      <c r="G919" s="19"/>
      <c r="H919" s="19"/>
      <c r="I919" s="260"/>
      <c r="J919" s="260"/>
      <c r="K919" s="260"/>
      <c r="L919" s="261"/>
      <c r="M919" s="261"/>
      <c r="N919" s="261"/>
    </row>
    <row r="920" spans="1:14" s="45" customFormat="1" ht="12.95" customHeight="1" thickTop="1">
      <c r="A920" s="262" t="s">
        <v>348</v>
      </c>
      <c r="B920" s="263"/>
      <c r="C920" s="1651" t="s">
        <v>86</v>
      </c>
      <c r="D920" s="1652"/>
      <c r="E920" s="1652"/>
      <c r="F920" s="1652"/>
      <c r="G920" s="264"/>
      <c r="H920" s="265" t="s">
        <v>224</v>
      </c>
      <c r="I920" s="266" t="s">
        <v>126</v>
      </c>
      <c r="J920" s="267"/>
      <c r="K920" s="260"/>
      <c r="L920" s="261"/>
      <c r="M920" s="261"/>
      <c r="N920" s="261"/>
    </row>
    <row r="921" spans="1:14" s="45" customFormat="1" ht="12.95" customHeight="1">
      <c r="A921" s="262"/>
      <c r="B921" s="263"/>
      <c r="C921" s="1653"/>
      <c r="D921" s="1654"/>
      <c r="E921" s="1654"/>
      <c r="F921" s="1654"/>
      <c r="G921" s="268"/>
      <c r="H921" s="269" t="s">
        <v>179</v>
      </c>
      <c r="I921" s="270">
        <v>1000</v>
      </c>
      <c r="J921" s="267"/>
      <c r="K921" s="260"/>
      <c r="L921" s="261"/>
      <c r="M921" s="261"/>
      <c r="N921" s="261"/>
    </row>
    <row r="922" spans="1:14" s="45" customFormat="1">
      <c r="A922" s="271" t="s">
        <v>128</v>
      </c>
      <c r="B922" s="263"/>
      <c r="C922" s="373" t="s">
        <v>21</v>
      </c>
      <c r="D922" s="374" t="s">
        <v>22</v>
      </c>
      <c r="E922" s="375" t="s">
        <v>23</v>
      </c>
      <c r="F922" s="384" t="s">
        <v>129</v>
      </c>
      <c r="G922" s="376" t="s">
        <v>130</v>
      </c>
      <c r="H922" s="377" t="s">
        <v>131</v>
      </c>
      <c r="I922" s="385"/>
      <c r="J922" s="267"/>
      <c r="K922" s="260"/>
      <c r="L922" s="261"/>
      <c r="M922" s="261"/>
      <c r="N922" s="261"/>
    </row>
    <row r="923" spans="1:14" s="45" customFormat="1">
      <c r="A923" s="271"/>
      <c r="B923" s="263"/>
      <c r="C923" s="278"/>
      <c r="D923" s="279"/>
      <c r="E923" s="280"/>
      <c r="F923" s="309"/>
      <c r="G923" s="281"/>
      <c r="H923" s="282"/>
      <c r="I923" s="310"/>
      <c r="J923" s="267"/>
      <c r="K923" s="260"/>
      <c r="L923" s="261"/>
      <c r="M923" s="261"/>
      <c r="N923" s="261"/>
    </row>
    <row r="924" spans="1:14" s="45" customFormat="1">
      <c r="A924" s="271" t="s">
        <v>132</v>
      </c>
      <c r="B924" s="263"/>
      <c r="C924" s="285" t="s">
        <v>133</v>
      </c>
      <c r="D924" s="279"/>
      <c r="E924" s="280"/>
      <c r="F924" s="309"/>
      <c r="G924" s="281"/>
      <c r="H924" s="282"/>
      <c r="I924" s="310"/>
      <c r="J924" s="267"/>
      <c r="K924" s="260"/>
      <c r="L924" s="261"/>
      <c r="M924" s="261"/>
      <c r="N924" s="261"/>
    </row>
    <row r="925" spans="1:14" s="45" customFormat="1">
      <c r="A925" s="271">
        <v>101509</v>
      </c>
      <c r="B925" s="263" t="s">
        <v>181</v>
      </c>
      <c r="C925" s="373" t="s">
        <v>182</v>
      </c>
      <c r="D925" s="374" t="s">
        <v>183</v>
      </c>
      <c r="E925" s="375">
        <v>0.15</v>
      </c>
      <c r="F925" s="384">
        <v>0</v>
      </c>
      <c r="G925" s="376">
        <v>2000</v>
      </c>
      <c r="H925" s="377">
        <v>300</v>
      </c>
      <c r="I925" s="385">
        <v>150</v>
      </c>
      <c r="J925" s="267"/>
      <c r="K925" s="260"/>
      <c r="L925" s="261"/>
      <c r="M925" s="261"/>
      <c r="N925" s="261"/>
    </row>
    <row r="926" spans="1:14" s="45" customFormat="1">
      <c r="A926" s="271">
        <v>101717</v>
      </c>
      <c r="B926" s="263" t="s">
        <v>216</v>
      </c>
      <c r="C926" s="373" t="s">
        <v>219</v>
      </c>
      <c r="D926" s="374" t="s">
        <v>22</v>
      </c>
      <c r="E926" s="375">
        <v>0.7</v>
      </c>
      <c r="F926" s="384">
        <v>0</v>
      </c>
      <c r="G926" s="376">
        <v>8000</v>
      </c>
      <c r="H926" s="377">
        <v>5600</v>
      </c>
      <c r="I926" s="385">
        <v>700</v>
      </c>
      <c r="J926" s="267"/>
      <c r="K926" s="260"/>
      <c r="L926" s="261"/>
      <c r="M926" s="261"/>
      <c r="N926" s="261"/>
    </row>
    <row r="927" spans="1:14" s="45" customFormat="1">
      <c r="A927" s="271">
        <v>102387</v>
      </c>
      <c r="B927" s="263" t="s">
        <v>216</v>
      </c>
      <c r="C927" s="373" t="s">
        <v>225</v>
      </c>
      <c r="D927" s="374" t="s">
        <v>22</v>
      </c>
      <c r="E927" s="375">
        <v>0.5</v>
      </c>
      <c r="F927" s="384">
        <v>0</v>
      </c>
      <c r="G927" s="376">
        <v>2400</v>
      </c>
      <c r="H927" s="377">
        <v>1200</v>
      </c>
      <c r="I927" s="385">
        <v>500</v>
      </c>
      <c r="J927" s="267"/>
      <c r="K927" s="260"/>
      <c r="L927" s="261"/>
      <c r="M927" s="261"/>
      <c r="N927" s="261"/>
    </row>
    <row r="928" spans="1:14" s="45" customFormat="1">
      <c r="A928" s="311" t="s">
        <v>220</v>
      </c>
      <c r="B928" s="263" t="s">
        <v>210</v>
      </c>
      <c r="C928" s="373" t="s">
        <v>221</v>
      </c>
      <c r="D928" s="374" t="s">
        <v>139</v>
      </c>
      <c r="E928" s="375">
        <v>2.4E-2</v>
      </c>
      <c r="F928" s="384">
        <v>0</v>
      </c>
      <c r="G928" s="376">
        <v>236654</v>
      </c>
      <c r="H928" s="377">
        <v>5679.69</v>
      </c>
      <c r="I928" s="385">
        <v>24</v>
      </c>
      <c r="J928" s="267"/>
      <c r="K928" s="260"/>
      <c r="L928" s="261"/>
      <c r="M928" s="261"/>
      <c r="N928" s="261"/>
    </row>
    <row r="929" spans="1:14" s="45" customFormat="1">
      <c r="A929" s="311" t="s">
        <v>143</v>
      </c>
      <c r="B929" s="263"/>
      <c r="C929" s="278"/>
      <c r="D929" s="279"/>
      <c r="E929" s="280"/>
      <c r="F929" s="309"/>
      <c r="G929" s="281" t="s">
        <v>144</v>
      </c>
      <c r="H929" s="287">
        <v>12779.689999999999</v>
      </c>
      <c r="I929" s="310"/>
      <c r="J929" s="267"/>
      <c r="K929" s="260"/>
      <c r="L929" s="261"/>
      <c r="M929" s="261"/>
      <c r="N929" s="261"/>
    </row>
    <row r="930" spans="1:14" s="45" customFormat="1" ht="27" customHeight="1">
      <c r="A930" s="271" t="s">
        <v>145</v>
      </c>
      <c r="B930" s="263"/>
      <c r="C930" s="288" t="s">
        <v>146</v>
      </c>
      <c r="D930" s="279" t="s">
        <v>147</v>
      </c>
      <c r="E930" s="279" t="s">
        <v>148</v>
      </c>
      <c r="F930" s="312" t="s">
        <v>149</v>
      </c>
      <c r="G930" s="289" t="s">
        <v>150</v>
      </c>
      <c r="H930" s="290" t="s">
        <v>151</v>
      </c>
      <c r="I930" s="310"/>
      <c r="J930" s="267"/>
      <c r="K930" s="260"/>
      <c r="L930" s="261"/>
      <c r="M930" s="261"/>
      <c r="N930" s="261"/>
    </row>
    <row r="931" spans="1:14" s="45" customFormat="1">
      <c r="A931" s="271">
        <v>200007</v>
      </c>
      <c r="B931" s="263" t="s">
        <v>146</v>
      </c>
      <c r="C931" s="373" t="s">
        <v>212</v>
      </c>
      <c r="D931" s="367">
        <v>71304</v>
      </c>
      <c r="E931" s="368">
        <v>1.85</v>
      </c>
      <c r="F931" s="369">
        <v>131912</v>
      </c>
      <c r="G931" s="370">
        <v>16</v>
      </c>
      <c r="H931" s="377">
        <v>8244.5</v>
      </c>
      <c r="I931" s="385">
        <v>62.5</v>
      </c>
      <c r="J931" s="267"/>
      <c r="K931" s="260"/>
      <c r="L931" s="261"/>
      <c r="M931" s="261"/>
      <c r="N931" s="261"/>
    </row>
    <row r="932" spans="1:14" s="45" customFormat="1">
      <c r="A932" s="311" t="s">
        <v>153</v>
      </c>
      <c r="B932" s="263"/>
      <c r="C932" s="278"/>
      <c r="D932" s="279"/>
      <c r="E932" s="280"/>
      <c r="F932" s="309"/>
      <c r="G932" s="281" t="s">
        <v>154</v>
      </c>
      <c r="H932" s="287">
        <v>8244.5</v>
      </c>
      <c r="I932" s="310"/>
      <c r="J932" s="267"/>
      <c r="K932" s="260"/>
      <c r="L932" s="261"/>
      <c r="M932" s="261"/>
      <c r="N932" s="261"/>
    </row>
    <row r="933" spans="1:14" s="45" customFormat="1">
      <c r="A933" s="271" t="s">
        <v>155</v>
      </c>
      <c r="B933" s="263"/>
      <c r="C933" s="295" t="s">
        <v>156</v>
      </c>
      <c r="D933" s="279"/>
      <c r="E933" s="280"/>
      <c r="F933" s="309"/>
      <c r="G933" s="281"/>
      <c r="H933" s="282"/>
      <c r="I933" s="310"/>
      <c r="J933" s="267"/>
      <c r="K933" s="260"/>
      <c r="L933" s="261"/>
      <c r="M933" s="261"/>
      <c r="N933" s="261"/>
    </row>
    <row r="934" spans="1:14" s="45" customFormat="1">
      <c r="A934" s="271">
        <v>307002</v>
      </c>
      <c r="B934" s="263" t="s">
        <v>156</v>
      </c>
      <c r="C934" s="373" t="s">
        <v>222</v>
      </c>
      <c r="D934" s="374" t="s">
        <v>139</v>
      </c>
      <c r="E934" s="375">
        <v>3.5999999999999997E-2</v>
      </c>
      <c r="F934" s="384">
        <v>0</v>
      </c>
      <c r="G934" s="376">
        <v>7000</v>
      </c>
      <c r="H934" s="377">
        <v>252</v>
      </c>
      <c r="I934" s="385">
        <v>36</v>
      </c>
      <c r="J934" s="267"/>
      <c r="K934" s="260"/>
      <c r="L934" s="261"/>
      <c r="M934" s="261"/>
      <c r="N934" s="261"/>
    </row>
    <row r="935" spans="1:14" s="45" customFormat="1">
      <c r="A935" s="271">
        <v>300026</v>
      </c>
      <c r="B935" s="263" t="s">
        <v>156</v>
      </c>
      <c r="C935" s="373" t="s">
        <v>157</v>
      </c>
      <c r="D935" s="374" t="s">
        <v>158</v>
      </c>
      <c r="E935" s="368">
        <v>0.05</v>
      </c>
      <c r="F935" s="384">
        <v>0</v>
      </c>
      <c r="G935" s="376">
        <v>8244.5</v>
      </c>
      <c r="H935" s="377">
        <v>412.22</v>
      </c>
      <c r="I935" s="385">
        <v>412220</v>
      </c>
      <c r="J935" s="267"/>
      <c r="K935" s="260"/>
      <c r="L935" s="261"/>
      <c r="M935" s="261"/>
      <c r="N935" s="261"/>
    </row>
    <row r="936" spans="1:14" s="45" customFormat="1">
      <c r="A936" s="271">
        <v>300002</v>
      </c>
      <c r="B936" s="263" t="s">
        <v>156</v>
      </c>
      <c r="C936" s="373" t="s">
        <v>213</v>
      </c>
      <c r="D936" s="374" t="s">
        <v>214</v>
      </c>
      <c r="E936" s="375">
        <v>0.1</v>
      </c>
      <c r="F936" s="384">
        <v>0</v>
      </c>
      <c r="G936" s="376">
        <v>714</v>
      </c>
      <c r="H936" s="377">
        <v>71.400000000000006</v>
      </c>
      <c r="I936" s="385">
        <v>100</v>
      </c>
      <c r="J936" s="267"/>
      <c r="K936" s="260"/>
      <c r="L936" s="261"/>
      <c r="M936" s="261"/>
      <c r="N936" s="261"/>
    </row>
    <row r="937" spans="1:14" s="45" customFormat="1">
      <c r="A937" s="311" t="s">
        <v>159</v>
      </c>
      <c r="B937" s="263"/>
      <c r="C937" s="278"/>
      <c r="D937" s="279"/>
      <c r="E937" s="280"/>
      <c r="F937" s="309"/>
      <c r="G937" s="281" t="s">
        <v>160</v>
      </c>
      <c r="H937" s="287">
        <v>735.62</v>
      </c>
      <c r="I937" s="310"/>
      <c r="J937" s="267"/>
      <c r="K937" s="260"/>
      <c r="L937" s="261"/>
      <c r="M937" s="261"/>
      <c r="N937" s="261"/>
    </row>
    <row r="938" spans="1:14" s="45" customFormat="1">
      <c r="A938" s="311"/>
      <c r="B938" s="297"/>
      <c r="C938" s="278"/>
      <c r="D938" s="279"/>
      <c r="E938" s="280"/>
      <c r="F938" s="309"/>
      <c r="G938" s="281"/>
      <c r="H938" s="282"/>
      <c r="I938" s="310"/>
      <c r="J938" s="267"/>
      <c r="K938" s="260"/>
      <c r="L938" s="261"/>
      <c r="M938" s="261"/>
      <c r="N938" s="261"/>
    </row>
    <row r="939" spans="1:14" s="45" customFormat="1" ht="15.75" thickBot="1">
      <c r="A939" s="311" t="s">
        <v>26</v>
      </c>
      <c r="B939" s="297"/>
      <c r="C939" s="299"/>
      <c r="D939" s="347"/>
      <c r="E939" s="348"/>
      <c r="F939" s="386" t="s">
        <v>161</v>
      </c>
      <c r="G939" s="350">
        <v>21759.81</v>
      </c>
      <c r="H939" s="351">
        <v>21760</v>
      </c>
      <c r="I939" s="305"/>
      <c r="J939" s="267"/>
      <c r="K939" s="260"/>
      <c r="L939" s="261"/>
      <c r="M939" s="261"/>
      <c r="N939" s="261"/>
    </row>
    <row r="940" spans="1:14" s="45" customFormat="1" ht="15.75" hidden="1" thickTop="1">
      <c r="A940" s="311" t="s">
        <v>188</v>
      </c>
      <c r="B940" s="297"/>
      <c r="C940" s="314" t="s">
        <v>96</v>
      </c>
      <c r="D940" s="315"/>
      <c r="E940" s="316"/>
      <c r="F940" s="317"/>
      <c r="G940" s="318"/>
      <c r="H940" s="319"/>
      <c r="I940" s="310"/>
      <c r="J940" s="267"/>
      <c r="K940" s="260"/>
      <c r="L940" s="261"/>
      <c r="M940" s="261"/>
      <c r="N940" s="261"/>
    </row>
    <row r="941" spans="1:14" s="45" customFormat="1" ht="15.75" hidden="1" thickTop="1">
      <c r="A941" s="271" t="s">
        <v>99</v>
      </c>
      <c r="B941" s="297"/>
      <c r="C941" s="352" t="s">
        <v>100</v>
      </c>
      <c r="D941" s="353"/>
      <c r="E941" s="354"/>
      <c r="F941" s="372">
        <v>0.185</v>
      </c>
      <c r="G941" s="355"/>
      <c r="H941" s="356">
        <v>4025.6</v>
      </c>
      <c r="I941" s="310"/>
      <c r="J941" s="267"/>
      <c r="K941" s="260"/>
      <c r="L941" s="261"/>
      <c r="M941" s="261"/>
      <c r="N941" s="261"/>
    </row>
    <row r="942" spans="1:14" s="45" customFormat="1" ht="15.75" hidden="1" thickTop="1">
      <c r="A942" s="271" t="s">
        <v>189</v>
      </c>
      <c r="B942" s="297"/>
      <c r="C942" s="352" t="s">
        <v>102</v>
      </c>
      <c r="D942" s="353"/>
      <c r="E942" s="354"/>
      <c r="F942" s="372">
        <v>0.05</v>
      </c>
      <c r="G942" s="355"/>
      <c r="H942" s="356">
        <v>1088</v>
      </c>
      <c r="I942" s="310"/>
      <c r="J942" s="267"/>
      <c r="K942" s="260"/>
      <c r="L942" s="261"/>
      <c r="M942" s="261"/>
      <c r="N942" s="261"/>
    </row>
    <row r="943" spans="1:14" s="45" customFormat="1" ht="15.75" hidden="1" thickTop="1">
      <c r="A943" s="271" t="s">
        <v>103</v>
      </c>
      <c r="B943" s="297"/>
      <c r="C943" s="352" t="s">
        <v>104</v>
      </c>
      <c r="D943" s="353"/>
      <c r="E943" s="354"/>
      <c r="F943" s="372">
        <v>0.08</v>
      </c>
      <c r="G943" s="355"/>
      <c r="H943" s="356">
        <v>1740.8</v>
      </c>
      <c r="I943" s="310"/>
      <c r="J943" s="267"/>
      <c r="K943" s="260"/>
      <c r="L943" s="261"/>
      <c r="M943" s="261"/>
      <c r="N943" s="261"/>
    </row>
    <row r="944" spans="1:14" s="45" customFormat="1" ht="15.75" hidden="1" thickTop="1">
      <c r="A944" s="271" t="s">
        <v>106</v>
      </c>
      <c r="B944" s="297"/>
      <c r="C944" s="352" t="s">
        <v>107</v>
      </c>
      <c r="D944" s="353"/>
      <c r="E944" s="354"/>
      <c r="F944" s="372">
        <v>0.16</v>
      </c>
      <c r="G944" s="355"/>
      <c r="H944" s="356">
        <v>278.52999999999997</v>
      </c>
      <c r="I944" s="310"/>
      <c r="J944" s="267"/>
      <c r="K944" s="260"/>
      <c r="L944" s="261"/>
      <c r="M944" s="261"/>
      <c r="N944" s="261"/>
    </row>
    <row r="945" spans="1:14" s="45" customFormat="1" ht="15.75" hidden="1" thickTop="1">
      <c r="A945" s="311" t="s">
        <v>190</v>
      </c>
      <c r="B945" s="297"/>
      <c r="C945" s="285" t="s">
        <v>191</v>
      </c>
      <c r="D945" s="279"/>
      <c r="E945" s="280"/>
      <c r="F945" s="309"/>
      <c r="G945" s="326"/>
      <c r="H945" s="327">
        <v>7132.93</v>
      </c>
      <c r="I945" s="328">
        <v>-9113</v>
      </c>
      <c r="J945" s="267"/>
      <c r="K945" s="260"/>
      <c r="L945" s="261"/>
      <c r="M945" s="261"/>
      <c r="N945" s="261"/>
    </row>
    <row r="946" spans="1:14" s="45" customFormat="1" ht="16.5" hidden="1" thickTop="1" thickBot="1">
      <c r="A946" s="311" t="s">
        <v>192</v>
      </c>
      <c r="B946" s="297"/>
      <c r="C946" s="357"/>
      <c r="D946" s="358"/>
      <c r="E946" s="359"/>
      <c r="F946" s="386" t="s">
        <v>193</v>
      </c>
      <c r="G946" s="360">
        <v>28892.93</v>
      </c>
      <c r="H946" s="351">
        <v>28893</v>
      </c>
      <c r="I946" s="305">
        <v>19780</v>
      </c>
      <c r="J946" s="267"/>
      <c r="K946" s="260"/>
      <c r="L946" s="261"/>
      <c r="M946" s="261"/>
      <c r="N946" s="261"/>
    </row>
    <row r="947" spans="1:14" s="45" customFormat="1" ht="15.75" thickTop="1">
      <c r="A947"/>
      <c r="B947"/>
      <c r="C947" s="19"/>
      <c r="D947" s="306"/>
      <c r="E947" s="19"/>
      <c r="F947" s="19"/>
      <c r="G947" s="19"/>
      <c r="H947" s="19"/>
      <c r="I947" s="260"/>
      <c r="J947" s="260"/>
      <c r="K947" s="260"/>
      <c r="L947" s="261"/>
      <c r="M947" s="261"/>
      <c r="N947" s="261"/>
    </row>
    <row r="948" spans="1:14" s="45" customFormat="1" ht="15.75" thickBot="1">
      <c r="A948"/>
      <c r="B948"/>
      <c r="C948" s="19"/>
      <c r="D948" s="306"/>
      <c r="E948" s="19"/>
      <c r="F948" s="19"/>
      <c r="G948" s="19"/>
      <c r="H948" s="19"/>
      <c r="I948" s="260"/>
      <c r="J948" s="260"/>
      <c r="K948" s="260"/>
      <c r="L948" s="261"/>
      <c r="M948" s="261"/>
      <c r="N948" s="261"/>
    </row>
    <row r="949" spans="1:14" s="45" customFormat="1" ht="12.95" customHeight="1" thickTop="1">
      <c r="A949" s="262" t="s">
        <v>349</v>
      </c>
      <c r="B949" s="263"/>
      <c r="C949" s="1651" t="s">
        <v>87</v>
      </c>
      <c r="D949" s="1652"/>
      <c r="E949" s="1652"/>
      <c r="F949" s="1652"/>
      <c r="G949" s="264"/>
      <c r="H949" s="265" t="s">
        <v>178</v>
      </c>
      <c r="I949" s="266" t="s">
        <v>126</v>
      </c>
      <c r="J949" s="267"/>
      <c r="K949" s="260"/>
      <c r="L949" s="261"/>
      <c r="M949" s="261"/>
      <c r="N949" s="261"/>
    </row>
    <row r="950" spans="1:14" s="45" customFormat="1" ht="12.95" customHeight="1">
      <c r="A950" s="262"/>
      <c r="B950" s="263"/>
      <c r="C950" s="1653"/>
      <c r="D950" s="1654"/>
      <c r="E950" s="1654"/>
      <c r="F950" s="1654"/>
      <c r="G950" s="268"/>
      <c r="H950" s="269" t="s">
        <v>179</v>
      </c>
      <c r="I950" s="270">
        <v>2000</v>
      </c>
      <c r="J950" s="267"/>
      <c r="K950" s="260"/>
      <c r="L950" s="261"/>
      <c r="M950" s="261"/>
      <c r="N950" s="261"/>
    </row>
    <row r="951" spans="1:14" s="45" customFormat="1">
      <c r="A951" s="271" t="s">
        <v>128</v>
      </c>
      <c r="B951" s="263"/>
      <c r="C951" s="373" t="s">
        <v>21</v>
      </c>
      <c r="D951" s="374" t="s">
        <v>22</v>
      </c>
      <c r="E951" s="375" t="s">
        <v>23</v>
      </c>
      <c r="F951" s="375" t="s">
        <v>129</v>
      </c>
      <c r="G951" s="376" t="s">
        <v>130</v>
      </c>
      <c r="H951" s="377" t="s">
        <v>131</v>
      </c>
      <c r="I951" s="340"/>
      <c r="J951" s="267"/>
      <c r="K951" s="260"/>
      <c r="L951" s="261"/>
      <c r="M951" s="261"/>
      <c r="N951" s="261"/>
    </row>
    <row r="952" spans="1:14" s="45" customFormat="1">
      <c r="A952" s="271"/>
      <c r="B952" s="263"/>
      <c r="C952" s="278"/>
      <c r="D952" s="279"/>
      <c r="E952" s="280"/>
      <c r="F952" s="280"/>
      <c r="G952" s="281"/>
      <c r="H952" s="282"/>
      <c r="I952" s="283"/>
      <c r="J952" s="267"/>
      <c r="K952" s="260"/>
      <c r="L952" s="261"/>
      <c r="M952" s="261"/>
      <c r="N952" s="261"/>
    </row>
    <row r="953" spans="1:14" s="45" customFormat="1">
      <c r="A953" s="284" t="s">
        <v>132</v>
      </c>
      <c r="B953" s="263"/>
      <c r="C953" s="285" t="s">
        <v>133</v>
      </c>
      <c r="D953" s="279"/>
      <c r="E953" s="280"/>
      <c r="F953" s="280"/>
      <c r="G953" s="281"/>
      <c r="H953" s="282"/>
      <c r="I953" s="283"/>
      <c r="J953" s="267"/>
      <c r="K953" s="260"/>
      <c r="L953" s="261"/>
      <c r="M953" s="261"/>
      <c r="N953" s="261"/>
    </row>
    <row r="954" spans="1:14" s="45" customFormat="1">
      <c r="A954" s="284">
        <v>101169</v>
      </c>
      <c r="B954" s="263" t="s">
        <v>85</v>
      </c>
      <c r="C954" s="373" t="s">
        <v>289</v>
      </c>
      <c r="D954" s="374" t="s">
        <v>56</v>
      </c>
      <c r="E954" s="375">
        <v>1</v>
      </c>
      <c r="F954" s="375">
        <v>5</v>
      </c>
      <c r="G954" s="376">
        <v>11800</v>
      </c>
      <c r="H954" s="377">
        <v>12390</v>
      </c>
      <c r="I954" s="340">
        <v>2100</v>
      </c>
      <c r="J954" s="267"/>
      <c r="K954" s="260"/>
      <c r="L954" s="261"/>
      <c r="M954" s="261"/>
      <c r="N954" s="261"/>
    </row>
    <row r="955" spans="1:14" s="45" customFormat="1">
      <c r="A955" s="284">
        <v>101904</v>
      </c>
      <c r="B955" s="263" t="s">
        <v>134</v>
      </c>
      <c r="C955" s="373" t="s">
        <v>290</v>
      </c>
      <c r="D955" s="374" t="s">
        <v>170</v>
      </c>
      <c r="E955" s="375">
        <v>7.0000000000000001E-3</v>
      </c>
      <c r="F955" s="375">
        <v>0</v>
      </c>
      <c r="G955" s="376">
        <v>16500</v>
      </c>
      <c r="H955" s="377">
        <v>115.5</v>
      </c>
      <c r="I955" s="340">
        <v>14</v>
      </c>
      <c r="J955" s="267"/>
      <c r="K955" s="260"/>
      <c r="L955" s="261"/>
      <c r="M955" s="261"/>
      <c r="N955" s="261"/>
    </row>
    <row r="956" spans="1:14" s="45" customFormat="1">
      <c r="A956" s="284">
        <v>101651</v>
      </c>
      <c r="B956" s="263" t="s">
        <v>252</v>
      </c>
      <c r="C956" s="373" t="s">
        <v>307</v>
      </c>
      <c r="D956" s="374" t="s">
        <v>142</v>
      </c>
      <c r="E956" s="375">
        <v>0.05</v>
      </c>
      <c r="F956" s="375">
        <v>0</v>
      </c>
      <c r="G956" s="376">
        <v>6199</v>
      </c>
      <c r="H956" s="377">
        <v>309.95</v>
      </c>
      <c r="I956" s="340">
        <v>100</v>
      </c>
      <c r="J956" s="267"/>
      <c r="K956" s="260"/>
      <c r="L956" s="261"/>
      <c r="M956" s="261"/>
      <c r="N956" s="261"/>
    </row>
    <row r="957" spans="1:14" s="45" customFormat="1">
      <c r="A957" s="284">
        <v>103222</v>
      </c>
      <c r="B957" s="263" t="s">
        <v>291</v>
      </c>
      <c r="C957" s="373" t="s">
        <v>296</v>
      </c>
      <c r="D957" s="374" t="s">
        <v>170</v>
      </c>
      <c r="E957" s="375">
        <v>0.02</v>
      </c>
      <c r="F957" s="375">
        <v>0</v>
      </c>
      <c r="G957" s="376">
        <v>62320</v>
      </c>
      <c r="H957" s="377">
        <v>1246.4000000000001</v>
      </c>
      <c r="I957" s="340">
        <v>40</v>
      </c>
      <c r="J957" s="267"/>
      <c r="K957" s="260"/>
      <c r="L957" s="261"/>
      <c r="M957" s="261"/>
      <c r="N957" s="261"/>
    </row>
    <row r="958" spans="1:14" s="45" customFormat="1">
      <c r="A958" s="286" t="s">
        <v>143</v>
      </c>
      <c r="B958" s="263"/>
      <c r="C958" s="278"/>
      <c r="D958" s="279"/>
      <c r="E958" s="280"/>
      <c r="F958" s="280"/>
      <c r="G958" s="281" t="s">
        <v>144</v>
      </c>
      <c r="H958" s="287">
        <v>14061.85</v>
      </c>
      <c r="I958" s="283"/>
      <c r="J958" s="267"/>
      <c r="K958" s="260"/>
      <c r="L958" s="261"/>
      <c r="M958" s="261"/>
      <c r="N958" s="261"/>
    </row>
    <row r="959" spans="1:14" s="45" customFormat="1" ht="27" customHeight="1">
      <c r="A959" s="284" t="s">
        <v>145</v>
      </c>
      <c r="B959" s="263"/>
      <c r="C959" s="288" t="s">
        <v>146</v>
      </c>
      <c r="D959" s="279" t="s">
        <v>147</v>
      </c>
      <c r="E959" s="279" t="s">
        <v>148</v>
      </c>
      <c r="F959" s="279" t="s">
        <v>149</v>
      </c>
      <c r="G959" s="289" t="s">
        <v>150</v>
      </c>
      <c r="H959" s="290" t="s">
        <v>151</v>
      </c>
      <c r="I959" s="283"/>
      <c r="J959" s="267"/>
      <c r="K959" s="260"/>
      <c r="L959" s="261"/>
      <c r="M959" s="261"/>
      <c r="N959" s="261"/>
    </row>
    <row r="960" spans="1:14" s="45" customFormat="1">
      <c r="A960" s="284">
        <v>200024</v>
      </c>
      <c r="B960" s="263" t="s">
        <v>146</v>
      </c>
      <c r="C960" s="373" t="s">
        <v>350</v>
      </c>
      <c r="D960" s="367">
        <v>122577</v>
      </c>
      <c r="E960" s="368">
        <v>1.85</v>
      </c>
      <c r="F960" s="369">
        <v>226767</v>
      </c>
      <c r="G960" s="370">
        <v>53.332999999999998</v>
      </c>
      <c r="H960" s="377">
        <v>4251.9070000000002</v>
      </c>
      <c r="I960" s="340">
        <v>37.500234376464853</v>
      </c>
      <c r="J960" s="267"/>
      <c r="K960" s="260"/>
      <c r="L960" s="261"/>
      <c r="M960" s="261"/>
      <c r="N960" s="261"/>
    </row>
    <row r="961" spans="1:14" s="45" customFormat="1">
      <c r="A961" s="284">
        <v>200026</v>
      </c>
      <c r="B961" s="263" t="s">
        <v>146</v>
      </c>
      <c r="C961" s="373" t="s">
        <v>301</v>
      </c>
      <c r="D961" s="367">
        <v>75762</v>
      </c>
      <c r="E961" s="368">
        <v>1.85</v>
      </c>
      <c r="F961" s="369">
        <v>140159</v>
      </c>
      <c r="G961" s="370">
        <v>100</v>
      </c>
      <c r="H961" s="377">
        <v>1401.59</v>
      </c>
      <c r="I961" s="340">
        <v>20</v>
      </c>
      <c r="J961" s="267"/>
      <c r="K961" s="260"/>
      <c r="L961" s="261"/>
      <c r="M961" s="261"/>
      <c r="N961" s="261"/>
    </row>
    <row r="962" spans="1:14" s="45" customFormat="1">
      <c r="A962" s="286" t="s">
        <v>153</v>
      </c>
      <c r="B962" s="263"/>
      <c r="C962" s="278"/>
      <c r="D962" s="279"/>
      <c r="E962" s="280"/>
      <c r="F962" s="280"/>
      <c r="G962" s="281" t="s">
        <v>154</v>
      </c>
      <c r="H962" s="287">
        <v>5653.4970000000003</v>
      </c>
      <c r="I962" s="283"/>
      <c r="J962" s="267"/>
      <c r="K962" s="260"/>
      <c r="L962" s="261"/>
      <c r="M962" s="261"/>
      <c r="N962" s="261"/>
    </row>
    <row r="963" spans="1:14" s="45" customFormat="1">
      <c r="A963" s="284" t="s">
        <v>155</v>
      </c>
      <c r="B963" s="263"/>
      <c r="C963" s="295" t="s">
        <v>156</v>
      </c>
      <c r="D963" s="279"/>
      <c r="E963" s="280"/>
      <c r="F963" s="280"/>
      <c r="G963" s="281"/>
      <c r="H963" s="282"/>
      <c r="I963" s="283"/>
      <c r="J963" s="267"/>
      <c r="K963" s="260"/>
      <c r="L963" s="261"/>
      <c r="M963" s="261"/>
      <c r="N963" s="261"/>
    </row>
    <row r="964" spans="1:14" s="45" customFormat="1">
      <c r="A964" s="284">
        <v>300048</v>
      </c>
      <c r="B964" s="263" t="s">
        <v>156</v>
      </c>
      <c r="C964" s="373" t="s">
        <v>325</v>
      </c>
      <c r="D964" s="374" t="s">
        <v>173</v>
      </c>
      <c r="E964" s="375">
        <v>1.4999999999999999E-2</v>
      </c>
      <c r="F964" s="375">
        <v>0</v>
      </c>
      <c r="G964" s="376">
        <v>27000</v>
      </c>
      <c r="H964" s="377">
        <v>405</v>
      </c>
      <c r="I964" s="340">
        <v>30</v>
      </c>
      <c r="J964" s="267"/>
      <c r="K964" s="260"/>
      <c r="L964" s="261"/>
      <c r="M964" s="261"/>
      <c r="N964" s="261"/>
    </row>
    <row r="965" spans="1:14" s="45" customFormat="1">
      <c r="A965" s="284">
        <v>300026</v>
      </c>
      <c r="B965" s="263" t="s">
        <v>156</v>
      </c>
      <c r="C965" s="373" t="s">
        <v>157</v>
      </c>
      <c r="D965" s="374" t="s">
        <v>158</v>
      </c>
      <c r="E965" s="368">
        <v>0.05</v>
      </c>
      <c r="F965" s="375">
        <v>0</v>
      </c>
      <c r="G965" s="376">
        <v>5653.4970000000003</v>
      </c>
      <c r="H965" s="377">
        <v>282.67</v>
      </c>
      <c r="I965" s="340">
        <v>565340</v>
      </c>
      <c r="J965" s="267"/>
      <c r="K965" s="260"/>
      <c r="L965" s="261"/>
      <c r="M965" s="261"/>
      <c r="N965" s="261"/>
    </row>
    <row r="966" spans="1:14" s="45" customFormat="1">
      <c r="A966" s="286" t="s">
        <v>159</v>
      </c>
      <c r="B966" s="263"/>
      <c r="C966" s="278"/>
      <c r="D966" s="279"/>
      <c r="E966" s="280"/>
      <c r="F966" s="280"/>
      <c r="G966" s="281" t="s">
        <v>160</v>
      </c>
      <c r="H966" s="287">
        <v>687.67000000000007</v>
      </c>
      <c r="I966" s="283"/>
      <c r="J966" s="267"/>
      <c r="K966" s="260"/>
      <c r="L966" s="261"/>
      <c r="M966" s="261"/>
      <c r="N966" s="261"/>
    </row>
    <row r="967" spans="1:14" s="45" customFormat="1">
      <c r="A967" s="296"/>
      <c r="B967" s="297"/>
      <c r="C967" s="278"/>
      <c r="D967" s="279"/>
      <c r="E967" s="280"/>
      <c r="F967" s="280"/>
      <c r="G967" s="281"/>
      <c r="H967" s="282"/>
      <c r="I967" s="283"/>
      <c r="J967" s="267"/>
      <c r="K967" s="260"/>
      <c r="L967" s="261"/>
      <c r="M967" s="261"/>
      <c r="N967" s="261"/>
    </row>
    <row r="968" spans="1:14" s="45" customFormat="1" ht="15.75" thickBot="1">
      <c r="A968" s="296" t="s">
        <v>26</v>
      </c>
      <c r="B968" s="297"/>
      <c r="C968" s="299"/>
      <c r="D968" s="347"/>
      <c r="E968" s="348"/>
      <c r="F968" s="349" t="s">
        <v>161</v>
      </c>
      <c r="G968" s="350">
        <v>20403.017</v>
      </c>
      <c r="H968" s="351">
        <v>20403</v>
      </c>
      <c r="I968" s="305"/>
      <c r="J968" s="267"/>
      <c r="K968" s="260"/>
      <c r="L968" s="261"/>
      <c r="M968" s="261"/>
      <c r="N968" s="261"/>
    </row>
    <row r="969" spans="1:14" s="45" customFormat="1" ht="15.75" hidden="1" thickTop="1">
      <c r="A969" s="296" t="s">
        <v>188</v>
      </c>
      <c r="B969" s="297"/>
      <c r="C969" s="314" t="s">
        <v>96</v>
      </c>
      <c r="D969" s="315"/>
      <c r="E969" s="316"/>
      <c r="F969" s="316"/>
      <c r="G969" s="318"/>
      <c r="H969" s="319"/>
      <c r="I969" s="283"/>
      <c r="J969" s="267"/>
      <c r="K969" s="260"/>
      <c r="L969" s="261"/>
      <c r="M969" s="261"/>
      <c r="N969" s="261"/>
    </row>
    <row r="970" spans="1:14" s="45" customFormat="1" ht="15.75" hidden="1" thickTop="1">
      <c r="A970" s="284" t="s">
        <v>99</v>
      </c>
      <c r="B970" s="297"/>
      <c r="C970" s="352" t="s">
        <v>100</v>
      </c>
      <c r="D970" s="353"/>
      <c r="E970" s="354"/>
      <c r="F970" s="372">
        <v>0.185</v>
      </c>
      <c r="G970" s="355"/>
      <c r="H970" s="356">
        <v>3774.56</v>
      </c>
      <c r="I970" s="283"/>
      <c r="J970" s="267"/>
      <c r="K970" s="260"/>
      <c r="L970" s="261"/>
      <c r="M970" s="261"/>
      <c r="N970" s="261"/>
    </row>
    <row r="971" spans="1:14" s="45" customFormat="1" ht="15.75" hidden="1" thickTop="1">
      <c r="A971" s="284" t="s">
        <v>189</v>
      </c>
      <c r="B971" s="297"/>
      <c r="C971" s="352" t="s">
        <v>102</v>
      </c>
      <c r="D971" s="353"/>
      <c r="E971" s="354"/>
      <c r="F971" s="372">
        <v>0.05</v>
      </c>
      <c r="G971" s="355"/>
      <c r="H971" s="356">
        <v>1020.15</v>
      </c>
      <c r="I971" s="283"/>
      <c r="J971" s="267"/>
      <c r="K971" s="260"/>
      <c r="L971" s="261"/>
      <c r="M971" s="261"/>
      <c r="N971" s="261"/>
    </row>
    <row r="972" spans="1:14" s="45" customFormat="1" ht="15.75" hidden="1" thickTop="1">
      <c r="A972" s="284" t="s">
        <v>103</v>
      </c>
      <c r="B972" s="297"/>
      <c r="C972" s="352" t="s">
        <v>104</v>
      </c>
      <c r="D972" s="353"/>
      <c r="E972" s="354"/>
      <c r="F972" s="372">
        <v>0.08</v>
      </c>
      <c r="G972" s="355"/>
      <c r="H972" s="356">
        <v>1632.24</v>
      </c>
      <c r="I972" s="283"/>
      <c r="J972" s="267"/>
      <c r="K972" s="260"/>
      <c r="L972" s="261"/>
      <c r="M972" s="261"/>
      <c r="N972" s="261"/>
    </row>
    <row r="973" spans="1:14" s="45" customFormat="1" ht="15.75" hidden="1" thickTop="1">
      <c r="A973" s="284" t="s">
        <v>106</v>
      </c>
      <c r="B973" s="297"/>
      <c r="C973" s="352" t="s">
        <v>107</v>
      </c>
      <c r="D973" s="353"/>
      <c r="E973" s="354"/>
      <c r="F973" s="372">
        <v>0.16</v>
      </c>
      <c r="G973" s="355"/>
      <c r="H973" s="356">
        <v>261.16000000000003</v>
      </c>
      <c r="I973" s="283"/>
      <c r="J973" s="267"/>
      <c r="K973" s="260"/>
      <c r="L973" s="261"/>
      <c r="M973" s="261"/>
      <c r="N973" s="261"/>
    </row>
    <row r="974" spans="1:14" s="45" customFormat="1" ht="15.75" hidden="1" thickTop="1">
      <c r="A974" s="296" t="s">
        <v>190</v>
      </c>
      <c r="B974" s="297"/>
      <c r="C974" s="285" t="s">
        <v>191</v>
      </c>
      <c r="D974" s="279"/>
      <c r="E974" s="280"/>
      <c r="F974" s="280"/>
      <c r="G974" s="326"/>
      <c r="H974" s="327">
        <v>6688.11</v>
      </c>
      <c r="I974" s="298">
        <v>-7381</v>
      </c>
      <c r="J974" s="267"/>
      <c r="K974" s="260"/>
      <c r="L974" s="261"/>
      <c r="M974" s="261"/>
      <c r="N974" s="261"/>
    </row>
    <row r="975" spans="1:14" s="45" customFormat="1" ht="16.5" hidden="1" thickTop="1" thickBot="1">
      <c r="A975" s="296" t="s">
        <v>192</v>
      </c>
      <c r="B975" s="297"/>
      <c r="C975" s="357"/>
      <c r="D975" s="358"/>
      <c r="E975" s="359"/>
      <c r="F975" s="349" t="s">
        <v>193</v>
      </c>
      <c r="G975" s="360">
        <v>27091.11</v>
      </c>
      <c r="H975" s="351">
        <v>27091</v>
      </c>
      <c r="I975" s="305">
        <v>19710</v>
      </c>
      <c r="J975" s="267"/>
      <c r="K975" s="260"/>
      <c r="L975" s="261"/>
      <c r="M975" s="261"/>
      <c r="N975" s="261"/>
    </row>
    <row r="976" spans="1:14" s="45" customFormat="1" ht="15.75" thickTop="1">
      <c r="A976"/>
      <c r="B976"/>
      <c r="C976" s="19"/>
      <c r="D976" s="306"/>
      <c r="E976" s="19"/>
      <c r="F976" s="19"/>
      <c r="G976" s="19"/>
      <c r="H976" s="19"/>
      <c r="I976" s="260"/>
      <c r="J976" s="260"/>
      <c r="K976" s="260"/>
      <c r="L976" s="261"/>
      <c r="M976" s="261"/>
      <c r="N976" s="261"/>
    </row>
    <row r="977" spans="1:14" s="45" customFormat="1" ht="15.75" thickBot="1">
      <c r="A977"/>
      <c r="B977"/>
      <c r="C977" s="19"/>
      <c r="D977" s="306"/>
      <c r="E977" s="19"/>
      <c r="F977" s="19"/>
      <c r="G977" s="19"/>
      <c r="H977" s="19"/>
      <c r="I977" s="260"/>
      <c r="J977" s="260"/>
      <c r="K977" s="260"/>
      <c r="L977" s="261"/>
      <c r="M977" s="261"/>
      <c r="N977" s="261"/>
    </row>
    <row r="978" spans="1:14" s="45" customFormat="1" ht="12.95" customHeight="1" thickTop="1">
      <c r="A978" s="262" t="s">
        <v>351</v>
      </c>
      <c r="B978" s="263"/>
      <c r="C978" s="1651" t="s">
        <v>88</v>
      </c>
      <c r="D978" s="1652"/>
      <c r="E978" s="1652"/>
      <c r="F978" s="1652"/>
      <c r="G978" s="264"/>
      <c r="H978" s="265" t="s">
        <v>224</v>
      </c>
      <c r="I978" s="266" t="s">
        <v>126</v>
      </c>
      <c r="J978" s="267"/>
      <c r="K978" s="260"/>
      <c r="L978" s="261"/>
      <c r="M978" s="261"/>
      <c r="N978" s="261"/>
    </row>
    <row r="979" spans="1:14" s="45" customFormat="1" ht="12.95" customHeight="1">
      <c r="A979" s="262"/>
      <c r="B979" s="263"/>
      <c r="C979" s="1653"/>
      <c r="D979" s="1654"/>
      <c r="E979" s="1654"/>
      <c r="F979" s="1654"/>
      <c r="G979" s="268"/>
      <c r="H979" s="269" t="s">
        <v>179</v>
      </c>
      <c r="I979" s="270">
        <v>1000</v>
      </c>
      <c r="J979" s="267"/>
      <c r="K979" s="260"/>
      <c r="L979" s="261"/>
      <c r="M979" s="261"/>
      <c r="N979" s="261"/>
    </row>
    <row r="980" spans="1:14" s="45" customFormat="1">
      <c r="A980" s="271" t="s">
        <v>128</v>
      </c>
      <c r="B980" s="263"/>
      <c r="C980" s="373" t="s">
        <v>21</v>
      </c>
      <c r="D980" s="374" t="s">
        <v>22</v>
      </c>
      <c r="E980" s="375" t="s">
        <v>23</v>
      </c>
      <c r="F980" s="375" t="s">
        <v>129</v>
      </c>
      <c r="G980" s="376" t="s">
        <v>130</v>
      </c>
      <c r="H980" s="377" t="s">
        <v>131</v>
      </c>
      <c r="I980" s="340"/>
      <c r="J980" s="267"/>
      <c r="K980" s="260"/>
      <c r="L980" s="261"/>
      <c r="M980" s="261"/>
      <c r="N980" s="261"/>
    </row>
    <row r="981" spans="1:14" s="45" customFormat="1">
      <c r="A981" s="271"/>
      <c r="B981" s="263"/>
      <c r="C981" s="278"/>
      <c r="D981" s="279"/>
      <c r="E981" s="280"/>
      <c r="F981" s="280"/>
      <c r="G981" s="281"/>
      <c r="H981" s="282"/>
      <c r="I981" s="283"/>
      <c r="J981" s="267"/>
      <c r="K981" s="260"/>
      <c r="L981" s="261"/>
      <c r="M981" s="261"/>
      <c r="N981" s="261"/>
    </row>
    <row r="982" spans="1:14" s="45" customFormat="1">
      <c r="A982" s="284" t="s">
        <v>132</v>
      </c>
      <c r="B982" s="263"/>
      <c r="C982" s="285" t="s">
        <v>133</v>
      </c>
      <c r="D982" s="279"/>
      <c r="E982" s="280"/>
      <c r="F982" s="280"/>
      <c r="G982" s="281"/>
      <c r="H982" s="282"/>
      <c r="I982" s="283"/>
      <c r="J982" s="267"/>
      <c r="K982" s="260"/>
      <c r="L982" s="261"/>
      <c r="M982" s="261"/>
      <c r="N982" s="261"/>
    </row>
    <row r="983" spans="1:14" s="45" customFormat="1">
      <c r="A983" s="284">
        <v>100943</v>
      </c>
      <c r="B983" s="263" t="s">
        <v>85</v>
      </c>
      <c r="C983" s="373" t="s">
        <v>352</v>
      </c>
      <c r="D983" s="374" t="s">
        <v>22</v>
      </c>
      <c r="E983" s="375">
        <v>0.4</v>
      </c>
      <c r="F983" s="375">
        <v>0</v>
      </c>
      <c r="G983" s="376">
        <v>1800</v>
      </c>
      <c r="H983" s="377">
        <v>720</v>
      </c>
      <c r="I983" s="340">
        <v>400</v>
      </c>
      <c r="J983" s="267"/>
      <c r="K983" s="260"/>
      <c r="L983" s="261"/>
      <c r="M983" s="261"/>
      <c r="N983" s="261"/>
    </row>
    <row r="984" spans="1:14" s="45" customFormat="1">
      <c r="A984" s="284">
        <v>101904</v>
      </c>
      <c r="B984" s="263" t="s">
        <v>134</v>
      </c>
      <c r="C984" s="373" t="s">
        <v>290</v>
      </c>
      <c r="D984" s="374" t="s">
        <v>170</v>
      </c>
      <c r="E984" s="375">
        <v>0.01</v>
      </c>
      <c r="F984" s="375">
        <v>0</v>
      </c>
      <c r="G984" s="376">
        <v>16500</v>
      </c>
      <c r="H984" s="377">
        <v>165</v>
      </c>
      <c r="I984" s="340">
        <v>10</v>
      </c>
      <c r="J984" s="267"/>
      <c r="K984" s="260"/>
      <c r="L984" s="261"/>
      <c r="M984" s="261"/>
      <c r="N984" s="261"/>
    </row>
    <row r="985" spans="1:14" s="45" customFormat="1">
      <c r="A985" s="284">
        <v>101008</v>
      </c>
      <c r="B985" s="263" t="s">
        <v>181</v>
      </c>
      <c r="C985" s="373" t="s">
        <v>241</v>
      </c>
      <c r="D985" s="374" t="s">
        <v>142</v>
      </c>
      <c r="E985" s="375">
        <v>1</v>
      </c>
      <c r="F985" s="375">
        <v>0</v>
      </c>
      <c r="G985" s="376">
        <v>2330</v>
      </c>
      <c r="H985" s="377">
        <v>2330</v>
      </c>
      <c r="I985" s="340">
        <v>1000</v>
      </c>
      <c r="J985" s="267"/>
      <c r="K985" s="260"/>
      <c r="L985" s="261"/>
      <c r="M985" s="261"/>
      <c r="N985" s="261"/>
    </row>
    <row r="986" spans="1:14" s="45" customFormat="1">
      <c r="A986" s="284">
        <v>101652</v>
      </c>
      <c r="B986" s="263" t="s">
        <v>252</v>
      </c>
      <c r="C986" s="373" t="s">
        <v>294</v>
      </c>
      <c r="D986" s="374" t="s">
        <v>142</v>
      </c>
      <c r="E986" s="375">
        <v>0.05</v>
      </c>
      <c r="F986" s="375">
        <v>0</v>
      </c>
      <c r="G986" s="376">
        <v>6200</v>
      </c>
      <c r="H986" s="377">
        <v>310</v>
      </c>
      <c r="I986" s="340">
        <v>50</v>
      </c>
      <c r="J986" s="267"/>
      <c r="K986" s="260"/>
      <c r="L986" s="261"/>
      <c r="M986" s="261"/>
      <c r="N986" s="261"/>
    </row>
    <row r="987" spans="1:14" s="45" customFormat="1">
      <c r="A987" s="284">
        <v>100110</v>
      </c>
      <c r="B987" s="263" t="s">
        <v>291</v>
      </c>
      <c r="C987" s="373" t="s">
        <v>295</v>
      </c>
      <c r="D987" s="374" t="s">
        <v>170</v>
      </c>
      <c r="E987" s="375">
        <v>1.4999999999999999E-2</v>
      </c>
      <c r="F987" s="375">
        <v>0</v>
      </c>
      <c r="G987" s="376">
        <v>90800</v>
      </c>
      <c r="H987" s="377">
        <v>1362</v>
      </c>
      <c r="I987" s="340">
        <v>15</v>
      </c>
      <c r="J987" s="267"/>
      <c r="K987" s="260"/>
      <c r="L987" s="261"/>
      <c r="M987" s="261"/>
      <c r="N987" s="261"/>
    </row>
    <row r="988" spans="1:14" s="45" customFormat="1">
      <c r="A988" s="284">
        <v>103222</v>
      </c>
      <c r="B988" s="263" t="s">
        <v>291</v>
      </c>
      <c r="C988" s="373" t="s">
        <v>296</v>
      </c>
      <c r="D988" s="374" t="s">
        <v>170</v>
      </c>
      <c r="E988" s="375">
        <v>1.4999999999999999E-2</v>
      </c>
      <c r="F988" s="375">
        <v>0</v>
      </c>
      <c r="G988" s="376">
        <v>62320</v>
      </c>
      <c r="H988" s="377">
        <v>934.8</v>
      </c>
      <c r="I988" s="340">
        <v>15</v>
      </c>
      <c r="J988" s="267"/>
      <c r="K988" s="260"/>
      <c r="L988" s="261"/>
      <c r="M988" s="261"/>
      <c r="N988" s="261"/>
    </row>
    <row r="989" spans="1:14" s="45" customFormat="1">
      <c r="A989" s="284">
        <v>103062</v>
      </c>
      <c r="B989" s="263" t="s">
        <v>285</v>
      </c>
      <c r="C989" s="373" t="s">
        <v>353</v>
      </c>
      <c r="D989" s="374" t="s">
        <v>22</v>
      </c>
      <c r="E989" s="375">
        <v>0.17</v>
      </c>
      <c r="F989" s="375">
        <v>5</v>
      </c>
      <c r="G989" s="376">
        <v>89500</v>
      </c>
      <c r="H989" s="377">
        <v>15975.75</v>
      </c>
      <c r="I989" s="340">
        <v>178.50000000000003</v>
      </c>
      <c r="J989" s="267"/>
      <c r="K989" s="260"/>
      <c r="L989" s="261"/>
      <c r="M989" s="261"/>
      <c r="N989" s="261"/>
    </row>
    <row r="990" spans="1:14" s="45" customFormat="1">
      <c r="A990" s="286" t="s">
        <v>143</v>
      </c>
      <c r="B990" s="263"/>
      <c r="C990" s="278"/>
      <c r="D990" s="279"/>
      <c r="E990" s="280"/>
      <c r="F990" s="280"/>
      <c r="G990" s="281" t="s">
        <v>144</v>
      </c>
      <c r="H990" s="287">
        <v>21797.55</v>
      </c>
      <c r="I990" s="283"/>
      <c r="J990" s="267"/>
      <c r="K990" s="260"/>
      <c r="L990" s="261"/>
      <c r="M990" s="261"/>
      <c r="N990" s="261"/>
    </row>
    <row r="991" spans="1:14" s="45" customFormat="1" ht="27" customHeight="1">
      <c r="A991" s="284" t="s">
        <v>145</v>
      </c>
      <c r="B991" s="263"/>
      <c r="C991" s="288" t="s">
        <v>146</v>
      </c>
      <c r="D991" s="279" t="s">
        <v>147</v>
      </c>
      <c r="E991" s="279" t="s">
        <v>148</v>
      </c>
      <c r="F991" s="279" t="s">
        <v>149</v>
      </c>
      <c r="G991" s="289" t="s">
        <v>150</v>
      </c>
      <c r="H991" s="290" t="s">
        <v>151</v>
      </c>
      <c r="I991" s="283"/>
      <c r="J991" s="267"/>
      <c r="K991" s="260"/>
      <c r="L991" s="261"/>
      <c r="M991" s="261"/>
      <c r="N991" s="261"/>
    </row>
    <row r="992" spans="1:14" s="45" customFormat="1">
      <c r="A992" s="284">
        <v>200023</v>
      </c>
      <c r="B992" s="263" t="s">
        <v>146</v>
      </c>
      <c r="C992" s="373" t="s">
        <v>300</v>
      </c>
      <c r="D992" s="367">
        <v>85565</v>
      </c>
      <c r="E992" s="368">
        <v>1.85</v>
      </c>
      <c r="F992" s="369">
        <v>158295</v>
      </c>
      <c r="G992" s="370">
        <v>53.332999999999998</v>
      </c>
      <c r="H992" s="377">
        <v>2968.049</v>
      </c>
      <c r="I992" s="340">
        <v>18.750117188232426</v>
      </c>
      <c r="J992" s="267"/>
      <c r="K992" s="260"/>
      <c r="L992" s="261"/>
      <c r="M992" s="261"/>
      <c r="N992" s="261"/>
    </row>
    <row r="993" spans="1:14" s="45" customFormat="1">
      <c r="A993" s="284">
        <v>200026</v>
      </c>
      <c r="B993" s="263" t="s">
        <v>146</v>
      </c>
      <c r="C993" s="373" t="s">
        <v>301</v>
      </c>
      <c r="D993" s="367">
        <v>75762</v>
      </c>
      <c r="E993" s="368">
        <v>1.85</v>
      </c>
      <c r="F993" s="369">
        <v>140159</v>
      </c>
      <c r="G993" s="370">
        <v>159.999</v>
      </c>
      <c r="H993" s="377">
        <v>875.99900000000002</v>
      </c>
      <c r="I993" s="340">
        <v>6.2500390627441424</v>
      </c>
      <c r="J993" s="267"/>
      <c r="K993" s="260"/>
      <c r="L993" s="261"/>
      <c r="M993" s="261"/>
      <c r="N993" s="261"/>
    </row>
    <row r="994" spans="1:14" s="45" customFormat="1">
      <c r="A994" s="286" t="s">
        <v>153</v>
      </c>
      <c r="B994" s="263"/>
      <c r="C994" s="278"/>
      <c r="D994" s="279"/>
      <c r="E994" s="280"/>
      <c r="F994" s="280"/>
      <c r="G994" s="281" t="s">
        <v>154</v>
      </c>
      <c r="H994" s="287">
        <v>3844.0479999999998</v>
      </c>
      <c r="I994" s="283"/>
      <c r="J994" s="267"/>
      <c r="K994" s="260"/>
      <c r="L994" s="261"/>
      <c r="M994" s="261"/>
      <c r="N994" s="261"/>
    </row>
    <row r="995" spans="1:14" s="45" customFormat="1">
      <c r="A995" s="284" t="s">
        <v>155</v>
      </c>
      <c r="B995" s="263"/>
      <c r="C995" s="295" t="s">
        <v>156</v>
      </c>
      <c r="D995" s="279"/>
      <c r="E995" s="280"/>
      <c r="F995" s="280"/>
      <c r="G995" s="281"/>
      <c r="H995" s="282"/>
      <c r="I995" s="283"/>
      <c r="J995" s="267"/>
      <c r="K995" s="260"/>
      <c r="L995" s="261"/>
      <c r="M995" s="261"/>
      <c r="N995" s="261"/>
    </row>
    <row r="996" spans="1:14" s="45" customFormat="1">
      <c r="A996" s="284">
        <v>300026</v>
      </c>
      <c r="B996" s="263" t="s">
        <v>156</v>
      </c>
      <c r="C996" s="373" t="s">
        <v>157</v>
      </c>
      <c r="D996" s="374" t="s">
        <v>158</v>
      </c>
      <c r="E996" s="368">
        <v>0.05</v>
      </c>
      <c r="F996" s="375">
        <v>0</v>
      </c>
      <c r="G996" s="376">
        <v>3844.0479999999998</v>
      </c>
      <c r="H996" s="377">
        <v>192.2</v>
      </c>
      <c r="I996" s="340">
        <v>192200</v>
      </c>
      <c r="J996" s="267"/>
      <c r="K996" s="260"/>
      <c r="L996" s="261"/>
      <c r="M996" s="261"/>
      <c r="N996" s="261"/>
    </row>
    <row r="997" spans="1:14" s="45" customFormat="1">
      <c r="A997" s="286" t="s">
        <v>159</v>
      </c>
      <c r="B997" s="263"/>
      <c r="C997" s="278"/>
      <c r="D997" s="279"/>
      <c r="E997" s="280"/>
      <c r="F997" s="280"/>
      <c r="G997" s="281" t="s">
        <v>160</v>
      </c>
      <c r="H997" s="287">
        <v>192.2</v>
      </c>
      <c r="I997" s="283"/>
      <c r="J997" s="267"/>
      <c r="K997" s="260"/>
      <c r="L997" s="261"/>
      <c r="M997" s="261"/>
      <c r="N997" s="261"/>
    </row>
    <row r="998" spans="1:14" s="45" customFormat="1">
      <c r="A998" s="296"/>
      <c r="B998" s="297"/>
      <c r="C998" s="278"/>
      <c r="D998" s="279"/>
      <c r="E998" s="280"/>
      <c r="F998" s="280"/>
      <c r="G998" s="281"/>
      <c r="H998" s="282"/>
      <c r="I998" s="283"/>
      <c r="J998" s="267"/>
      <c r="K998" s="260"/>
      <c r="L998" s="261"/>
      <c r="M998" s="261"/>
      <c r="N998" s="261"/>
    </row>
    <row r="999" spans="1:14" s="45" customFormat="1" ht="15.75" thickBot="1">
      <c r="A999" s="296" t="s">
        <v>26</v>
      </c>
      <c r="B999" s="297"/>
      <c r="C999" s="299"/>
      <c r="D999" s="347"/>
      <c r="E999" s="348"/>
      <c r="F999" s="349" t="s">
        <v>161</v>
      </c>
      <c r="G999" s="350">
        <v>25833.797999999999</v>
      </c>
      <c r="H999" s="351">
        <v>25834</v>
      </c>
      <c r="I999" s="305"/>
      <c r="J999" s="267"/>
      <c r="K999" s="260"/>
      <c r="L999" s="261"/>
      <c r="M999" s="261"/>
      <c r="N999" s="261"/>
    </row>
    <row r="1000" spans="1:14" s="45" customFormat="1" ht="15.75" hidden="1" thickTop="1">
      <c r="A1000" s="296" t="s">
        <v>188</v>
      </c>
      <c r="B1000" s="297"/>
      <c r="C1000" s="314" t="s">
        <v>96</v>
      </c>
      <c r="D1000" s="315"/>
      <c r="E1000" s="316"/>
      <c r="F1000" s="316"/>
      <c r="G1000" s="318"/>
      <c r="H1000" s="319"/>
      <c r="I1000" s="283"/>
      <c r="J1000" s="267"/>
      <c r="K1000" s="260"/>
      <c r="L1000" s="261"/>
      <c r="M1000" s="261"/>
      <c r="N1000" s="261"/>
    </row>
    <row r="1001" spans="1:14" s="45" customFormat="1" ht="15.75" hidden="1" thickTop="1">
      <c r="A1001" s="284" t="s">
        <v>99</v>
      </c>
      <c r="B1001" s="297"/>
      <c r="C1001" s="352" t="s">
        <v>100</v>
      </c>
      <c r="D1001" s="353"/>
      <c r="E1001" s="354"/>
      <c r="F1001" s="372">
        <v>0.185</v>
      </c>
      <c r="G1001" s="355"/>
      <c r="H1001" s="356">
        <v>4779.29</v>
      </c>
      <c r="I1001" s="283"/>
      <c r="J1001" s="267"/>
      <c r="K1001" s="260"/>
      <c r="L1001" s="261"/>
      <c r="M1001" s="261"/>
      <c r="N1001" s="261"/>
    </row>
    <row r="1002" spans="1:14" s="45" customFormat="1" ht="15.75" hidden="1" thickTop="1">
      <c r="A1002" s="284" t="s">
        <v>189</v>
      </c>
      <c r="B1002" s="297"/>
      <c r="C1002" s="352" t="s">
        <v>102</v>
      </c>
      <c r="D1002" s="353"/>
      <c r="E1002" s="354"/>
      <c r="F1002" s="372">
        <v>0.05</v>
      </c>
      <c r="G1002" s="355"/>
      <c r="H1002" s="356">
        <v>1291.7</v>
      </c>
      <c r="I1002" s="283"/>
      <c r="J1002" s="267"/>
      <c r="K1002" s="260"/>
      <c r="L1002" s="261"/>
      <c r="M1002" s="261"/>
      <c r="N1002" s="261"/>
    </row>
    <row r="1003" spans="1:14" s="45" customFormat="1" ht="15.75" hidden="1" thickTop="1">
      <c r="A1003" s="284" t="s">
        <v>103</v>
      </c>
      <c r="B1003" s="297"/>
      <c r="C1003" s="352" t="s">
        <v>104</v>
      </c>
      <c r="D1003" s="353"/>
      <c r="E1003" s="354"/>
      <c r="F1003" s="372">
        <v>0.08</v>
      </c>
      <c r="G1003" s="355"/>
      <c r="H1003" s="356">
        <v>2066.7199999999998</v>
      </c>
      <c r="I1003" s="283"/>
      <c r="J1003" s="267"/>
      <c r="K1003" s="260"/>
      <c r="L1003" s="261"/>
      <c r="M1003" s="261"/>
      <c r="N1003" s="261"/>
    </row>
    <row r="1004" spans="1:14" s="45" customFormat="1" ht="15.75" hidden="1" thickTop="1">
      <c r="A1004" s="284" t="s">
        <v>106</v>
      </c>
      <c r="B1004" s="297"/>
      <c r="C1004" s="352" t="s">
        <v>107</v>
      </c>
      <c r="D1004" s="353"/>
      <c r="E1004" s="354"/>
      <c r="F1004" s="372">
        <v>0.16</v>
      </c>
      <c r="G1004" s="355"/>
      <c r="H1004" s="356">
        <v>330.68</v>
      </c>
      <c r="I1004" s="283"/>
      <c r="J1004" s="267"/>
      <c r="K1004" s="260"/>
      <c r="L1004" s="261"/>
      <c r="M1004" s="261"/>
      <c r="N1004" s="261"/>
    </row>
    <row r="1005" spans="1:14" s="45" customFormat="1" ht="15.75" hidden="1" thickTop="1">
      <c r="A1005" s="296" t="s">
        <v>190</v>
      </c>
      <c r="B1005" s="297"/>
      <c r="C1005" s="285" t="s">
        <v>191</v>
      </c>
      <c r="D1005" s="279"/>
      <c r="E1005" s="280"/>
      <c r="F1005" s="280"/>
      <c r="G1005" s="326"/>
      <c r="H1005" s="327">
        <v>8468.39</v>
      </c>
      <c r="I1005" s="298">
        <v>-9042</v>
      </c>
      <c r="J1005" s="267"/>
      <c r="K1005" s="260"/>
      <c r="L1005" s="261"/>
      <c r="M1005" s="261"/>
      <c r="N1005" s="261"/>
    </row>
    <row r="1006" spans="1:14" s="45" customFormat="1" ht="16.5" hidden="1" thickTop="1" thickBot="1">
      <c r="A1006" s="296" t="s">
        <v>192</v>
      </c>
      <c r="B1006" s="297"/>
      <c r="C1006" s="357"/>
      <c r="D1006" s="358"/>
      <c r="E1006" s="359"/>
      <c r="F1006" s="349" t="s">
        <v>193</v>
      </c>
      <c r="G1006" s="360">
        <v>34302.39</v>
      </c>
      <c r="H1006" s="351">
        <v>34302</v>
      </c>
      <c r="I1006" s="305">
        <v>25260</v>
      </c>
      <c r="J1006" s="267"/>
      <c r="K1006" s="260"/>
      <c r="L1006" s="261"/>
      <c r="M1006" s="261"/>
      <c r="N1006" s="261"/>
    </row>
    <row r="1007" spans="1:14" s="45" customFormat="1" ht="15.75" thickTop="1">
      <c r="A1007"/>
      <c r="B1007"/>
      <c r="C1007" s="19"/>
      <c r="D1007" s="306"/>
      <c r="E1007" s="19"/>
      <c r="F1007" s="19"/>
      <c r="G1007" s="19"/>
      <c r="H1007" s="19"/>
      <c r="I1007" s="260"/>
      <c r="J1007" s="260"/>
      <c r="K1007" s="260"/>
      <c r="L1007" s="261"/>
      <c r="M1007" s="261"/>
      <c r="N1007" s="261"/>
    </row>
    <row r="1008" spans="1:14" s="45" customFormat="1" ht="15.75" thickBot="1">
      <c r="A1008"/>
      <c r="B1008"/>
      <c r="C1008" s="19"/>
      <c r="D1008" s="306"/>
      <c r="E1008" s="19"/>
      <c r="F1008" s="19"/>
      <c r="G1008" s="19"/>
      <c r="H1008" s="19"/>
      <c r="I1008" s="260"/>
      <c r="J1008" s="260"/>
      <c r="K1008" s="260"/>
      <c r="L1008" s="261"/>
      <c r="M1008" s="261"/>
      <c r="N1008" s="261"/>
    </row>
    <row r="1009" spans="1:14" s="45" customFormat="1" ht="12.95" customHeight="1" thickTop="1">
      <c r="A1009" s="262" t="s">
        <v>354</v>
      </c>
      <c r="B1009" s="263"/>
      <c r="C1009" s="1651" t="s">
        <v>89</v>
      </c>
      <c r="D1009" s="1652"/>
      <c r="E1009" s="1652"/>
      <c r="F1009" s="1652"/>
      <c r="G1009" s="264"/>
      <c r="H1009" s="265" t="s">
        <v>224</v>
      </c>
      <c r="I1009" s="266" t="s">
        <v>126</v>
      </c>
      <c r="J1009" s="267"/>
      <c r="K1009" s="260"/>
      <c r="L1009" s="261"/>
      <c r="M1009" s="261"/>
      <c r="N1009" s="261"/>
    </row>
    <row r="1010" spans="1:14" s="45" customFormat="1" ht="12.95" customHeight="1">
      <c r="A1010" s="262"/>
      <c r="B1010" s="263"/>
      <c r="C1010" s="1653"/>
      <c r="D1010" s="1654"/>
      <c r="E1010" s="1654"/>
      <c r="F1010" s="1654"/>
      <c r="G1010" s="268"/>
      <c r="H1010" s="269" t="s">
        <v>179</v>
      </c>
      <c r="I1010" s="270">
        <v>100</v>
      </c>
      <c r="J1010" s="267"/>
      <c r="K1010" s="260"/>
      <c r="L1010" s="261"/>
      <c r="M1010" s="261"/>
      <c r="N1010" s="261"/>
    </row>
    <row r="1011" spans="1:14" s="45" customFormat="1">
      <c r="A1011" s="271" t="s">
        <v>128</v>
      </c>
      <c r="B1011" s="263"/>
      <c r="C1011" s="373" t="s">
        <v>21</v>
      </c>
      <c r="D1011" s="374" t="s">
        <v>22</v>
      </c>
      <c r="E1011" s="375" t="s">
        <v>23</v>
      </c>
      <c r="F1011" s="375" t="s">
        <v>129</v>
      </c>
      <c r="G1011" s="376" t="s">
        <v>130</v>
      </c>
      <c r="H1011" s="377" t="s">
        <v>131</v>
      </c>
      <c r="I1011" s="340"/>
      <c r="J1011" s="267"/>
      <c r="K1011" s="260"/>
      <c r="L1011" s="261"/>
      <c r="M1011" s="261"/>
      <c r="N1011" s="261"/>
    </row>
    <row r="1012" spans="1:14" s="45" customFormat="1">
      <c r="A1012" s="271"/>
      <c r="B1012" s="263"/>
      <c r="C1012" s="278"/>
      <c r="D1012" s="279"/>
      <c r="E1012" s="280"/>
      <c r="F1012" s="280"/>
      <c r="G1012" s="281"/>
      <c r="H1012" s="282"/>
      <c r="I1012" s="283"/>
      <c r="J1012" s="267"/>
      <c r="K1012" s="260"/>
      <c r="L1012" s="261"/>
      <c r="M1012" s="261"/>
      <c r="N1012" s="261"/>
    </row>
    <row r="1013" spans="1:14" s="45" customFormat="1">
      <c r="A1013" s="284" t="s">
        <v>132</v>
      </c>
      <c r="B1013" s="263"/>
      <c r="C1013" s="285" t="s">
        <v>133</v>
      </c>
      <c r="D1013" s="279"/>
      <c r="E1013" s="280"/>
      <c r="F1013" s="280"/>
      <c r="G1013" s="281"/>
      <c r="H1013" s="282"/>
      <c r="I1013" s="283"/>
      <c r="J1013" s="267"/>
      <c r="K1013" s="260"/>
      <c r="L1013" s="261"/>
      <c r="M1013" s="261"/>
      <c r="N1013" s="261"/>
    </row>
    <row r="1014" spans="1:14" s="45" customFormat="1">
      <c r="A1014" s="284">
        <v>101117</v>
      </c>
      <c r="B1014" s="263" t="s">
        <v>134</v>
      </c>
      <c r="C1014" s="373" t="s">
        <v>343</v>
      </c>
      <c r="D1014" s="374" t="s">
        <v>288</v>
      </c>
      <c r="E1014" s="375">
        <v>0.3</v>
      </c>
      <c r="F1014" s="375">
        <v>0</v>
      </c>
      <c r="G1014" s="376">
        <v>900</v>
      </c>
      <c r="H1014" s="377">
        <v>270</v>
      </c>
      <c r="I1014" s="340">
        <v>30</v>
      </c>
      <c r="J1014" s="267"/>
      <c r="K1014" s="260"/>
      <c r="L1014" s="261"/>
      <c r="M1014" s="261"/>
      <c r="N1014" s="261"/>
    </row>
    <row r="1015" spans="1:14" s="45" customFormat="1">
      <c r="A1015" s="284">
        <v>101904</v>
      </c>
      <c r="B1015" s="263" t="s">
        <v>134</v>
      </c>
      <c r="C1015" s="373" t="s">
        <v>290</v>
      </c>
      <c r="D1015" s="374" t="s">
        <v>170</v>
      </c>
      <c r="E1015" s="375">
        <v>5.0000000000000001E-3</v>
      </c>
      <c r="F1015" s="375">
        <v>0</v>
      </c>
      <c r="G1015" s="376">
        <v>16500</v>
      </c>
      <c r="H1015" s="377">
        <v>82.5</v>
      </c>
      <c r="I1015" s="340">
        <v>0.5</v>
      </c>
      <c r="J1015" s="267"/>
      <c r="K1015" s="260"/>
      <c r="L1015" s="261"/>
      <c r="M1015" s="261"/>
      <c r="N1015" s="261"/>
    </row>
    <row r="1016" spans="1:14" s="45" customFormat="1">
      <c r="A1016" s="284">
        <v>101652</v>
      </c>
      <c r="B1016" s="263" t="s">
        <v>252</v>
      </c>
      <c r="C1016" s="373" t="s">
        <v>294</v>
      </c>
      <c r="D1016" s="374" t="s">
        <v>142</v>
      </c>
      <c r="E1016" s="375">
        <v>0.03</v>
      </c>
      <c r="F1016" s="375">
        <v>0.03</v>
      </c>
      <c r="G1016" s="376">
        <v>6200</v>
      </c>
      <c r="H1016" s="377">
        <v>186.05</v>
      </c>
      <c r="I1016" s="340">
        <v>3.0008999999999997</v>
      </c>
      <c r="J1016" s="267"/>
      <c r="K1016" s="260"/>
      <c r="L1016" s="261"/>
      <c r="M1016" s="261"/>
      <c r="N1016" s="261"/>
    </row>
    <row r="1017" spans="1:14" s="45" customFormat="1">
      <c r="A1017" s="284">
        <v>100110</v>
      </c>
      <c r="B1017" s="263" t="s">
        <v>291</v>
      </c>
      <c r="C1017" s="373" t="s">
        <v>295</v>
      </c>
      <c r="D1017" s="374" t="s">
        <v>170</v>
      </c>
      <c r="E1017" s="375">
        <v>1.2999999999999999E-2</v>
      </c>
      <c r="F1017" s="375">
        <v>0</v>
      </c>
      <c r="G1017" s="376">
        <v>90800</v>
      </c>
      <c r="H1017" s="377">
        <v>1180.4000000000001</v>
      </c>
      <c r="I1017" s="340">
        <v>1.3</v>
      </c>
      <c r="J1017" s="267"/>
      <c r="K1017" s="260"/>
      <c r="L1017" s="261"/>
      <c r="M1017" s="261"/>
      <c r="N1017" s="261"/>
    </row>
    <row r="1018" spans="1:14" s="45" customFormat="1">
      <c r="A1018" s="284">
        <v>103222</v>
      </c>
      <c r="B1018" s="263" t="s">
        <v>291</v>
      </c>
      <c r="C1018" s="373" t="s">
        <v>296</v>
      </c>
      <c r="D1018" s="374" t="s">
        <v>170</v>
      </c>
      <c r="E1018" s="375">
        <v>1.2999999999999999E-2</v>
      </c>
      <c r="F1018" s="375">
        <v>0</v>
      </c>
      <c r="G1018" s="376">
        <v>62320</v>
      </c>
      <c r="H1018" s="377">
        <v>810.16</v>
      </c>
      <c r="I1018" s="340">
        <v>1.3</v>
      </c>
      <c r="J1018" s="267"/>
      <c r="K1018" s="260"/>
      <c r="L1018" s="261"/>
      <c r="M1018" s="261"/>
      <c r="N1018" s="261"/>
    </row>
    <row r="1019" spans="1:14" s="45" customFormat="1">
      <c r="A1019" s="284">
        <v>103062</v>
      </c>
      <c r="B1019" s="263" t="s">
        <v>285</v>
      </c>
      <c r="C1019" s="373" t="s">
        <v>353</v>
      </c>
      <c r="D1019" s="374" t="s">
        <v>22</v>
      </c>
      <c r="E1019" s="375">
        <v>0.17</v>
      </c>
      <c r="F1019" s="375">
        <v>0</v>
      </c>
      <c r="G1019" s="376">
        <v>89500</v>
      </c>
      <c r="H1019" s="377">
        <v>15215</v>
      </c>
      <c r="I1019" s="340">
        <v>17</v>
      </c>
      <c r="J1019" s="267"/>
      <c r="K1019" s="260"/>
      <c r="L1019" s="261"/>
      <c r="M1019" s="261"/>
      <c r="N1019" s="261"/>
    </row>
    <row r="1020" spans="1:14" s="45" customFormat="1">
      <c r="A1020" s="286" t="s">
        <v>143</v>
      </c>
      <c r="B1020" s="263"/>
      <c r="C1020" s="278"/>
      <c r="D1020" s="279"/>
      <c r="E1020" s="280"/>
      <c r="F1020" s="280"/>
      <c r="G1020" s="281" t="s">
        <v>144</v>
      </c>
      <c r="H1020" s="287">
        <v>17744.11</v>
      </c>
      <c r="I1020" s="283"/>
      <c r="J1020" s="267"/>
      <c r="K1020" s="260"/>
      <c r="L1020" s="261"/>
      <c r="M1020" s="261"/>
      <c r="N1020" s="261"/>
    </row>
    <row r="1021" spans="1:14" s="45" customFormat="1" ht="27" customHeight="1">
      <c r="A1021" s="284" t="s">
        <v>145</v>
      </c>
      <c r="B1021" s="263"/>
      <c r="C1021" s="288" t="s">
        <v>146</v>
      </c>
      <c r="D1021" s="279" t="s">
        <v>147</v>
      </c>
      <c r="E1021" s="279" t="s">
        <v>148</v>
      </c>
      <c r="F1021" s="279" t="s">
        <v>149</v>
      </c>
      <c r="G1021" s="289" t="s">
        <v>150</v>
      </c>
      <c r="H1021" s="290" t="s">
        <v>151</v>
      </c>
      <c r="I1021" s="283"/>
      <c r="J1021" s="267"/>
      <c r="K1021" s="260"/>
      <c r="L1021" s="261"/>
      <c r="M1021" s="261"/>
      <c r="N1021" s="261"/>
    </row>
    <row r="1022" spans="1:14" s="45" customFormat="1">
      <c r="A1022" s="284">
        <v>200023</v>
      </c>
      <c r="B1022" s="263" t="s">
        <v>146</v>
      </c>
      <c r="C1022" s="373" t="s">
        <v>300</v>
      </c>
      <c r="D1022" s="367">
        <v>85565</v>
      </c>
      <c r="E1022" s="368">
        <v>1.85</v>
      </c>
      <c r="F1022" s="369">
        <v>158295</v>
      </c>
      <c r="G1022" s="370">
        <v>100</v>
      </c>
      <c r="H1022" s="377">
        <v>1582.95</v>
      </c>
      <c r="I1022" s="340">
        <v>1</v>
      </c>
      <c r="J1022" s="267"/>
      <c r="K1022" s="260"/>
      <c r="L1022" s="261"/>
      <c r="M1022" s="261"/>
      <c r="N1022" s="261"/>
    </row>
    <row r="1023" spans="1:14" s="45" customFormat="1">
      <c r="A1023" s="284">
        <v>200026</v>
      </c>
      <c r="B1023" s="263" t="s">
        <v>146</v>
      </c>
      <c r="C1023" s="373" t="s">
        <v>301</v>
      </c>
      <c r="D1023" s="367">
        <v>75762</v>
      </c>
      <c r="E1023" s="368">
        <v>1.85</v>
      </c>
      <c r="F1023" s="369">
        <v>140159</v>
      </c>
      <c r="G1023" s="370">
        <v>159.999</v>
      </c>
      <c r="H1023" s="377">
        <v>875.99900000000002</v>
      </c>
      <c r="I1023" s="340">
        <v>0.62500390627441427</v>
      </c>
      <c r="J1023" s="267"/>
      <c r="K1023" s="260"/>
      <c r="L1023" s="261"/>
      <c r="M1023" s="261"/>
      <c r="N1023" s="261"/>
    </row>
    <row r="1024" spans="1:14" s="45" customFormat="1">
      <c r="A1024" s="286" t="s">
        <v>153</v>
      </c>
      <c r="B1024" s="263"/>
      <c r="C1024" s="278"/>
      <c r="D1024" s="279"/>
      <c r="E1024" s="280"/>
      <c r="F1024" s="280"/>
      <c r="G1024" s="281" t="s">
        <v>154</v>
      </c>
      <c r="H1024" s="287">
        <v>2458.9490000000001</v>
      </c>
      <c r="I1024" s="283"/>
      <c r="J1024" s="267"/>
      <c r="K1024" s="260"/>
      <c r="L1024" s="261"/>
      <c r="M1024" s="261"/>
      <c r="N1024" s="261"/>
    </row>
    <row r="1025" spans="1:14" s="45" customFormat="1">
      <c r="A1025" s="284" t="s">
        <v>155</v>
      </c>
      <c r="B1025" s="263"/>
      <c r="C1025" s="295" t="s">
        <v>156</v>
      </c>
      <c r="D1025" s="279"/>
      <c r="E1025" s="280"/>
      <c r="F1025" s="280"/>
      <c r="G1025" s="281"/>
      <c r="H1025" s="282"/>
      <c r="I1025" s="283"/>
      <c r="J1025" s="267"/>
      <c r="K1025" s="260"/>
      <c r="L1025" s="261"/>
      <c r="M1025" s="261"/>
      <c r="N1025" s="261"/>
    </row>
    <row r="1026" spans="1:14" s="45" customFormat="1">
      <c r="A1026" s="284">
        <v>300026</v>
      </c>
      <c r="B1026" s="263" t="s">
        <v>156</v>
      </c>
      <c r="C1026" s="373" t="s">
        <v>157</v>
      </c>
      <c r="D1026" s="374" t="s">
        <v>158</v>
      </c>
      <c r="E1026" s="368">
        <v>0.05</v>
      </c>
      <c r="F1026" s="375">
        <v>0</v>
      </c>
      <c r="G1026" s="376">
        <v>2458.9490000000001</v>
      </c>
      <c r="H1026" s="377">
        <v>122.94</v>
      </c>
      <c r="I1026" s="340">
        <v>12294</v>
      </c>
      <c r="J1026" s="267"/>
      <c r="K1026" s="260"/>
      <c r="L1026" s="261"/>
      <c r="M1026" s="261"/>
      <c r="N1026" s="261"/>
    </row>
    <row r="1027" spans="1:14" s="45" customFormat="1">
      <c r="A1027" s="286" t="s">
        <v>159</v>
      </c>
      <c r="B1027" s="263"/>
      <c r="C1027" s="278"/>
      <c r="D1027" s="279"/>
      <c r="E1027" s="280"/>
      <c r="F1027" s="280"/>
      <c r="G1027" s="281" t="s">
        <v>160</v>
      </c>
      <c r="H1027" s="287">
        <v>122.94</v>
      </c>
      <c r="I1027" s="283"/>
      <c r="J1027" s="267"/>
      <c r="K1027" s="260"/>
      <c r="L1027" s="261"/>
      <c r="M1027" s="261"/>
      <c r="N1027" s="261"/>
    </row>
    <row r="1028" spans="1:14" s="45" customFormat="1">
      <c r="A1028" s="296"/>
      <c r="B1028" s="297"/>
      <c r="C1028" s="278"/>
      <c r="D1028" s="279"/>
      <c r="E1028" s="280"/>
      <c r="F1028" s="280"/>
      <c r="G1028" s="281"/>
      <c r="H1028" s="282"/>
      <c r="I1028" s="283"/>
      <c r="J1028" s="267"/>
      <c r="K1028" s="260"/>
      <c r="L1028" s="261"/>
      <c r="M1028" s="261"/>
      <c r="N1028" s="261"/>
    </row>
    <row r="1029" spans="1:14" s="45" customFormat="1" ht="15.75" thickBot="1">
      <c r="A1029" s="296" t="s">
        <v>26</v>
      </c>
      <c r="B1029" s="297"/>
      <c r="C1029" s="299"/>
      <c r="D1029" s="347"/>
      <c r="E1029" s="348"/>
      <c r="F1029" s="349" t="s">
        <v>161</v>
      </c>
      <c r="G1029" s="350">
        <v>20325.999000000003</v>
      </c>
      <c r="H1029" s="351">
        <v>20326</v>
      </c>
      <c r="I1029" s="305"/>
      <c r="J1029" s="267"/>
      <c r="K1029" s="260"/>
      <c r="L1029" s="261"/>
      <c r="M1029" s="261"/>
      <c r="N1029" s="261"/>
    </row>
    <row r="1030" spans="1:14" s="45" customFormat="1" ht="15.75" hidden="1" thickTop="1">
      <c r="A1030" s="296" t="s">
        <v>188</v>
      </c>
      <c r="B1030" s="297"/>
      <c r="C1030" s="314" t="s">
        <v>96</v>
      </c>
      <c r="D1030" s="315"/>
      <c r="E1030" s="316"/>
      <c r="F1030" s="316"/>
      <c r="G1030" s="318"/>
      <c r="H1030" s="319"/>
      <c r="I1030" s="283"/>
      <c r="J1030" s="267"/>
      <c r="K1030" s="260"/>
      <c r="L1030" s="261"/>
      <c r="M1030" s="261"/>
      <c r="N1030" s="261"/>
    </row>
    <row r="1031" spans="1:14" s="45" customFormat="1" ht="15.75" hidden="1" thickTop="1">
      <c r="A1031" s="284" t="s">
        <v>99</v>
      </c>
      <c r="B1031" s="297"/>
      <c r="C1031" s="352" t="s">
        <v>100</v>
      </c>
      <c r="D1031" s="353"/>
      <c r="E1031" s="354"/>
      <c r="F1031" s="372">
        <v>0.185</v>
      </c>
      <c r="G1031" s="355"/>
      <c r="H1031" s="356">
        <v>3760.31</v>
      </c>
      <c r="I1031" s="283"/>
      <c r="J1031" s="267"/>
      <c r="K1031" s="260"/>
      <c r="L1031" s="261"/>
      <c r="M1031" s="261"/>
      <c r="N1031" s="261"/>
    </row>
    <row r="1032" spans="1:14" s="45" customFormat="1" ht="15.75" hidden="1" thickTop="1">
      <c r="A1032" s="284" t="s">
        <v>189</v>
      </c>
      <c r="B1032" s="297"/>
      <c r="C1032" s="352" t="s">
        <v>102</v>
      </c>
      <c r="D1032" s="353"/>
      <c r="E1032" s="354"/>
      <c r="F1032" s="372">
        <v>0.05</v>
      </c>
      <c r="G1032" s="355"/>
      <c r="H1032" s="356">
        <v>1016.3</v>
      </c>
      <c r="I1032" s="283"/>
      <c r="J1032" s="267"/>
      <c r="K1032" s="260"/>
      <c r="L1032" s="261"/>
      <c r="M1032" s="261"/>
      <c r="N1032" s="261"/>
    </row>
    <row r="1033" spans="1:14" s="45" customFormat="1" ht="15.75" hidden="1" thickTop="1">
      <c r="A1033" s="284" t="s">
        <v>103</v>
      </c>
      <c r="B1033" s="297"/>
      <c r="C1033" s="352" t="s">
        <v>104</v>
      </c>
      <c r="D1033" s="353"/>
      <c r="E1033" s="354"/>
      <c r="F1033" s="372">
        <v>0.08</v>
      </c>
      <c r="G1033" s="355"/>
      <c r="H1033" s="356">
        <v>1626.08</v>
      </c>
      <c r="I1033" s="283"/>
      <c r="J1033" s="267"/>
      <c r="K1033" s="260"/>
      <c r="L1033" s="261"/>
      <c r="M1033" s="261"/>
      <c r="N1033" s="261"/>
    </row>
    <row r="1034" spans="1:14" s="45" customFormat="1" ht="15.75" hidden="1" thickTop="1">
      <c r="A1034" s="284" t="s">
        <v>106</v>
      </c>
      <c r="B1034" s="297"/>
      <c r="C1034" s="352" t="s">
        <v>107</v>
      </c>
      <c r="D1034" s="353"/>
      <c r="E1034" s="354"/>
      <c r="F1034" s="372">
        <v>0.16</v>
      </c>
      <c r="G1034" s="355"/>
      <c r="H1034" s="356">
        <v>260.17</v>
      </c>
      <c r="I1034" s="283"/>
      <c r="J1034" s="267"/>
      <c r="K1034" s="260"/>
      <c r="L1034" s="261"/>
      <c r="M1034" s="261"/>
      <c r="N1034" s="261"/>
    </row>
    <row r="1035" spans="1:14" s="45" customFormat="1" ht="15.75" hidden="1" thickTop="1">
      <c r="A1035" s="296" t="s">
        <v>190</v>
      </c>
      <c r="B1035" s="297"/>
      <c r="C1035" s="285" t="s">
        <v>191</v>
      </c>
      <c r="D1035" s="279"/>
      <c r="E1035" s="280"/>
      <c r="F1035" s="280"/>
      <c r="G1035" s="326"/>
      <c r="H1035" s="327">
        <v>6662.86</v>
      </c>
      <c r="I1035" s="298">
        <v>-7229</v>
      </c>
      <c r="J1035" s="267"/>
      <c r="K1035" s="260"/>
      <c r="L1035" s="261"/>
      <c r="M1035" s="261"/>
      <c r="N1035" s="261"/>
    </row>
    <row r="1036" spans="1:14" s="45" customFormat="1" ht="16.5" hidden="1" thickTop="1" thickBot="1">
      <c r="A1036" s="296" t="s">
        <v>192</v>
      </c>
      <c r="B1036" s="297"/>
      <c r="C1036" s="357"/>
      <c r="D1036" s="358"/>
      <c r="E1036" s="359"/>
      <c r="F1036" s="349" t="s">
        <v>193</v>
      </c>
      <c r="G1036" s="360">
        <v>26988.86</v>
      </c>
      <c r="H1036" s="351">
        <v>26989</v>
      </c>
      <c r="I1036" s="305">
        <v>19760</v>
      </c>
      <c r="J1036" s="267"/>
      <c r="K1036" s="260"/>
      <c r="L1036" s="261"/>
      <c r="M1036" s="261"/>
      <c r="N1036" s="261"/>
    </row>
    <row r="1037" spans="1:14" s="45" customFormat="1" ht="15.75" thickTop="1">
      <c r="A1037"/>
      <c r="B1037"/>
      <c r="C1037" s="19"/>
      <c r="D1037" s="306"/>
      <c r="E1037" s="19"/>
      <c r="F1037" s="19"/>
      <c r="G1037" s="19"/>
      <c r="H1037" s="19"/>
      <c r="I1037" s="260"/>
      <c r="J1037" s="260"/>
      <c r="K1037" s="260"/>
      <c r="L1037" s="261"/>
      <c r="M1037" s="261"/>
      <c r="N1037" s="261"/>
    </row>
    <row r="1038" spans="1:14" s="45" customFormat="1" ht="15.75" thickBot="1">
      <c r="A1038"/>
      <c r="B1038"/>
      <c r="C1038" s="19"/>
      <c r="D1038" s="306"/>
      <c r="E1038" s="19"/>
      <c r="F1038" s="19"/>
      <c r="G1038" s="19"/>
      <c r="H1038" s="19"/>
      <c r="I1038" s="260"/>
      <c r="J1038" s="260"/>
      <c r="K1038" s="260"/>
      <c r="L1038" s="261"/>
      <c r="M1038" s="261"/>
      <c r="N1038" s="261"/>
    </row>
    <row r="1039" spans="1:14" s="45" customFormat="1" ht="12.95" customHeight="1" thickTop="1">
      <c r="A1039" s="262" t="s">
        <v>355</v>
      </c>
      <c r="B1039" s="263"/>
      <c r="C1039" s="1651" t="s">
        <v>90</v>
      </c>
      <c r="D1039" s="1652"/>
      <c r="E1039" s="1652"/>
      <c r="F1039" s="1652"/>
      <c r="G1039" s="264"/>
      <c r="H1039" s="265" t="s">
        <v>224</v>
      </c>
      <c r="I1039" s="266" t="s">
        <v>126</v>
      </c>
      <c r="J1039" s="267"/>
      <c r="K1039" s="260"/>
      <c r="L1039" s="261"/>
      <c r="M1039" s="261"/>
      <c r="N1039" s="261"/>
    </row>
    <row r="1040" spans="1:14" s="45" customFormat="1" ht="12.95" customHeight="1">
      <c r="A1040" s="262"/>
      <c r="B1040" s="263"/>
      <c r="C1040" s="1653"/>
      <c r="D1040" s="1654"/>
      <c r="E1040" s="1654"/>
      <c r="F1040" s="1654"/>
      <c r="G1040" s="268"/>
      <c r="H1040" s="269" t="s">
        <v>179</v>
      </c>
      <c r="I1040" s="270">
        <v>1000</v>
      </c>
      <c r="J1040" s="267"/>
      <c r="K1040" s="260"/>
      <c r="L1040" s="261"/>
      <c r="M1040" s="261"/>
      <c r="N1040" s="261"/>
    </row>
    <row r="1041" spans="1:14" s="45" customFormat="1">
      <c r="A1041" s="271" t="s">
        <v>128</v>
      </c>
      <c r="B1041" s="263"/>
      <c r="C1041" s="373" t="s">
        <v>21</v>
      </c>
      <c r="D1041" s="374" t="s">
        <v>22</v>
      </c>
      <c r="E1041" s="375" t="s">
        <v>23</v>
      </c>
      <c r="F1041" s="375" t="s">
        <v>129</v>
      </c>
      <c r="G1041" s="376" t="s">
        <v>130</v>
      </c>
      <c r="H1041" s="377" t="s">
        <v>131</v>
      </c>
      <c r="I1041" s="340"/>
      <c r="J1041" s="267"/>
      <c r="K1041" s="260"/>
      <c r="L1041" s="261"/>
      <c r="M1041" s="261"/>
      <c r="N1041" s="261"/>
    </row>
    <row r="1042" spans="1:14" s="45" customFormat="1">
      <c r="A1042" s="271"/>
      <c r="B1042" s="263"/>
      <c r="C1042" s="278"/>
      <c r="D1042" s="279"/>
      <c r="E1042" s="280"/>
      <c r="F1042" s="280"/>
      <c r="G1042" s="281"/>
      <c r="H1042" s="282"/>
      <c r="I1042" s="283"/>
      <c r="J1042" s="267"/>
      <c r="K1042" s="260"/>
      <c r="L1042" s="261"/>
      <c r="M1042" s="261"/>
      <c r="N1042" s="261"/>
    </row>
    <row r="1043" spans="1:14" s="45" customFormat="1">
      <c r="A1043" s="284" t="s">
        <v>132</v>
      </c>
      <c r="B1043" s="263"/>
      <c r="C1043" s="285" t="s">
        <v>133</v>
      </c>
      <c r="D1043" s="279"/>
      <c r="E1043" s="280"/>
      <c r="F1043" s="280"/>
      <c r="G1043" s="281"/>
      <c r="H1043" s="282"/>
      <c r="I1043" s="283"/>
      <c r="J1043" s="267"/>
      <c r="K1043" s="260"/>
      <c r="L1043" s="261"/>
      <c r="M1043" s="261"/>
      <c r="N1043" s="261"/>
    </row>
    <row r="1044" spans="1:14" s="45" customFormat="1">
      <c r="A1044" s="284">
        <v>100070</v>
      </c>
      <c r="B1044" s="263" t="s">
        <v>85</v>
      </c>
      <c r="C1044" s="373" t="s">
        <v>356</v>
      </c>
      <c r="D1044" s="374" t="s">
        <v>142</v>
      </c>
      <c r="E1044" s="375">
        <v>0.32100000000000001</v>
      </c>
      <c r="F1044" s="375">
        <v>5</v>
      </c>
      <c r="G1044" s="376">
        <v>3880</v>
      </c>
      <c r="H1044" s="377">
        <v>1307.75</v>
      </c>
      <c r="I1044" s="340">
        <v>337.05</v>
      </c>
      <c r="J1044" s="267"/>
      <c r="K1044" s="260"/>
      <c r="L1044" s="261"/>
      <c r="M1044" s="261"/>
      <c r="N1044" s="261"/>
    </row>
    <row r="1045" spans="1:14" s="45" customFormat="1">
      <c r="A1045" s="284">
        <v>103222</v>
      </c>
      <c r="B1045" s="263" t="s">
        <v>291</v>
      </c>
      <c r="C1045" s="373" t="s">
        <v>296</v>
      </c>
      <c r="D1045" s="374" t="s">
        <v>170</v>
      </c>
      <c r="E1045" s="375">
        <v>5.0000000000000001E-3</v>
      </c>
      <c r="F1045" s="375">
        <v>0</v>
      </c>
      <c r="G1045" s="376">
        <v>62320</v>
      </c>
      <c r="H1045" s="377">
        <v>311.60000000000002</v>
      </c>
      <c r="I1045" s="340">
        <v>5</v>
      </c>
      <c r="J1045" s="267"/>
      <c r="K1045" s="260"/>
      <c r="L1045" s="261"/>
      <c r="M1045" s="261"/>
      <c r="N1045" s="261"/>
    </row>
    <row r="1046" spans="1:14" s="45" customFormat="1">
      <c r="A1046" s="286" t="s">
        <v>143</v>
      </c>
      <c r="B1046" s="263"/>
      <c r="C1046" s="278"/>
      <c r="D1046" s="279"/>
      <c r="E1046" s="280"/>
      <c r="F1046" s="280"/>
      <c r="G1046" s="281" t="s">
        <v>144</v>
      </c>
      <c r="H1046" s="287">
        <v>1619.35</v>
      </c>
      <c r="I1046" s="283"/>
      <c r="J1046" s="267"/>
      <c r="K1046" s="260"/>
      <c r="L1046" s="261"/>
      <c r="M1046" s="261"/>
      <c r="N1046" s="261"/>
    </row>
    <row r="1047" spans="1:14" s="45" customFormat="1" ht="27" customHeight="1">
      <c r="A1047" s="284" t="s">
        <v>145</v>
      </c>
      <c r="B1047" s="263"/>
      <c r="C1047" s="288" t="s">
        <v>146</v>
      </c>
      <c r="D1047" s="279" t="s">
        <v>147</v>
      </c>
      <c r="E1047" s="279" t="s">
        <v>148</v>
      </c>
      <c r="F1047" s="279" t="s">
        <v>149</v>
      </c>
      <c r="G1047" s="289" t="s">
        <v>150</v>
      </c>
      <c r="H1047" s="290" t="s">
        <v>151</v>
      </c>
      <c r="I1047" s="283"/>
      <c r="J1047" s="267"/>
      <c r="K1047" s="260"/>
      <c r="L1047" s="261"/>
      <c r="M1047" s="261"/>
      <c r="N1047" s="261"/>
    </row>
    <row r="1048" spans="1:14" s="45" customFormat="1">
      <c r="A1048" s="284">
        <v>200023</v>
      </c>
      <c r="B1048" s="263" t="s">
        <v>146</v>
      </c>
      <c r="C1048" s="373" t="s">
        <v>300</v>
      </c>
      <c r="D1048" s="367">
        <v>85565</v>
      </c>
      <c r="E1048" s="368">
        <v>1.85</v>
      </c>
      <c r="F1048" s="369">
        <v>158295</v>
      </c>
      <c r="G1048" s="370">
        <v>799.995</v>
      </c>
      <c r="H1048" s="377">
        <v>197.869</v>
      </c>
      <c r="I1048" s="340">
        <v>1.2500078125488283</v>
      </c>
      <c r="J1048" s="267"/>
      <c r="K1048" s="260"/>
      <c r="L1048" s="261"/>
      <c r="M1048" s="261"/>
      <c r="N1048" s="261"/>
    </row>
    <row r="1049" spans="1:14" s="45" customFormat="1">
      <c r="A1049" s="284">
        <v>200026</v>
      </c>
      <c r="B1049" s="263" t="s">
        <v>146</v>
      </c>
      <c r="C1049" s="373" t="s">
        <v>301</v>
      </c>
      <c r="D1049" s="367">
        <v>75762</v>
      </c>
      <c r="E1049" s="368">
        <v>1.85</v>
      </c>
      <c r="F1049" s="369">
        <v>140159</v>
      </c>
      <c r="G1049" s="370">
        <v>3999.9720000000002</v>
      </c>
      <c r="H1049" s="377">
        <v>35.039000000000001</v>
      </c>
      <c r="I1049" s="340">
        <v>0.25000175001225006</v>
      </c>
      <c r="J1049" s="267"/>
      <c r="K1049" s="260"/>
      <c r="L1049" s="261"/>
      <c r="M1049" s="261"/>
      <c r="N1049" s="261"/>
    </row>
    <row r="1050" spans="1:14" s="45" customFormat="1">
      <c r="A1050" s="286" t="s">
        <v>153</v>
      </c>
      <c r="B1050" s="263"/>
      <c r="C1050" s="278"/>
      <c r="D1050" s="279"/>
      <c r="E1050" s="280"/>
      <c r="F1050" s="280"/>
      <c r="G1050" s="281" t="s">
        <v>154</v>
      </c>
      <c r="H1050" s="287">
        <v>232.90800000000002</v>
      </c>
      <c r="I1050" s="283"/>
      <c r="J1050" s="267"/>
      <c r="K1050" s="260"/>
      <c r="L1050" s="261"/>
      <c r="M1050" s="261"/>
      <c r="N1050" s="261"/>
    </row>
    <row r="1051" spans="1:14" s="45" customFormat="1">
      <c r="A1051" s="284" t="s">
        <v>155</v>
      </c>
      <c r="B1051" s="263"/>
      <c r="C1051" s="295" t="s">
        <v>156</v>
      </c>
      <c r="D1051" s="279"/>
      <c r="E1051" s="280"/>
      <c r="F1051" s="280"/>
      <c r="G1051" s="281"/>
      <c r="H1051" s="282"/>
      <c r="I1051" s="283"/>
      <c r="J1051" s="267"/>
      <c r="K1051" s="260"/>
      <c r="L1051" s="261"/>
      <c r="M1051" s="261"/>
      <c r="N1051" s="261"/>
    </row>
    <row r="1052" spans="1:14" s="45" customFormat="1">
      <c r="A1052" s="284">
        <v>300026</v>
      </c>
      <c r="B1052" s="263" t="s">
        <v>156</v>
      </c>
      <c r="C1052" s="373" t="s">
        <v>157</v>
      </c>
      <c r="D1052" s="374" t="s">
        <v>158</v>
      </c>
      <c r="E1052" s="368">
        <v>0.05</v>
      </c>
      <c r="F1052" s="375">
        <v>0</v>
      </c>
      <c r="G1052" s="376">
        <v>232.90800000000002</v>
      </c>
      <c r="H1052" s="377">
        <v>11.64</v>
      </c>
      <c r="I1052" s="340">
        <v>11640</v>
      </c>
      <c r="J1052" s="267"/>
      <c r="K1052" s="260"/>
      <c r="L1052" s="261"/>
      <c r="M1052" s="261"/>
      <c r="N1052" s="261"/>
    </row>
    <row r="1053" spans="1:14" s="45" customFormat="1">
      <c r="A1053" s="286" t="s">
        <v>159</v>
      </c>
      <c r="B1053" s="263"/>
      <c r="C1053" s="278"/>
      <c r="D1053" s="279"/>
      <c r="E1053" s="280"/>
      <c r="F1053" s="280"/>
      <c r="G1053" s="281" t="s">
        <v>160</v>
      </c>
      <c r="H1053" s="287">
        <v>11.64</v>
      </c>
      <c r="I1053" s="283"/>
      <c r="J1053" s="267"/>
      <c r="K1053" s="260"/>
      <c r="L1053" s="261"/>
      <c r="M1053" s="261"/>
      <c r="N1053" s="261"/>
    </row>
    <row r="1054" spans="1:14" s="45" customFormat="1">
      <c r="A1054" s="296"/>
      <c r="B1054" s="297"/>
      <c r="C1054" s="278"/>
      <c r="D1054" s="279"/>
      <c r="E1054" s="280"/>
      <c r="F1054" s="280"/>
      <c r="G1054" s="281"/>
      <c r="H1054" s="282"/>
      <c r="I1054" s="283"/>
      <c r="J1054" s="267"/>
      <c r="K1054" s="260"/>
      <c r="L1054" s="261"/>
      <c r="M1054" s="261"/>
      <c r="N1054" s="261"/>
    </row>
    <row r="1055" spans="1:14" s="45" customFormat="1" ht="15.75" thickBot="1">
      <c r="A1055" s="296" t="s">
        <v>26</v>
      </c>
      <c r="B1055" s="297"/>
      <c r="C1055" s="299"/>
      <c r="D1055" s="347"/>
      <c r="E1055" s="348"/>
      <c r="F1055" s="349" t="s">
        <v>161</v>
      </c>
      <c r="G1055" s="350">
        <v>1863.8979999999999</v>
      </c>
      <c r="H1055" s="351">
        <v>1864</v>
      </c>
      <c r="I1055" s="305"/>
      <c r="J1055" s="267"/>
      <c r="K1055" s="260"/>
      <c r="L1055" s="261"/>
      <c r="M1055" s="261"/>
      <c r="N1055" s="261"/>
    </row>
    <row r="1056" spans="1:14" s="45" customFormat="1" ht="15.75" hidden="1" thickTop="1">
      <c r="A1056" s="296" t="s">
        <v>188</v>
      </c>
      <c r="B1056" s="297"/>
      <c r="C1056" s="314" t="s">
        <v>96</v>
      </c>
      <c r="D1056" s="315"/>
      <c r="E1056" s="316"/>
      <c r="F1056" s="316"/>
      <c r="G1056" s="318"/>
      <c r="H1056" s="319"/>
      <c r="I1056" s="283"/>
      <c r="J1056" s="267"/>
      <c r="K1056" s="260"/>
      <c r="L1056" s="261"/>
      <c r="M1056" s="261"/>
      <c r="N1056" s="261"/>
    </row>
    <row r="1057" spans="1:14" s="45" customFormat="1" ht="15.75" hidden="1" thickTop="1">
      <c r="A1057" s="284" t="s">
        <v>99</v>
      </c>
      <c r="B1057" s="297"/>
      <c r="C1057" s="352" t="s">
        <v>100</v>
      </c>
      <c r="D1057" s="353"/>
      <c r="E1057" s="354"/>
      <c r="F1057" s="372">
        <v>0.185</v>
      </c>
      <c r="G1057" s="355"/>
      <c r="H1057" s="356">
        <v>344.84</v>
      </c>
      <c r="I1057" s="283"/>
      <c r="J1057" s="267"/>
      <c r="K1057" s="260"/>
      <c r="L1057" s="261"/>
      <c r="M1057" s="261"/>
      <c r="N1057" s="261"/>
    </row>
    <row r="1058" spans="1:14" s="45" customFormat="1" ht="15.75" hidden="1" thickTop="1">
      <c r="A1058" s="284" t="s">
        <v>189</v>
      </c>
      <c r="B1058" s="297"/>
      <c r="C1058" s="352" t="s">
        <v>102</v>
      </c>
      <c r="D1058" s="353"/>
      <c r="E1058" s="354"/>
      <c r="F1058" s="372">
        <v>0.05</v>
      </c>
      <c r="G1058" s="355"/>
      <c r="H1058" s="356">
        <v>93.2</v>
      </c>
      <c r="I1058" s="283"/>
      <c r="J1058" s="267"/>
      <c r="K1058" s="260"/>
      <c r="L1058" s="261"/>
      <c r="M1058" s="261"/>
      <c r="N1058" s="261"/>
    </row>
    <row r="1059" spans="1:14" s="45" customFormat="1" ht="15.75" hidden="1" thickTop="1">
      <c r="A1059" s="284" t="s">
        <v>103</v>
      </c>
      <c r="B1059" s="297"/>
      <c r="C1059" s="352" t="s">
        <v>104</v>
      </c>
      <c r="D1059" s="353"/>
      <c r="E1059" s="354"/>
      <c r="F1059" s="372">
        <v>0.08</v>
      </c>
      <c r="G1059" s="355"/>
      <c r="H1059" s="356">
        <v>149.12</v>
      </c>
      <c r="I1059" s="283"/>
      <c r="J1059" s="267"/>
      <c r="K1059" s="260"/>
      <c r="L1059" s="261"/>
      <c r="M1059" s="261"/>
      <c r="N1059" s="261"/>
    </row>
    <row r="1060" spans="1:14" s="45" customFormat="1" ht="15.75" hidden="1" thickTop="1">
      <c r="A1060" s="284" t="s">
        <v>106</v>
      </c>
      <c r="B1060" s="297"/>
      <c r="C1060" s="352" t="s">
        <v>107</v>
      </c>
      <c r="D1060" s="353"/>
      <c r="E1060" s="354"/>
      <c r="F1060" s="372">
        <v>0.16</v>
      </c>
      <c r="G1060" s="355"/>
      <c r="H1060" s="356">
        <v>23.86</v>
      </c>
      <c r="I1060" s="283"/>
      <c r="J1060" s="267"/>
      <c r="K1060" s="260"/>
      <c r="L1060" s="261"/>
      <c r="M1060" s="261"/>
      <c r="N1060" s="261"/>
    </row>
    <row r="1061" spans="1:14" s="45" customFormat="1" ht="15.75" hidden="1" thickTop="1">
      <c r="A1061" s="296" t="s">
        <v>190</v>
      </c>
      <c r="B1061" s="297"/>
      <c r="C1061" s="285" t="s">
        <v>191</v>
      </c>
      <c r="D1061" s="279"/>
      <c r="E1061" s="280"/>
      <c r="F1061" s="280"/>
      <c r="G1061" s="326"/>
      <c r="H1061" s="327">
        <v>611.02</v>
      </c>
      <c r="I1061" s="298">
        <v>-635</v>
      </c>
      <c r="J1061" s="267"/>
      <c r="K1061" s="260"/>
      <c r="L1061" s="261"/>
      <c r="M1061" s="261"/>
      <c r="N1061" s="261"/>
    </row>
    <row r="1062" spans="1:14" s="45" customFormat="1" ht="16.5" hidden="1" thickTop="1" thickBot="1">
      <c r="A1062" s="296" t="s">
        <v>192</v>
      </c>
      <c r="B1062" s="297"/>
      <c r="C1062" s="357"/>
      <c r="D1062" s="358"/>
      <c r="E1062" s="359"/>
      <c r="F1062" s="349" t="s">
        <v>193</v>
      </c>
      <c r="G1062" s="360">
        <v>2475.02</v>
      </c>
      <c r="H1062" s="351">
        <v>2475</v>
      </c>
      <c r="I1062" s="305">
        <v>1840</v>
      </c>
      <c r="J1062" s="267"/>
      <c r="K1062" s="260"/>
      <c r="L1062" s="261"/>
      <c r="M1062" s="261"/>
      <c r="N1062" s="261"/>
    </row>
    <row r="1063" spans="1:14" s="45" customFormat="1" ht="15.75" thickTop="1">
      <c r="A1063"/>
      <c r="B1063"/>
      <c r="C1063" s="19"/>
      <c r="D1063" s="306"/>
      <c r="E1063" s="19"/>
      <c r="F1063" s="19"/>
      <c r="G1063" s="19"/>
      <c r="H1063" s="19"/>
      <c r="I1063" s="260"/>
      <c r="J1063" s="260"/>
      <c r="K1063" s="260"/>
      <c r="L1063" s="261"/>
      <c r="M1063" s="261"/>
      <c r="N1063" s="261"/>
    </row>
    <row r="1064" spans="1:14" s="45" customFormat="1">
      <c r="A1064"/>
      <c r="B1064"/>
      <c r="C1064" s="19"/>
      <c r="D1064" s="306"/>
      <c r="E1064" s="19"/>
      <c r="F1064" s="19"/>
      <c r="G1064" s="19"/>
      <c r="H1064" s="19"/>
      <c r="I1064" s="260"/>
      <c r="J1064" s="260"/>
      <c r="K1064" s="260"/>
      <c r="L1064" s="261"/>
      <c r="M1064" s="261"/>
      <c r="N1064" s="261"/>
    </row>
    <row r="1065" spans="1:14" s="45" customFormat="1" ht="15.75" thickBot="1">
      <c r="A1065"/>
      <c r="B1065"/>
      <c r="C1065" s="19"/>
      <c r="D1065" s="306"/>
      <c r="E1065" s="19"/>
      <c r="F1065" s="19"/>
      <c r="G1065" s="19"/>
      <c r="H1065" s="19"/>
      <c r="I1065" s="260"/>
      <c r="J1065" s="260"/>
      <c r="K1065" s="260"/>
      <c r="L1065" s="261"/>
      <c r="M1065" s="261"/>
      <c r="N1065" s="261"/>
    </row>
    <row r="1066" spans="1:14" s="45" customFormat="1" ht="15.75" thickTop="1">
      <c r="A1066" s="262" t="s">
        <v>357</v>
      </c>
      <c r="B1066" s="263"/>
      <c r="C1066" s="1651" t="s">
        <v>91</v>
      </c>
      <c r="D1066" s="1652"/>
      <c r="E1066" s="1652"/>
      <c r="F1066" s="1652"/>
      <c r="G1066" s="264"/>
      <c r="H1066" s="265" t="s">
        <v>319</v>
      </c>
      <c r="I1066" s="266" t="s">
        <v>126</v>
      </c>
      <c r="J1066" s="260"/>
      <c r="K1066" s="260"/>
      <c r="L1066" s="261"/>
      <c r="M1066" s="261"/>
      <c r="N1066" s="261"/>
    </row>
    <row r="1067" spans="1:14" s="45" customFormat="1">
      <c r="A1067" s="262"/>
      <c r="B1067" s="263"/>
      <c r="C1067" s="1653"/>
      <c r="D1067" s="1654"/>
      <c r="E1067" s="1654"/>
      <c r="F1067" s="1654"/>
      <c r="G1067" s="268"/>
      <c r="H1067" s="269" t="s">
        <v>179</v>
      </c>
      <c r="I1067" s="270">
        <v>2</v>
      </c>
      <c r="J1067" s="260"/>
      <c r="K1067" s="260"/>
      <c r="L1067" s="261"/>
      <c r="M1067" s="261"/>
      <c r="N1067" s="261"/>
    </row>
    <row r="1068" spans="1:14" s="45" customFormat="1">
      <c r="A1068" s="271" t="s">
        <v>128</v>
      </c>
      <c r="B1068" s="263"/>
      <c r="C1068" s="373" t="s">
        <v>21</v>
      </c>
      <c r="D1068" s="374" t="s">
        <v>22</v>
      </c>
      <c r="E1068" s="375" t="s">
        <v>23</v>
      </c>
      <c r="F1068" s="375" t="s">
        <v>129</v>
      </c>
      <c r="G1068" s="376" t="s">
        <v>130</v>
      </c>
      <c r="H1068" s="377" t="s">
        <v>131</v>
      </c>
      <c r="I1068" s="340"/>
      <c r="J1068" s="260"/>
      <c r="K1068" s="260"/>
      <c r="L1068" s="261"/>
      <c r="M1068" s="261"/>
      <c r="N1068" s="261"/>
    </row>
    <row r="1069" spans="1:14" s="45" customFormat="1">
      <c r="A1069" s="271"/>
      <c r="B1069" s="263"/>
      <c r="C1069" s="278"/>
      <c r="D1069" s="279"/>
      <c r="E1069" s="280"/>
      <c r="F1069" s="280"/>
      <c r="G1069" s="281"/>
      <c r="H1069" s="282"/>
      <c r="I1069" s="283"/>
      <c r="J1069" s="260"/>
      <c r="K1069" s="260"/>
      <c r="L1069" s="261"/>
      <c r="M1069" s="261"/>
      <c r="N1069" s="261"/>
    </row>
    <row r="1070" spans="1:14" s="45" customFormat="1">
      <c r="A1070" s="284" t="s">
        <v>132</v>
      </c>
      <c r="B1070" s="263"/>
      <c r="C1070" s="285" t="s">
        <v>133</v>
      </c>
      <c r="D1070" s="279"/>
      <c r="E1070" s="280"/>
      <c r="F1070" s="280"/>
      <c r="G1070" s="281"/>
      <c r="H1070" s="282"/>
      <c r="I1070" s="283"/>
      <c r="J1070" s="260"/>
      <c r="K1070" s="260"/>
      <c r="L1070" s="261"/>
      <c r="M1070" s="261"/>
      <c r="N1070" s="261"/>
    </row>
    <row r="1071" spans="1:14" s="45" customFormat="1">
      <c r="A1071" s="284">
        <v>102072</v>
      </c>
      <c r="B1071" s="263" t="s">
        <v>285</v>
      </c>
      <c r="C1071" s="373" t="s">
        <v>286</v>
      </c>
      <c r="D1071" s="374" t="s">
        <v>22</v>
      </c>
      <c r="E1071" s="375">
        <v>0.15</v>
      </c>
      <c r="F1071" s="375">
        <v>0</v>
      </c>
      <c r="G1071" s="376">
        <v>38060</v>
      </c>
      <c r="H1071" s="377">
        <v>5709</v>
      </c>
      <c r="I1071" s="340">
        <v>0.3</v>
      </c>
      <c r="J1071" s="260"/>
      <c r="K1071" s="260"/>
      <c r="L1071" s="261"/>
      <c r="M1071" s="261"/>
      <c r="N1071" s="261"/>
    </row>
    <row r="1072" spans="1:14" s="45" customFormat="1">
      <c r="A1072" s="284">
        <v>101115</v>
      </c>
      <c r="B1072" s="263" t="s">
        <v>134</v>
      </c>
      <c r="C1072" s="373" t="s">
        <v>287</v>
      </c>
      <c r="D1072" s="374" t="s">
        <v>288</v>
      </c>
      <c r="E1072" s="375">
        <v>5</v>
      </c>
      <c r="F1072" s="375">
        <v>0</v>
      </c>
      <c r="G1072" s="376">
        <v>850</v>
      </c>
      <c r="H1072" s="377">
        <v>4250</v>
      </c>
      <c r="I1072" s="340">
        <v>10</v>
      </c>
      <c r="J1072" s="260"/>
      <c r="K1072" s="260"/>
      <c r="L1072" s="261"/>
      <c r="M1072" s="261"/>
      <c r="N1072" s="261"/>
    </row>
    <row r="1073" spans="1:14" s="45" customFormat="1">
      <c r="A1073" s="284">
        <v>101169</v>
      </c>
      <c r="B1073" s="263" t="s">
        <v>85</v>
      </c>
      <c r="C1073" s="373" t="s">
        <v>289</v>
      </c>
      <c r="D1073" s="374" t="s">
        <v>56</v>
      </c>
      <c r="E1073" s="375">
        <v>6</v>
      </c>
      <c r="F1073" s="375">
        <v>5</v>
      </c>
      <c r="G1073" s="376">
        <v>11800</v>
      </c>
      <c r="H1073" s="377">
        <v>74340</v>
      </c>
      <c r="I1073" s="340">
        <v>12.600000000000001</v>
      </c>
      <c r="J1073" s="260"/>
      <c r="K1073" s="260"/>
      <c r="L1073" s="261"/>
      <c r="M1073" s="261"/>
      <c r="N1073" s="261"/>
    </row>
    <row r="1074" spans="1:14" s="45" customFormat="1">
      <c r="A1074" s="284">
        <v>101904</v>
      </c>
      <c r="B1074" s="263" t="s">
        <v>134</v>
      </c>
      <c r="C1074" s="373" t="s">
        <v>290</v>
      </c>
      <c r="D1074" s="374" t="s">
        <v>170</v>
      </c>
      <c r="E1074" s="375">
        <v>0.15</v>
      </c>
      <c r="F1074" s="375">
        <v>0</v>
      </c>
      <c r="G1074" s="376">
        <v>16500</v>
      </c>
      <c r="H1074" s="377">
        <v>2475</v>
      </c>
      <c r="I1074" s="340">
        <v>0.3</v>
      </c>
      <c r="J1074" s="260"/>
      <c r="K1074" s="260"/>
      <c r="L1074" s="261"/>
      <c r="M1074" s="261"/>
      <c r="N1074" s="261"/>
    </row>
    <row r="1075" spans="1:14" s="45" customFormat="1">
      <c r="A1075" s="284">
        <v>101197</v>
      </c>
      <c r="B1075" s="263" t="s">
        <v>291</v>
      </c>
      <c r="C1075" s="373" t="s">
        <v>292</v>
      </c>
      <c r="D1075" s="374" t="s">
        <v>293</v>
      </c>
      <c r="E1075" s="375">
        <v>0.2</v>
      </c>
      <c r="F1075" s="375">
        <v>0</v>
      </c>
      <c r="G1075" s="376">
        <v>37500</v>
      </c>
      <c r="H1075" s="377">
        <v>7500</v>
      </c>
      <c r="I1075" s="340">
        <v>0.4</v>
      </c>
      <c r="J1075" s="260"/>
      <c r="K1075" s="260"/>
      <c r="L1075" s="261"/>
      <c r="M1075" s="261"/>
      <c r="N1075" s="261"/>
    </row>
    <row r="1076" spans="1:14" s="45" customFormat="1">
      <c r="A1076" s="284">
        <v>101008</v>
      </c>
      <c r="B1076" s="263" t="s">
        <v>181</v>
      </c>
      <c r="C1076" s="373" t="s">
        <v>241</v>
      </c>
      <c r="D1076" s="374" t="s">
        <v>142</v>
      </c>
      <c r="E1076" s="375">
        <v>2</v>
      </c>
      <c r="F1076" s="375">
        <v>0</v>
      </c>
      <c r="G1076" s="376">
        <v>2330</v>
      </c>
      <c r="H1076" s="377">
        <v>4660</v>
      </c>
      <c r="I1076" s="340">
        <v>4</v>
      </c>
      <c r="J1076" s="260"/>
      <c r="K1076" s="260"/>
      <c r="L1076" s="261"/>
      <c r="M1076" s="261"/>
      <c r="N1076" s="261"/>
    </row>
    <row r="1077" spans="1:14" s="45" customFormat="1">
      <c r="A1077" s="284">
        <v>101652</v>
      </c>
      <c r="B1077" s="263" t="s">
        <v>252</v>
      </c>
      <c r="C1077" s="373" t="s">
        <v>294</v>
      </c>
      <c r="D1077" s="374" t="s">
        <v>142</v>
      </c>
      <c r="E1077" s="375">
        <v>4.2</v>
      </c>
      <c r="F1077" s="375">
        <v>0</v>
      </c>
      <c r="G1077" s="376">
        <v>6200</v>
      </c>
      <c r="H1077" s="377">
        <v>26040</v>
      </c>
      <c r="I1077" s="340">
        <v>8.4</v>
      </c>
      <c r="J1077" s="260"/>
      <c r="K1077" s="260"/>
      <c r="L1077" s="261"/>
      <c r="M1077" s="261"/>
      <c r="N1077" s="261"/>
    </row>
    <row r="1078" spans="1:14" s="45" customFormat="1">
      <c r="A1078" s="284">
        <v>100110</v>
      </c>
      <c r="B1078" s="263" t="s">
        <v>291</v>
      </c>
      <c r="C1078" s="373" t="s">
        <v>295</v>
      </c>
      <c r="D1078" s="374" t="s">
        <v>170</v>
      </c>
      <c r="E1078" s="375">
        <v>0.2</v>
      </c>
      <c r="F1078" s="375">
        <v>0</v>
      </c>
      <c r="G1078" s="376">
        <v>90800</v>
      </c>
      <c r="H1078" s="377">
        <v>18160</v>
      </c>
      <c r="I1078" s="340">
        <v>0.4</v>
      </c>
      <c r="J1078" s="260"/>
      <c r="K1078" s="260"/>
      <c r="L1078" s="261"/>
      <c r="M1078" s="261"/>
      <c r="N1078" s="261"/>
    </row>
    <row r="1079" spans="1:14" s="45" customFormat="1">
      <c r="A1079" s="284">
        <v>103222</v>
      </c>
      <c r="B1079" s="263" t="s">
        <v>291</v>
      </c>
      <c r="C1079" s="373" t="s">
        <v>296</v>
      </c>
      <c r="D1079" s="374" t="s">
        <v>170</v>
      </c>
      <c r="E1079" s="375">
        <v>0.2</v>
      </c>
      <c r="F1079" s="375">
        <v>0</v>
      </c>
      <c r="G1079" s="376">
        <v>62320</v>
      </c>
      <c r="H1079" s="377">
        <v>12464</v>
      </c>
      <c r="I1079" s="340">
        <v>0.4</v>
      </c>
      <c r="J1079" s="260"/>
      <c r="K1079" s="260"/>
      <c r="L1079" s="261"/>
      <c r="M1079" s="261"/>
      <c r="N1079" s="261"/>
    </row>
    <row r="1080" spans="1:14" s="45" customFormat="1">
      <c r="A1080" s="284">
        <v>103224</v>
      </c>
      <c r="B1080" s="263" t="s">
        <v>85</v>
      </c>
      <c r="C1080" s="373" t="s">
        <v>297</v>
      </c>
      <c r="D1080" s="374" t="s">
        <v>22</v>
      </c>
      <c r="E1080" s="375">
        <v>2.2999999999999998</v>
      </c>
      <c r="F1080" s="375">
        <v>10</v>
      </c>
      <c r="G1080" s="376">
        <v>50500</v>
      </c>
      <c r="H1080" s="377">
        <v>127765</v>
      </c>
      <c r="I1080" s="340">
        <v>5.0599999999999996</v>
      </c>
      <c r="J1080" s="260"/>
      <c r="K1080" s="260"/>
      <c r="L1080" s="261"/>
      <c r="M1080" s="261"/>
      <c r="N1080" s="261"/>
    </row>
    <row r="1081" spans="1:14" s="45" customFormat="1">
      <c r="A1081" s="284">
        <v>105132</v>
      </c>
      <c r="B1081" s="263" t="s">
        <v>181</v>
      </c>
      <c r="C1081" s="373" t="s">
        <v>298</v>
      </c>
      <c r="D1081" s="374" t="s">
        <v>22</v>
      </c>
      <c r="E1081" s="375">
        <v>5.8</v>
      </c>
      <c r="F1081" s="375">
        <v>5</v>
      </c>
      <c r="G1081" s="376">
        <v>7500</v>
      </c>
      <c r="H1081" s="377">
        <v>45675</v>
      </c>
      <c r="I1081" s="340">
        <v>12.18</v>
      </c>
      <c r="J1081" s="260"/>
      <c r="K1081" s="260"/>
      <c r="L1081" s="261"/>
      <c r="M1081" s="261"/>
      <c r="N1081" s="261"/>
    </row>
    <row r="1082" spans="1:14" s="45" customFormat="1">
      <c r="A1082" s="284">
        <v>105019</v>
      </c>
      <c r="B1082" s="263" t="s">
        <v>252</v>
      </c>
      <c r="C1082" s="373" t="s">
        <v>299</v>
      </c>
      <c r="D1082" s="374" t="s">
        <v>22</v>
      </c>
      <c r="E1082" s="375">
        <v>3</v>
      </c>
      <c r="F1082" s="375">
        <v>0</v>
      </c>
      <c r="G1082" s="376">
        <v>5499</v>
      </c>
      <c r="H1082" s="377">
        <v>16497</v>
      </c>
      <c r="I1082" s="340">
        <v>6</v>
      </c>
      <c r="J1082" s="260"/>
      <c r="K1082" s="260"/>
      <c r="L1082" s="261"/>
      <c r="M1082" s="261"/>
      <c r="N1082" s="261"/>
    </row>
    <row r="1083" spans="1:14" s="45" customFormat="1">
      <c r="A1083" s="286" t="s">
        <v>143</v>
      </c>
      <c r="B1083" s="263"/>
      <c r="C1083" s="278"/>
      <c r="D1083" s="279"/>
      <c r="E1083" s="280"/>
      <c r="F1083" s="280"/>
      <c r="G1083" s="281" t="s">
        <v>144</v>
      </c>
      <c r="H1083" s="287">
        <v>345535</v>
      </c>
      <c r="I1083" s="283"/>
      <c r="J1083" s="260"/>
      <c r="K1083" s="260"/>
      <c r="L1083" s="261"/>
      <c r="M1083" s="261"/>
      <c r="N1083" s="261"/>
    </row>
    <row r="1084" spans="1:14" s="45" customFormat="1">
      <c r="A1084" s="284" t="s">
        <v>145</v>
      </c>
      <c r="B1084" s="263"/>
      <c r="C1084" s="288" t="s">
        <v>146</v>
      </c>
      <c r="D1084" s="279" t="s">
        <v>147</v>
      </c>
      <c r="E1084" s="279" t="s">
        <v>148</v>
      </c>
      <c r="F1084" s="279" t="s">
        <v>149</v>
      </c>
      <c r="G1084" s="289" t="s">
        <v>150</v>
      </c>
      <c r="H1084" s="290" t="s">
        <v>151</v>
      </c>
      <c r="I1084" s="283"/>
      <c r="J1084" s="260"/>
      <c r="K1084" s="260"/>
      <c r="L1084" s="261"/>
      <c r="M1084" s="261"/>
      <c r="N1084" s="261"/>
    </row>
    <row r="1085" spans="1:14" s="45" customFormat="1">
      <c r="A1085" s="284">
        <v>200023</v>
      </c>
      <c r="B1085" s="263" t="s">
        <v>146</v>
      </c>
      <c r="C1085" s="373" t="s">
        <v>300</v>
      </c>
      <c r="D1085" s="367">
        <v>85565</v>
      </c>
      <c r="E1085" s="368">
        <v>1.85</v>
      </c>
      <c r="F1085" s="369">
        <v>158295</v>
      </c>
      <c r="G1085" s="370">
        <v>0.76200000000000001</v>
      </c>
      <c r="H1085" s="377">
        <v>207736.22</v>
      </c>
      <c r="I1085" s="340">
        <v>2.6246719160104988</v>
      </c>
      <c r="J1085" s="260"/>
      <c r="K1085" s="260"/>
      <c r="L1085" s="261"/>
      <c r="M1085" s="261"/>
      <c r="N1085" s="261"/>
    </row>
    <row r="1086" spans="1:14" s="45" customFormat="1">
      <c r="A1086" s="284">
        <v>200026</v>
      </c>
      <c r="B1086" s="263" t="s">
        <v>146</v>
      </c>
      <c r="C1086" s="373" t="s">
        <v>301</v>
      </c>
      <c r="D1086" s="367">
        <v>75762</v>
      </c>
      <c r="E1086" s="368">
        <v>1.85</v>
      </c>
      <c r="F1086" s="369">
        <v>140159</v>
      </c>
      <c r="G1086" s="370">
        <v>2.6669999999999998</v>
      </c>
      <c r="H1086" s="377">
        <v>52553.055</v>
      </c>
      <c r="I1086" s="340">
        <v>0.74990626171728536</v>
      </c>
      <c r="J1086" s="260"/>
      <c r="K1086" s="260"/>
      <c r="L1086" s="261"/>
      <c r="M1086" s="261"/>
      <c r="N1086" s="261"/>
    </row>
    <row r="1087" spans="1:14" s="45" customFormat="1">
      <c r="A1087" s="286" t="s">
        <v>153</v>
      </c>
      <c r="B1087" s="263"/>
      <c r="C1087" s="278"/>
      <c r="D1087" s="279"/>
      <c r="E1087" s="280"/>
      <c r="F1087" s="280"/>
      <c r="G1087" s="281" t="s">
        <v>154</v>
      </c>
      <c r="H1087" s="287">
        <v>260289.27499999999</v>
      </c>
      <c r="I1087" s="283"/>
      <c r="J1087" s="260"/>
      <c r="K1087" s="260"/>
      <c r="L1087" s="261"/>
      <c r="M1087" s="261"/>
      <c r="N1087" s="261"/>
    </row>
    <row r="1088" spans="1:14" s="45" customFormat="1">
      <c r="A1088" s="284" t="s">
        <v>155</v>
      </c>
      <c r="B1088" s="263"/>
      <c r="C1088" s="295" t="s">
        <v>156</v>
      </c>
      <c r="D1088" s="279"/>
      <c r="E1088" s="280"/>
      <c r="F1088" s="280"/>
      <c r="G1088" s="281"/>
      <c r="H1088" s="282"/>
      <c r="I1088" s="283"/>
      <c r="J1088" s="260"/>
      <c r="K1088" s="260"/>
      <c r="L1088" s="261"/>
      <c r="M1088" s="261"/>
      <c r="N1088" s="261"/>
    </row>
    <row r="1089" spans="1:14" s="45" customFormat="1">
      <c r="A1089" s="284">
        <v>300026</v>
      </c>
      <c r="B1089" s="263" t="s">
        <v>156</v>
      </c>
      <c r="C1089" s="373" t="s">
        <v>157</v>
      </c>
      <c r="D1089" s="374" t="s">
        <v>158</v>
      </c>
      <c r="E1089" s="368">
        <v>0.05</v>
      </c>
      <c r="F1089" s="375">
        <v>0</v>
      </c>
      <c r="G1089" s="376">
        <v>260289.27499999999</v>
      </c>
      <c r="H1089" s="377">
        <v>13014.46</v>
      </c>
      <c r="I1089" s="340">
        <v>26028.92</v>
      </c>
      <c r="J1089" s="260"/>
      <c r="K1089" s="260"/>
      <c r="L1089" s="261"/>
      <c r="M1089" s="261"/>
      <c r="N1089" s="261"/>
    </row>
    <row r="1090" spans="1:14" s="45" customFormat="1">
      <c r="A1090" s="286" t="s">
        <v>159</v>
      </c>
      <c r="B1090" s="263"/>
      <c r="C1090" s="278"/>
      <c r="D1090" s="279"/>
      <c r="E1090" s="280"/>
      <c r="F1090" s="280"/>
      <c r="G1090" s="281" t="s">
        <v>160</v>
      </c>
      <c r="H1090" s="287">
        <v>13014.46</v>
      </c>
      <c r="I1090" s="283"/>
      <c r="J1090" s="260"/>
      <c r="K1090" s="260"/>
      <c r="L1090" s="261"/>
      <c r="M1090" s="261"/>
      <c r="N1090" s="261"/>
    </row>
    <row r="1091" spans="1:14" s="45" customFormat="1">
      <c r="A1091" s="296"/>
      <c r="B1091" s="297"/>
      <c r="C1091" s="278"/>
      <c r="D1091" s="279"/>
      <c r="E1091" s="280"/>
      <c r="F1091" s="280"/>
      <c r="G1091" s="281"/>
      <c r="H1091" s="282"/>
      <c r="I1091" s="283"/>
      <c r="J1091" s="260"/>
      <c r="K1091" s="260"/>
      <c r="L1091" s="261"/>
      <c r="M1091" s="261"/>
      <c r="N1091" s="261"/>
    </row>
    <row r="1092" spans="1:14" s="45" customFormat="1" ht="15.75" thickBot="1">
      <c r="A1092" s="296" t="s">
        <v>26</v>
      </c>
      <c r="B1092" s="297"/>
      <c r="C1092" s="299"/>
      <c r="D1092" s="347"/>
      <c r="E1092" s="348"/>
      <c r="F1092" s="349" t="s">
        <v>161</v>
      </c>
      <c r="G1092" s="350">
        <v>618838.73499999999</v>
      </c>
      <c r="H1092" s="351">
        <v>618839</v>
      </c>
      <c r="I1092" s="305"/>
      <c r="J1092" s="260"/>
      <c r="K1092" s="260"/>
      <c r="L1092" s="261"/>
      <c r="M1092" s="261"/>
      <c r="N1092" s="261"/>
    </row>
    <row r="1093" spans="1:14" s="45" customFormat="1" ht="15.75" hidden="1" thickTop="1">
      <c r="A1093" s="296" t="s">
        <v>188</v>
      </c>
      <c r="B1093" s="297"/>
      <c r="C1093" s="314" t="s">
        <v>96</v>
      </c>
      <c r="D1093" s="315"/>
      <c r="E1093" s="316"/>
      <c r="F1093" s="316"/>
      <c r="G1093" s="318"/>
      <c r="H1093" s="319"/>
      <c r="I1093" s="283"/>
      <c r="J1093" s="260"/>
      <c r="K1093" s="260"/>
      <c r="L1093" s="261"/>
      <c r="M1093" s="261"/>
      <c r="N1093" s="261"/>
    </row>
    <row r="1094" spans="1:14" s="45" customFormat="1" ht="15.75" hidden="1" thickTop="1">
      <c r="A1094" s="284" t="s">
        <v>99</v>
      </c>
      <c r="B1094" s="297"/>
      <c r="C1094" s="352" t="s">
        <v>100</v>
      </c>
      <c r="D1094" s="353"/>
      <c r="E1094" s="354"/>
      <c r="F1094" s="372">
        <v>0.185</v>
      </c>
      <c r="G1094" s="355"/>
      <c r="H1094" s="356">
        <v>114485.22</v>
      </c>
      <c r="I1094" s="283"/>
      <c r="J1094" s="260"/>
      <c r="K1094" s="260"/>
      <c r="L1094" s="261"/>
      <c r="M1094" s="261"/>
      <c r="N1094" s="261"/>
    </row>
    <row r="1095" spans="1:14" s="45" customFormat="1" ht="15.75" hidden="1" thickTop="1">
      <c r="A1095" s="284" t="s">
        <v>189</v>
      </c>
      <c r="B1095" s="297"/>
      <c r="C1095" s="352" t="s">
        <v>102</v>
      </c>
      <c r="D1095" s="353"/>
      <c r="E1095" s="354"/>
      <c r="F1095" s="372">
        <v>0.05</v>
      </c>
      <c r="G1095" s="355"/>
      <c r="H1095" s="356">
        <v>30941.95</v>
      </c>
      <c r="I1095" s="283"/>
      <c r="J1095" s="260"/>
      <c r="K1095" s="260"/>
      <c r="L1095" s="261"/>
      <c r="M1095" s="261"/>
      <c r="N1095" s="261"/>
    </row>
    <row r="1096" spans="1:14" s="45" customFormat="1" ht="15.75" hidden="1" thickTop="1">
      <c r="A1096" s="284" t="s">
        <v>103</v>
      </c>
      <c r="B1096" s="297"/>
      <c r="C1096" s="352" t="s">
        <v>104</v>
      </c>
      <c r="D1096" s="353"/>
      <c r="E1096" s="354"/>
      <c r="F1096" s="372">
        <v>0.08</v>
      </c>
      <c r="G1096" s="355"/>
      <c r="H1096" s="356">
        <v>49507.12</v>
      </c>
      <c r="I1096" s="283"/>
      <c r="J1096" s="260"/>
      <c r="K1096" s="260"/>
      <c r="L1096" s="261"/>
      <c r="M1096" s="261"/>
      <c r="N1096" s="261"/>
    </row>
    <row r="1097" spans="1:14" s="45" customFormat="1" ht="15.75" hidden="1" thickTop="1">
      <c r="A1097" s="284" t="s">
        <v>106</v>
      </c>
      <c r="B1097" s="297"/>
      <c r="C1097" s="352" t="s">
        <v>107</v>
      </c>
      <c r="D1097" s="353"/>
      <c r="E1097" s="354"/>
      <c r="F1097" s="372">
        <v>0.16</v>
      </c>
      <c r="G1097" s="355"/>
      <c r="H1097" s="356">
        <v>7921.14</v>
      </c>
      <c r="I1097" s="283"/>
      <c r="J1097" s="260"/>
      <c r="K1097" s="260"/>
      <c r="L1097" s="261"/>
      <c r="M1097" s="261"/>
      <c r="N1097" s="261"/>
    </row>
    <row r="1098" spans="1:14" s="45" customFormat="1" ht="15.75" hidden="1" thickTop="1">
      <c r="A1098" s="296" t="s">
        <v>190</v>
      </c>
      <c r="B1098" s="297"/>
      <c r="C1098" s="285" t="s">
        <v>191</v>
      </c>
      <c r="D1098" s="279"/>
      <c r="E1098" s="280"/>
      <c r="F1098" s="280"/>
      <c r="G1098" s="326"/>
      <c r="H1098" s="327">
        <v>202855.43000000002</v>
      </c>
      <c r="I1098" s="298">
        <v>-230604</v>
      </c>
      <c r="J1098" s="260"/>
      <c r="K1098" s="260"/>
      <c r="L1098" s="261"/>
      <c r="M1098" s="261"/>
      <c r="N1098" s="261"/>
    </row>
    <row r="1099" spans="1:14" s="45" customFormat="1" ht="16.5" hidden="1" thickTop="1" thickBot="1">
      <c r="A1099" s="296" t="s">
        <v>192</v>
      </c>
      <c r="B1099" s="297"/>
      <c r="C1099" s="357"/>
      <c r="D1099" s="358"/>
      <c r="E1099" s="359"/>
      <c r="F1099" s="349" t="s">
        <v>193</v>
      </c>
      <c r="G1099" s="360">
        <v>821694.43</v>
      </c>
      <c r="H1099" s="351">
        <v>821694</v>
      </c>
      <c r="I1099" s="305">
        <v>591090</v>
      </c>
      <c r="J1099" s="260"/>
      <c r="K1099" s="260"/>
      <c r="L1099" s="261"/>
      <c r="M1099" s="261"/>
      <c r="N1099" s="261"/>
    </row>
    <row r="1100" spans="1:14" s="45" customFormat="1" ht="15.75" thickTop="1">
      <c r="A1100"/>
      <c r="B1100"/>
      <c r="C1100" s="19"/>
      <c r="D1100" s="306"/>
      <c r="E1100" s="19"/>
      <c r="F1100" s="19"/>
      <c r="G1100" s="19"/>
      <c r="H1100" s="19"/>
      <c r="I1100" s="260"/>
      <c r="J1100" s="260"/>
      <c r="K1100" s="260"/>
      <c r="L1100" s="261"/>
      <c r="M1100" s="261"/>
      <c r="N1100" s="261"/>
    </row>
    <row r="1101" spans="1:14" s="45" customFormat="1" ht="15.75" thickBot="1">
      <c r="A1101"/>
      <c r="B1101"/>
      <c r="C1101" s="19"/>
      <c r="D1101" s="306"/>
      <c r="E1101" s="19"/>
      <c r="F1101" s="19"/>
      <c r="G1101" s="19"/>
      <c r="H1101" s="19"/>
      <c r="I1101" s="260"/>
      <c r="J1101" s="260"/>
      <c r="K1101" s="260"/>
      <c r="L1101" s="261"/>
      <c r="M1101" s="261"/>
      <c r="N1101" s="261"/>
    </row>
    <row r="1102" spans="1:14" s="45" customFormat="1" ht="12.95" customHeight="1" thickTop="1">
      <c r="A1102" s="262" t="s">
        <v>358</v>
      </c>
      <c r="B1102" s="263"/>
      <c r="C1102" s="1651" t="s">
        <v>92</v>
      </c>
      <c r="D1102" s="1652"/>
      <c r="E1102" s="1652"/>
      <c r="F1102" s="1652"/>
      <c r="G1102" s="264"/>
      <c r="H1102" s="265" t="s">
        <v>319</v>
      </c>
      <c r="I1102" s="266" t="s">
        <v>126</v>
      </c>
      <c r="J1102" s="267"/>
      <c r="K1102" s="260"/>
      <c r="L1102" s="261"/>
      <c r="M1102" s="261"/>
      <c r="N1102" s="261"/>
    </row>
    <row r="1103" spans="1:14" s="45" customFormat="1" ht="12.95" customHeight="1">
      <c r="A1103" s="262"/>
      <c r="B1103" s="263"/>
      <c r="C1103" s="1653"/>
      <c r="D1103" s="1654"/>
      <c r="E1103" s="1654"/>
      <c r="F1103" s="1654"/>
      <c r="G1103" s="268"/>
      <c r="H1103" s="269" t="s">
        <v>179</v>
      </c>
      <c r="I1103" s="270">
        <v>1</v>
      </c>
      <c r="J1103" s="267"/>
      <c r="K1103" s="260"/>
      <c r="L1103" s="261"/>
      <c r="M1103" s="261"/>
      <c r="N1103" s="261"/>
    </row>
    <row r="1104" spans="1:14" s="45" customFormat="1">
      <c r="A1104" s="271" t="s">
        <v>128</v>
      </c>
      <c r="B1104" s="263"/>
      <c r="C1104" s="373" t="s">
        <v>21</v>
      </c>
      <c r="D1104" s="374" t="s">
        <v>22</v>
      </c>
      <c r="E1104" s="375" t="s">
        <v>23</v>
      </c>
      <c r="F1104" s="375" t="s">
        <v>129</v>
      </c>
      <c r="G1104" s="376" t="s">
        <v>130</v>
      </c>
      <c r="H1104" s="377" t="s">
        <v>131</v>
      </c>
      <c r="I1104" s="340"/>
      <c r="J1104" s="267"/>
      <c r="K1104" s="260"/>
      <c r="L1104" s="261"/>
      <c r="M1104" s="261"/>
      <c r="N1104" s="261"/>
    </row>
    <row r="1105" spans="1:14" s="45" customFormat="1">
      <c r="A1105" s="271"/>
      <c r="B1105" s="263"/>
      <c r="C1105" s="278"/>
      <c r="D1105" s="279"/>
      <c r="E1105" s="280"/>
      <c r="F1105" s="280"/>
      <c r="G1105" s="281"/>
      <c r="H1105" s="282"/>
      <c r="I1105" s="283"/>
      <c r="J1105" s="267"/>
      <c r="K1105" s="260"/>
      <c r="L1105" s="261"/>
      <c r="M1105" s="261"/>
      <c r="N1105" s="261"/>
    </row>
    <row r="1106" spans="1:14" s="45" customFormat="1">
      <c r="A1106" s="284" t="s">
        <v>132</v>
      </c>
      <c r="B1106" s="263"/>
      <c r="C1106" s="285" t="s">
        <v>133</v>
      </c>
      <c r="D1106" s="279"/>
      <c r="E1106" s="280"/>
      <c r="F1106" s="280"/>
      <c r="G1106" s="281"/>
      <c r="H1106" s="282"/>
      <c r="I1106" s="283"/>
      <c r="J1106" s="267"/>
      <c r="K1106" s="260"/>
      <c r="L1106" s="261"/>
      <c r="M1106" s="261"/>
      <c r="N1106" s="261"/>
    </row>
    <row r="1107" spans="1:14" s="45" customFormat="1">
      <c r="A1107" s="284">
        <v>102072</v>
      </c>
      <c r="B1107" s="263" t="s">
        <v>285</v>
      </c>
      <c r="C1107" s="373" t="s">
        <v>286</v>
      </c>
      <c r="D1107" s="374" t="s">
        <v>22</v>
      </c>
      <c r="E1107" s="375">
        <v>0.15</v>
      </c>
      <c r="F1107" s="375">
        <v>0</v>
      </c>
      <c r="G1107" s="376">
        <v>38060</v>
      </c>
      <c r="H1107" s="377">
        <v>5709</v>
      </c>
      <c r="I1107" s="340">
        <v>0.15</v>
      </c>
      <c r="J1107" s="267"/>
      <c r="K1107" s="260"/>
      <c r="L1107" s="261"/>
      <c r="M1107" s="261"/>
      <c r="N1107" s="261"/>
    </row>
    <row r="1108" spans="1:14" s="45" customFormat="1">
      <c r="A1108" s="284">
        <v>101115</v>
      </c>
      <c r="B1108" s="263" t="s">
        <v>134</v>
      </c>
      <c r="C1108" s="373" t="s">
        <v>287</v>
      </c>
      <c r="D1108" s="374" t="s">
        <v>288</v>
      </c>
      <c r="E1108" s="375">
        <v>5</v>
      </c>
      <c r="F1108" s="375">
        <v>0</v>
      </c>
      <c r="G1108" s="376">
        <v>850</v>
      </c>
      <c r="H1108" s="377">
        <v>4250</v>
      </c>
      <c r="I1108" s="340">
        <v>5</v>
      </c>
      <c r="J1108" s="267"/>
      <c r="K1108" s="260"/>
      <c r="L1108" s="261"/>
      <c r="M1108" s="261"/>
      <c r="N1108" s="261"/>
    </row>
    <row r="1109" spans="1:14" s="45" customFormat="1">
      <c r="A1109" s="284">
        <v>101169</v>
      </c>
      <c r="B1109" s="263" t="s">
        <v>85</v>
      </c>
      <c r="C1109" s="373" t="s">
        <v>289</v>
      </c>
      <c r="D1109" s="374" t="s">
        <v>56</v>
      </c>
      <c r="E1109" s="375">
        <v>4</v>
      </c>
      <c r="F1109" s="375">
        <v>5</v>
      </c>
      <c r="G1109" s="376">
        <v>11800</v>
      </c>
      <c r="H1109" s="377">
        <v>49560</v>
      </c>
      <c r="I1109" s="340">
        <v>4.2</v>
      </c>
      <c r="J1109" s="267"/>
      <c r="K1109" s="260"/>
      <c r="L1109" s="261"/>
      <c r="M1109" s="261"/>
      <c r="N1109" s="261"/>
    </row>
    <row r="1110" spans="1:14" s="45" customFormat="1">
      <c r="A1110" s="284">
        <v>101904</v>
      </c>
      <c r="B1110" s="263" t="s">
        <v>134</v>
      </c>
      <c r="C1110" s="373" t="s">
        <v>290</v>
      </c>
      <c r="D1110" s="374" t="s">
        <v>170</v>
      </c>
      <c r="E1110" s="375">
        <v>0.13</v>
      </c>
      <c r="F1110" s="375">
        <v>0</v>
      </c>
      <c r="G1110" s="376">
        <v>16500</v>
      </c>
      <c r="H1110" s="377">
        <v>2145</v>
      </c>
      <c r="I1110" s="340">
        <v>0.13</v>
      </c>
      <c r="J1110" s="267"/>
      <c r="K1110" s="260"/>
      <c r="L1110" s="261"/>
      <c r="M1110" s="261"/>
      <c r="N1110" s="261"/>
    </row>
    <row r="1111" spans="1:14" s="45" customFormat="1">
      <c r="A1111" s="284">
        <v>101197</v>
      </c>
      <c r="B1111" s="263" t="s">
        <v>291</v>
      </c>
      <c r="C1111" s="373" t="s">
        <v>292</v>
      </c>
      <c r="D1111" s="374" t="s">
        <v>293</v>
      </c>
      <c r="E1111" s="375">
        <v>0.18</v>
      </c>
      <c r="F1111" s="375">
        <v>0</v>
      </c>
      <c r="G1111" s="376">
        <v>37500</v>
      </c>
      <c r="H1111" s="377">
        <v>6750</v>
      </c>
      <c r="I1111" s="340">
        <v>0.18</v>
      </c>
      <c r="J1111" s="267"/>
      <c r="K1111" s="260"/>
      <c r="L1111" s="261"/>
      <c r="M1111" s="261"/>
      <c r="N1111" s="261"/>
    </row>
    <row r="1112" spans="1:14" s="45" customFormat="1">
      <c r="A1112" s="284">
        <v>101008</v>
      </c>
      <c r="B1112" s="263" t="s">
        <v>181</v>
      </c>
      <c r="C1112" s="373" t="s">
        <v>241</v>
      </c>
      <c r="D1112" s="374" t="s">
        <v>142</v>
      </c>
      <c r="E1112" s="375">
        <v>2</v>
      </c>
      <c r="F1112" s="375">
        <v>0</v>
      </c>
      <c r="G1112" s="376">
        <v>2330</v>
      </c>
      <c r="H1112" s="377">
        <v>4660</v>
      </c>
      <c r="I1112" s="340">
        <v>2</v>
      </c>
      <c r="J1112" s="267"/>
      <c r="K1112" s="260"/>
      <c r="L1112" s="261"/>
      <c r="M1112" s="261"/>
      <c r="N1112" s="261"/>
    </row>
    <row r="1113" spans="1:14" s="45" customFormat="1">
      <c r="A1113" s="284">
        <v>101652</v>
      </c>
      <c r="B1113" s="263" t="s">
        <v>252</v>
      </c>
      <c r="C1113" s="373" t="s">
        <v>294</v>
      </c>
      <c r="D1113" s="374" t="s">
        <v>142</v>
      </c>
      <c r="E1113" s="375">
        <v>3.8</v>
      </c>
      <c r="F1113" s="375">
        <v>0</v>
      </c>
      <c r="G1113" s="376">
        <v>6200</v>
      </c>
      <c r="H1113" s="377">
        <v>23560</v>
      </c>
      <c r="I1113" s="340">
        <v>3.8</v>
      </c>
      <c r="J1113" s="267"/>
      <c r="K1113" s="260"/>
      <c r="L1113" s="261"/>
      <c r="M1113" s="261"/>
      <c r="N1113" s="261"/>
    </row>
    <row r="1114" spans="1:14" s="45" customFormat="1">
      <c r="A1114" s="284">
        <v>100110</v>
      </c>
      <c r="B1114" s="263" t="s">
        <v>291</v>
      </c>
      <c r="C1114" s="373" t="s">
        <v>295</v>
      </c>
      <c r="D1114" s="374" t="s">
        <v>170</v>
      </c>
      <c r="E1114" s="375">
        <v>0.18</v>
      </c>
      <c r="F1114" s="375">
        <v>0</v>
      </c>
      <c r="G1114" s="376">
        <v>90800</v>
      </c>
      <c r="H1114" s="377">
        <v>16344</v>
      </c>
      <c r="I1114" s="340">
        <v>0.18</v>
      </c>
      <c r="J1114" s="267"/>
      <c r="K1114" s="260"/>
      <c r="L1114" s="261"/>
      <c r="M1114" s="261"/>
      <c r="N1114" s="261"/>
    </row>
    <row r="1115" spans="1:14" s="45" customFormat="1">
      <c r="A1115" s="284">
        <v>103222</v>
      </c>
      <c r="B1115" s="263" t="s">
        <v>291</v>
      </c>
      <c r="C1115" s="373" t="s">
        <v>296</v>
      </c>
      <c r="D1115" s="374" t="s">
        <v>170</v>
      </c>
      <c r="E1115" s="375">
        <v>0.18</v>
      </c>
      <c r="F1115" s="375">
        <v>0</v>
      </c>
      <c r="G1115" s="376">
        <v>62320</v>
      </c>
      <c r="H1115" s="377">
        <v>11217.6</v>
      </c>
      <c r="I1115" s="340">
        <v>0.18</v>
      </c>
      <c r="J1115" s="267"/>
      <c r="K1115" s="260"/>
      <c r="L1115" s="261"/>
      <c r="M1115" s="261"/>
      <c r="N1115" s="261"/>
    </row>
    <row r="1116" spans="1:14" s="45" customFormat="1">
      <c r="A1116" s="284">
        <v>103223</v>
      </c>
      <c r="B1116" s="263" t="s">
        <v>285</v>
      </c>
      <c r="C1116" s="373" t="s">
        <v>359</v>
      </c>
      <c r="D1116" s="374" t="s">
        <v>22</v>
      </c>
      <c r="E1116" s="375">
        <v>1.9</v>
      </c>
      <c r="F1116" s="375">
        <v>10</v>
      </c>
      <c r="G1116" s="376">
        <v>93000</v>
      </c>
      <c r="H1116" s="377">
        <v>194370</v>
      </c>
      <c r="I1116" s="340">
        <v>2.09</v>
      </c>
      <c r="J1116" s="267"/>
      <c r="K1116" s="260"/>
      <c r="L1116" s="261"/>
      <c r="M1116" s="261"/>
      <c r="N1116" s="261"/>
    </row>
    <row r="1117" spans="1:14" s="45" customFormat="1">
      <c r="A1117" s="284">
        <v>105132</v>
      </c>
      <c r="B1117" s="263" t="s">
        <v>181</v>
      </c>
      <c r="C1117" s="373" t="s">
        <v>298</v>
      </c>
      <c r="D1117" s="374" t="s">
        <v>22</v>
      </c>
      <c r="E1117" s="375">
        <v>4.5999999999999996</v>
      </c>
      <c r="F1117" s="375">
        <v>5</v>
      </c>
      <c r="G1117" s="376">
        <v>7500</v>
      </c>
      <c r="H1117" s="377">
        <v>36225</v>
      </c>
      <c r="I1117" s="340">
        <v>4.83</v>
      </c>
      <c r="J1117" s="267"/>
      <c r="K1117" s="260"/>
      <c r="L1117" s="261"/>
      <c r="M1117" s="261"/>
      <c r="N1117" s="261"/>
    </row>
    <row r="1118" spans="1:14" s="45" customFormat="1">
      <c r="A1118" s="284">
        <v>105019</v>
      </c>
      <c r="B1118" s="263" t="s">
        <v>252</v>
      </c>
      <c r="C1118" s="373" t="s">
        <v>299</v>
      </c>
      <c r="D1118" s="374" t="s">
        <v>22</v>
      </c>
      <c r="E1118" s="375">
        <v>3</v>
      </c>
      <c r="F1118" s="375">
        <v>0</v>
      </c>
      <c r="G1118" s="376">
        <v>5499</v>
      </c>
      <c r="H1118" s="377">
        <v>16497</v>
      </c>
      <c r="I1118" s="340">
        <v>3</v>
      </c>
      <c r="J1118" s="267"/>
      <c r="K1118" s="260"/>
      <c r="L1118" s="261"/>
      <c r="M1118" s="261"/>
      <c r="N1118" s="261"/>
    </row>
    <row r="1119" spans="1:14" s="45" customFormat="1">
      <c r="A1119" s="286" t="s">
        <v>143</v>
      </c>
      <c r="B1119" s="263"/>
      <c r="C1119" s="278"/>
      <c r="D1119" s="279"/>
      <c r="E1119" s="280"/>
      <c r="F1119" s="280"/>
      <c r="G1119" s="281" t="s">
        <v>144</v>
      </c>
      <c r="H1119" s="287">
        <v>371287.6</v>
      </c>
      <c r="I1119" s="283"/>
      <c r="J1119" s="267"/>
      <c r="K1119" s="260"/>
      <c r="L1119" s="261"/>
      <c r="M1119" s="261"/>
      <c r="N1119" s="261"/>
    </row>
    <row r="1120" spans="1:14" s="45" customFormat="1" ht="27" customHeight="1">
      <c r="A1120" s="284" t="s">
        <v>145</v>
      </c>
      <c r="B1120" s="263"/>
      <c r="C1120" s="288" t="s">
        <v>146</v>
      </c>
      <c r="D1120" s="279" t="s">
        <v>147</v>
      </c>
      <c r="E1120" s="279" t="s">
        <v>148</v>
      </c>
      <c r="F1120" s="279" t="s">
        <v>149</v>
      </c>
      <c r="G1120" s="289" t="s">
        <v>150</v>
      </c>
      <c r="H1120" s="290" t="s">
        <v>151</v>
      </c>
      <c r="I1120" s="283"/>
      <c r="J1120" s="267"/>
      <c r="K1120" s="260"/>
      <c r="L1120" s="261"/>
      <c r="M1120" s="261"/>
      <c r="N1120" s="261"/>
    </row>
    <row r="1121" spans="1:14" s="45" customFormat="1">
      <c r="A1121" s="284">
        <v>200023</v>
      </c>
      <c r="B1121" s="263" t="s">
        <v>146</v>
      </c>
      <c r="C1121" s="373" t="s">
        <v>300</v>
      </c>
      <c r="D1121" s="367">
        <v>85565</v>
      </c>
      <c r="E1121" s="368">
        <v>1.85</v>
      </c>
      <c r="F1121" s="369">
        <v>158295</v>
      </c>
      <c r="G1121" s="370">
        <v>0.84199999999999997</v>
      </c>
      <c r="H1121" s="377">
        <v>187998.81200000001</v>
      </c>
      <c r="I1121" s="340">
        <v>1.1876484560570071</v>
      </c>
      <c r="J1121" s="267"/>
      <c r="K1121" s="260"/>
      <c r="L1121" s="261"/>
      <c r="M1121" s="261"/>
      <c r="N1121" s="261"/>
    </row>
    <row r="1122" spans="1:14" s="45" customFormat="1">
      <c r="A1122" s="284">
        <v>200026</v>
      </c>
      <c r="B1122" s="263" t="s">
        <v>146</v>
      </c>
      <c r="C1122" s="373" t="s">
        <v>301</v>
      </c>
      <c r="D1122" s="367">
        <v>75762</v>
      </c>
      <c r="E1122" s="368">
        <v>1.85</v>
      </c>
      <c r="F1122" s="369">
        <v>140159</v>
      </c>
      <c r="G1122" s="370">
        <v>3.2</v>
      </c>
      <c r="H1122" s="377">
        <v>43799.686999999998</v>
      </c>
      <c r="I1122" s="340">
        <v>0.3125</v>
      </c>
      <c r="J1122" s="267"/>
      <c r="K1122" s="260"/>
      <c r="L1122" s="261"/>
      <c r="M1122" s="261"/>
      <c r="N1122" s="261"/>
    </row>
    <row r="1123" spans="1:14" s="45" customFormat="1">
      <c r="A1123" s="286" t="s">
        <v>153</v>
      </c>
      <c r="B1123" s="263"/>
      <c r="C1123" s="278"/>
      <c r="D1123" s="279"/>
      <c r="E1123" s="280"/>
      <c r="F1123" s="280"/>
      <c r="G1123" s="281" t="s">
        <v>154</v>
      </c>
      <c r="H1123" s="287">
        <v>231798.49900000001</v>
      </c>
      <c r="I1123" s="283"/>
      <c r="J1123" s="267"/>
      <c r="K1123" s="260"/>
      <c r="L1123" s="261"/>
      <c r="M1123" s="261"/>
      <c r="N1123" s="261"/>
    </row>
    <row r="1124" spans="1:14" s="45" customFormat="1">
      <c r="A1124" s="284" t="s">
        <v>155</v>
      </c>
      <c r="B1124" s="263"/>
      <c r="C1124" s="295" t="s">
        <v>156</v>
      </c>
      <c r="D1124" s="279"/>
      <c r="E1124" s="280"/>
      <c r="F1124" s="280"/>
      <c r="G1124" s="281"/>
      <c r="H1124" s="282"/>
      <c r="I1124" s="283"/>
      <c r="J1124" s="267"/>
      <c r="K1124" s="260"/>
      <c r="L1124" s="261"/>
      <c r="M1124" s="261"/>
      <c r="N1124" s="261"/>
    </row>
    <row r="1125" spans="1:14" s="45" customFormat="1">
      <c r="A1125" s="284">
        <v>300026</v>
      </c>
      <c r="B1125" s="263" t="s">
        <v>156</v>
      </c>
      <c r="C1125" s="373" t="s">
        <v>157</v>
      </c>
      <c r="D1125" s="374" t="s">
        <v>158</v>
      </c>
      <c r="E1125" s="368">
        <v>0.05</v>
      </c>
      <c r="F1125" s="375">
        <v>0</v>
      </c>
      <c r="G1125" s="376">
        <v>231798.49900000001</v>
      </c>
      <c r="H1125" s="377">
        <v>11589.92</v>
      </c>
      <c r="I1125" s="340">
        <v>11589.92</v>
      </c>
      <c r="J1125" s="267"/>
      <c r="K1125" s="260"/>
      <c r="L1125" s="261"/>
      <c r="M1125" s="261"/>
      <c r="N1125" s="261"/>
    </row>
    <row r="1126" spans="1:14" s="45" customFormat="1">
      <c r="A1126" s="286" t="s">
        <v>159</v>
      </c>
      <c r="B1126" s="263"/>
      <c r="C1126" s="278"/>
      <c r="D1126" s="279"/>
      <c r="E1126" s="280"/>
      <c r="F1126" s="280"/>
      <c r="G1126" s="281" t="s">
        <v>160</v>
      </c>
      <c r="H1126" s="287">
        <v>11589.92</v>
      </c>
      <c r="I1126" s="283"/>
      <c r="J1126" s="267"/>
      <c r="K1126" s="260"/>
      <c r="L1126" s="261"/>
      <c r="M1126" s="261"/>
      <c r="N1126" s="261"/>
    </row>
    <row r="1127" spans="1:14" s="45" customFormat="1">
      <c r="A1127" s="296"/>
      <c r="B1127" s="297"/>
      <c r="C1127" s="278"/>
      <c r="D1127" s="279"/>
      <c r="E1127" s="280"/>
      <c r="F1127" s="280"/>
      <c r="G1127" s="281"/>
      <c r="H1127" s="282"/>
      <c r="I1127" s="283"/>
      <c r="J1127" s="267"/>
      <c r="K1127" s="260"/>
      <c r="L1127" s="261"/>
      <c r="M1127" s="261"/>
      <c r="N1127" s="261"/>
    </row>
    <row r="1128" spans="1:14" s="45" customFormat="1" ht="15.75" thickBot="1">
      <c r="A1128" s="296" t="s">
        <v>26</v>
      </c>
      <c r="B1128" s="297"/>
      <c r="C1128" s="299"/>
      <c r="D1128" s="347"/>
      <c r="E1128" s="348"/>
      <c r="F1128" s="349" t="s">
        <v>161</v>
      </c>
      <c r="G1128" s="350">
        <v>614676.01899999997</v>
      </c>
      <c r="H1128" s="351">
        <v>614676</v>
      </c>
      <c r="I1128" s="305"/>
      <c r="J1128" s="267"/>
      <c r="K1128" s="260"/>
      <c r="L1128" s="261"/>
      <c r="M1128" s="261"/>
      <c r="N1128" s="261"/>
    </row>
    <row r="1129" spans="1:14" s="45" customFormat="1" ht="15.75" hidden="1" thickTop="1">
      <c r="A1129" s="296" t="s">
        <v>188</v>
      </c>
      <c r="B1129" s="297"/>
      <c r="C1129" s="314" t="s">
        <v>96</v>
      </c>
      <c r="D1129" s="315"/>
      <c r="E1129" s="316"/>
      <c r="F1129" s="316"/>
      <c r="G1129" s="318"/>
      <c r="H1129" s="319"/>
      <c r="I1129" s="283"/>
      <c r="J1129" s="267"/>
      <c r="K1129" s="260"/>
      <c r="L1129" s="261"/>
      <c r="M1129" s="261"/>
      <c r="N1129" s="261"/>
    </row>
    <row r="1130" spans="1:14" s="45" customFormat="1" ht="15.75" hidden="1" thickTop="1">
      <c r="A1130" s="284" t="s">
        <v>99</v>
      </c>
      <c r="B1130" s="297"/>
      <c r="C1130" s="352" t="s">
        <v>100</v>
      </c>
      <c r="D1130" s="353"/>
      <c r="E1130" s="354"/>
      <c r="F1130" s="372">
        <v>0.185</v>
      </c>
      <c r="G1130" s="355"/>
      <c r="H1130" s="356">
        <v>113715.06</v>
      </c>
      <c r="I1130" s="283"/>
      <c r="J1130" s="267"/>
      <c r="K1130" s="260"/>
      <c r="L1130" s="261"/>
      <c r="M1130" s="261"/>
      <c r="N1130" s="261"/>
    </row>
    <row r="1131" spans="1:14" s="45" customFormat="1" ht="15.75" hidden="1" thickTop="1">
      <c r="A1131" s="284" t="s">
        <v>189</v>
      </c>
      <c r="B1131" s="297"/>
      <c r="C1131" s="352" t="s">
        <v>102</v>
      </c>
      <c r="D1131" s="353"/>
      <c r="E1131" s="354"/>
      <c r="F1131" s="372">
        <v>0.05</v>
      </c>
      <c r="G1131" s="355"/>
      <c r="H1131" s="356">
        <v>30733.8</v>
      </c>
      <c r="I1131" s="283"/>
      <c r="J1131" s="267"/>
      <c r="K1131" s="260"/>
      <c r="L1131" s="261"/>
      <c r="M1131" s="261"/>
      <c r="N1131" s="261"/>
    </row>
    <row r="1132" spans="1:14" s="45" customFormat="1" ht="15.75" hidden="1" thickTop="1">
      <c r="A1132" s="284" t="s">
        <v>103</v>
      </c>
      <c r="B1132" s="297"/>
      <c r="C1132" s="352" t="s">
        <v>104</v>
      </c>
      <c r="D1132" s="353"/>
      <c r="E1132" s="354"/>
      <c r="F1132" s="372">
        <v>0.08</v>
      </c>
      <c r="G1132" s="355"/>
      <c r="H1132" s="356">
        <v>49174.080000000002</v>
      </c>
      <c r="I1132" s="283"/>
      <c r="J1132" s="267"/>
      <c r="K1132" s="260"/>
      <c r="L1132" s="261"/>
      <c r="M1132" s="261"/>
      <c r="N1132" s="261"/>
    </row>
    <row r="1133" spans="1:14" s="45" customFormat="1" ht="15.75" hidden="1" thickTop="1">
      <c r="A1133" s="284" t="s">
        <v>106</v>
      </c>
      <c r="B1133" s="297"/>
      <c r="C1133" s="352" t="s">
        <v>107</v>
      </c>
      <c r="D1133" s="353"/>
      <c r="E1133" s="354"/>
      <c r="F1133" s="372">
        <v>0.16</v>
      </c>
      <c r="G1133" s="355"/>
      <c r="H1133" s="356">
        <v>7867.85</v>
      </c>
      <c r="I1133" s="283"/>
      <c r="J1133" s="267"/>
      <c r="K1133" s="260"/>
      <c r="L1133" s="261"/>
      <c r="M1133" s="261"/>
      <c r="N1133" s="261"/>
    </row>
    <row r="1134" spans="1:14" s="45" customFormat="1" ht="15.75" hidden="1" thickTop="1">
      <c r="A1134" s="296" t="s">
        <v>190</v>
      </c>
      <c r="B1134" s="297"/>
      <c r="C1134" s="285" t="s">
        <v>191</v>
      </c>
      <c r="D1134" s="279"/>
      <c r="E1134" s="280"/>
      <c r="F1134" s="280"/>
      <c r="G1134" s="326"/>
      <c r="H1134" s="327">
        <v>201490.79</v>
      </c>
      <c r="I1134" s="298">
        <v>-217227</v>
      </c>
      <c r="J1134" s="267"/>
      <c r="K1134" s="260"/>
      <c r="L1134" s="261"/>
      <c r="M1134" s="261"/>
      <c r="N1134" s="261"/>
    </row>
    <row r="1135" spans="1:14" s="45" customFormat="1" ht="16.5" hidden="1" thickTop="1" thickBot="1">
      <c r="A1135" s="296" t="s">
        <v>192</v>
      </c>
      <c r="B1135" s="297"/>
      <c r="C1135" s="357"/>
      <c r="D1135" s="358"/>
      <c r="E1135" s="359"/>
      <c r="F1135" s="349" t="s">
        <v>193</v>
      </c>
      <c r="G1135" s="360">
        <v>816166.79</v>
      </c>
      <c r="H1135" s="351">
        <v>816167</v>
      </c>
      <c r="I1135" s="305">
        <v>598940</v>
      </c>
      <c r="J1135" s="267"/>
      <c r="K1135" s="260"/>
      <c r="L1135" s="261"/>
      <c r="M1135" s="261"/>
      <c r="N1135" s="261"/>
    </row>
    <row r="1136" spans="1:14" s="45" customFormat="1" ht="15.75" thickTop="1">
      <c r="A1136"/>
      <c r="B1136"/>
      <c r="C1136" s="19"/>
      <c r="D1136" s="306"/>
      <c r="E1136" s="19"/>
      <c r="F1136" s="19"/>
      <c r="G1136" s="19"/>
      <c r="H1136" s="19"/>
      <c r="I1136" s="260"/>
      <c r="J1136" s="260"/>
      <c r="K1136" s="260"/>
      <c r="L1136" s="261"/>
      <c r="M1136" s="261"/>
      <c r="N1136" s="261"/>
    </row>
    <row r="1137" spans="1:14" s="45" customFormat="1">
      <c r="A1137"/>
      <c r="B1137"/>
      <c r="C1137" s="19"/>
      <c r="D1137" s="306"/>
      <c r="E1137" s="19"/>
      <c r="F1137" s="19"/>
      <c r="G1137" s="19"/>
      <c r="H1137" s="19"/>
      <c r="I1137" s="260"/>
      <c r="J1137" s="260"/>
      <c r="K1137" s="260"/>
      <c r="L1137" s="261"/>
      <c r="M1137" s="261"/>
      <c r="N1137" s="261"/>
    </row>
    <row r="1138" spans="1:14" s="45" customFormat="1">
      <c r="A1138"/>
      <c r="B1138"/>
      <c r="C1138" s="19"/>
      <c r="D1138" s="306"/>
      <c r="E1138" s="19"/>
      <c r="F1138" s="19"/>
      <c r="G1138" s="19"/>
      <c r="H1138" s="19"/>
      <c r="I1138" s="260"/>
      <c r="J1138" s="260"/>
      <c r="K1138" s="260"/>
      <c r="L1138" s="261"/>
      <c r="M1138" s="261"/>
      <c r="N1138" s="261"/>
    </row>
  </sheetData>
  <mergeCells count="53">
    <mergeCell ref="N3:N4"/>
    <mergeCell ref="C4:E4"/>
    <mergeCell ref="F4:H5"/>
    <mergeCell ref="C5:E5"/>
    <mergeCell ref="N5:N6"/>
    <mergeCell ref="C1:E2"/>
    <mergeCell ref="F1:G2"/>
    <mergeCell ref="H1:H2"/>
    <mergeCell ref="L1:L2"/>
    <mergeCell ref="M1:M2"/>
    <mergeCell ref="C204:F205"/>
    <mergeCell ref="C6:F7"/>
    <mergeCell ref="G7:H7"/>
    <mergeCell ref="C9:F10"/>
    <mergeCell ref="C29:F30"/>
    <mergeCell ref="C49:F50"/>
    <mergeCell ref="C73:F74"/>
    <mergeCell ref="C93:F94"/>
    <mergeCell ref="C120:F121"/>
    <mergeCell ref="C140:F141"/>
    <mergeCell ref="C159:F160"/>
    <mergeCell ref="C177:F178"/>
    <mergeCell ref="C533:F534"/>
    <mergeCell ref="C232:F233"/>
    <mergeCell ref="C261:F262"/>
    <mergeCell ref="C296:F297"/>
    <mergeCell ref="C319:F320"/>
    <mergeCell ref="C342:F343"/>
    <mergeCell ref="C374:F375"/>
    <mergeCell ref="C398:F399"/>
    <mergeCell ref="C424:F425"/>
    <mergeCell ref="C454:F455"/>
    <mergeCell ref="C480:F481"/>
    <mergeCell ref="C507:F508"/>
    <mergeCell ref="C890:F891"/>
    <mergeCell ref="C560:F561"/>
    <mergeCell ref="C591:F592"/>
    <mergeCell ref="C627:F628"/>
    <mergeCell ref="C660:F661"/>
    <mergeCell ref="C689:F690"/>
    <mergeCell ref="C719:F720"/>
    <mergeCell ref="C754:F755"/>
    <mergeCell ref="C784:F785"/>
    <mergeCell ref="C810:F811"/>
    <mergeCell ref="C836:F837"/>
    <mergeCell ref="C862:F863"/>
    <mergeCell ref="C1102:F1103"/>
    <mergeCell ref="C920:F921"/>
    <mergeCell ref="C949:F950"/>
    <mergeCell ref="C978:F979"/>
    <mergeCell ref="C1009:F1010"/>
    <mergeCell ref="C1039:F1040"/>
    <mergeCell ref="C1066:F1067"/>
  </mergeCells>
  <conditionalFormatting sqref="M7">
    <cfRule type="cellIs" dxfId="354" priority="1" stopIfTrue="1" operator="lessThan">
      <formula>0</formula>
    </cfRule>
  </conditionalFormatting>
  <conditionalFormatting sqref="L7">
    <cfRule type="expression" dxfId="353" priority="2" stopIfTrue="1">
      <formula>$M$7&lt;0</formula>
    </cfRule>
  </conditionalFormatting>
  <conditionalFormatting sqref="C6:F7">
    <cfRule type="cellIs" dxfId="352" priority="3" stopIfTrue="1" operator="equal">
      <formula>"ESCRIBA AQUÍ EL NOMBRE DE LA OBRA"</formula>
    </cfRule>
  </conditionalFormatting>
  <conditionalFormatting sqref="H6">
    <cfRule type="cellIs" dxfId="351" priority="4" stopIfTrue="1" operator="equal">
      <formula>0</formula>
    </cfRule>
  </conditionalFormatting>
  <conditionalFormatting sqref="G6">
    <cfRule type="expression" dxfId="350" priority="5" stopIfTrue="1">
      <formula>$H$6=0</formula>
    </cfRule>
  </conditionalFormatting>
  <pageMargins left="0.7" right="0.7" top="0.75" bottom="0.75" header="0.3" footer="0.3"/>
  <pageSetup scale="85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28"/>
  <sheetViews>
    <sheetView showGridLines="0" topLeftCell="B70" zoomScale="120" zoomScaleNormal="120" workbookViewId="0">
      <pane xSplit="1" topLeftCell="C1" activePane="topRight" state="frozen"/>
      <selection activeCell="B6" sqref="B6"/>
      <selection pane="topRight" activeCell="E97" sqref="E97"/>
    </sheetView>
  </sheetViews>
  <sheetFormatPr baseColWidth="10" defaultRowHeight="15"/>
  <cols>
    <col min="1" max="1" width="0" style="1509" hidden="1" customWidth="1"/>
    <col min="2" max="2" width="8" style="1509" customWidth="1"/>
    <col min="3" max="3" width="44" style="1509" customWidth="1"/>
    <col min="4" max="4" width="6.140625" style="1509" customWidth="1"/>
    <col min="5" max="5" width="12" style="1509" customWidth="1"/>
    <col min="6" max="6" width="14" style="1509" customWidth="1"/>
    <col min="7" max="7" width="19.5703125" style="1509" customWidth="1"/>
    <col min="8" max="8" width="33.28515625" style="1509" customWidth="1"/>
    <col min="9" max="9" width="19.42578125" style="1509" customWidth="1"/>
    <col min="10" max="10" width="17.42578125" style="1509" customWidth="1"/>
    <col min="11" max="54" width="11.42578125" style="1509"/>
    <col min="55" max="57" width="0" style="1509" hidden="1" customWidth="1"/>
    <col min="58" max="16384" width="11.42578125" style="1509"/>
  </cols>
  <sheetData>
    <row r="1" spans="1:57" s="19" customFormat="1" ht="12" hidden="1" customHeight="1" thickTop="1">
      <c r="A1" s="1"/>
      <c r="B1" s="2">
        <v>2012.2</v>
      </c>
      <c r="C1" s="3"/>
      <c r="D1" s="4"/>
      <c r="E1" s="1885" t="s">
        <v>0</v>
      </c>
      <c r="F1" s="1885"/>
      <c r="G1" s="5">
        <v>408578100</v>
      </c>
      <c r="W1" s="20"/>
      <c r="X1" s="21"/>
      <c r="Y1" s="22"/>
      <c r="Z1" s="23"/>
      <c r="AA1" s="24"/>
      <c r="AB1" s="25">
        <v>0</v>
      </c>
      <c r="AC1" s="26">
        <v>0</v>
      </c>
      <c r="AD1" s="27"/>
      <c r="AE1" s="25"/>
      <c r="AF1" s="25">
        <v>1</v>
      </c>
      <c r="AG1" s="25"/>
      <c r="AH1" s="28">
        <v>0</v>
      </c>
      <c r="AI1" s="29">
        <v>0</v>
      </c>
      <c r="AJ1" s="29">
        <v>0</v>
      </c>
      <c r="BC1" s="19" t="s">
        <v>9</v>
      </c>
      <c r="BE1" s="19">
        <v>0</v>
      </c>
    </row>
    <row r="2" spans="1:57" s="19" customFormat="1" ht="12" hidden="1" customHeight="1" thickBot="1">
      <c r="A2" s="1" t="s">
        <v>6</v>
      </c>
      <c r="B2" s="30" t="s">
        <v>6</v>
      </c>
      <c r="C2" s="31"/>
      <c r="D2" s="32"/>
      <c r="E2" s="1886"/>
      <c r="F2" s="1886"/>
      <c r="G2" s="33" t="s">
        <v>10</v>
      </c>
    </row>
    <row r="3" spans="1:57" s="45" customFormat="1" ht="21" customHeight="1" thickTop="1">
      <c r="A3" s="39"/>
      <c r="B3" s="1887" t="s">
        <v>1420</v>
      </c>
      <c r="C3" s="1888"/>
      <c r="D3" s="1888"/>
      <c r="E3" s="1889" t="s">
        <v>12</v>
      </c>
      <c r="F3" s="1890"/>
      <c r="G3" s="1891"/>
      <c r="I3" s="44"/>
      <c r="J3" s="44"/>
    </row>
    <row r="4" spans="1:57" s="45" customFormat="1" ht="21" customHeight="1">
      <c r="A4" s="39"/>
      <c r="B4" s="1910" t="s">
        <v>1437</v>
      </c>
      <c r="C4" s="1911"/>
      <c r="D4" s="1912"/>
      <c r="E4" s="1894" t="s">
        <v>14</v>
      </c>
      <c r="F4" s="1895"/>
      <c r="G4" s="1896"/>
      <c r="I4" s="44"/>
      <c r="J4" s="44"/>
    </row>
    <row r="5" spans="1:57" s="45" customFormat="1" ht="15" customHeight="1">
      <c r="A5" s="39"/>
      <c r="B5" s="1897" t="s">
        <v>15</v>
      </c>
      <c r="C5" s="1913" t="s">
        <v>480</v>
      </c>
      <c r="D5" s="1914"/>
      <c r="E5" s="1915"/>
      <c r="F5" s="46" t="s">
        <v>17</v>
      </c>
      <c r="G5" s="47">
        <v>42096</v>
      </c>
      <c r="I5" s="44"/>
      <c r="J5" s="44"/>
    </row>
    <row r="6" spans="1:57" s="45" customFormat="1" ht="21" customHeight="1" thickBot="1">
      <c r="A6" s="39"/>
      <c r="B6" s="1898"/>
      <c r="C6" s="1916"/>
      <c r="D6" s="1917"/>
      <c r="E6" s="1918"/>
      <c r="F6" s="1905"/>
      <c r="G6" s="1906"/>
      <c r="I6" s="44"/>
      <c r="J6" s="44">
        <v>1</v>
      </c>
    </row>
    <row r="7" spans="1:57" s="45" customFormat="1" ht="16.5" thickTop="1" thickBot="1">
      <c r="A7" s="584"/>
      <c r="B7" s="592"/>
      <c r="C7" s="593"/>
      <c r="D7" s="827"/>
      <c r="E7" s="594"/>
      <c r="F7" s="575"/>
      <c r="G7" s="792"/>
      <c r="I7" s="44"/>
      <c r="J7" s="44"/>
    </row>
    <row r="8" spans="1:57" s="45" customFormat="1">
      <c r="A8" s="584"/>
      <c r="B8" s="1402">
        <v>9</v>
      </c>
      <c r="C8" s="1403" t="s">
        <v>1038</v>
      </c>
      <c r="D8" s="1404"/>
      <c r="E8" s="1404"/>
      <c r="F8" s="1404"/>
      <c r="G8" s="1405"/>
      <c r="I8" s="44"/>
      <c r="J8" s="44"/>
    </row>
    <row r="9" spans="1:57" s="45" customFormat="1">
      <c r="A9" s="584"/>
      <c r="I9" s="44"/>
      <c r="J9" s="44"/>
    </row>
    <row r="10" spans="1:57" s="45" customFormat="1">
      <c r="A10" s="584"/>
      <c r="I10" s="44"/>
      <c r="J10" s="44"/>
    </row>
    <row r="11" spans="1:57" s="45" customFormat="1">
      <c r="A11" s="584"/>
      <c r="I11" s="44"/>
      <c r="J11" s="44"/>
    </row>
    <row r="12" spans="1:57" s="45" customFormat="1">
      <c r="A12" s="584"/>
      <c r="I12" s="44"/>
      <c r="J12" s="44"/>
    </row>
    <row r="13" spans="1:57" s="45" customFormat="1">
      <c r="A13" s="584"/>
      <c r="I13" s="44"/>
      <c r="J13" s="44"/>
    </row>
    <row r="14" spans="1:57" s="45" customFormat="1">
      <c r="A14" s="584"/>
      <c r="I14" s="44"/>
      <c r="J14" s="44"/>
    </row>
    <row r="15" spans="1:57" s="45" customFormat="1">
      <c r="A15" s="584"/>
      <c r="I15" s="44"/>
      <c r="J15" s="44"/>
    </row>
    <row r="16" spans="1:57" s="45" customFormat="1">
      <c r="A16" s="584"/>
      <c r="I16" s="44"/>
      <c r="J16" s="44"/>
    </row>
    <row r="17" spans="1:10" s="45" customFormat="1">
      <c r="A17" s="584"/>
      <c r="B17" s="1476"/>
      <c r="C17" s="1509"/>
      <c r="D17" s="1476"/>
      <c r="E17" s="1476"/>
      <c r="F17" s="1477"/>
      <c r="G17" s="1501">
        <f>SUM(G73:G74)</f>
        <v>199880</v>
      </c>
      <c r="I17" s="44"/>
      <c r="J17" s="44"/>
    </row>
    <row r="18" spans="1:10" s="45" customFormat="1" ht="15.75" thickBot="1">
      <c r="A18" s="584"/>
      <c r="B18" s="1476"/>
      <c r="C18" s="1509"/>
      <c r="D18" s="1476"/>
      <c r="E18" s="1476"/>
      <c r="F18" s="1477"/>
      <c r="G18" s="1477"/>
      <c r="I18" s="44"/>
      <c r="J18" s="44"/>
    </row>
    <row r="19" spans="1:10" s="45" customFormat="1" ht="15.75" thickTop="1">
      <c r="A19" s="584"/>
      <c r="B19" s="1470"/>
      <c r="C19" s="1471" t="s">
        <v>1623</v>
      </c>
      <c r="D19" s="1471"/>
      <c r="E19" s="1471"/>
      <c r="F19" s="1472"/>
      <c r="G19" s="1471"/>
      <c r="I19" s="44"/>
      <c r="J19" s="44"/>
    </row>
    <row r="20" spans="1:10" s="45" customFormat="1">
      <c r="A20" s="584"/>
      <c r="B20" s="1185"/>
      <c r="C20" s="1512" t="s">
        <v>1624</v>
      </c>
      <c r="D20" s="1513" t="s">
        <v>56</v>
      </c>
      <c r="E20" s="1513">
        <v>718.04</v>
      </c>
      <c r="F20" s="1514">
        <v>45300</v>
      </c>
      <c r="G20" s="1515">
        <f t="shared" ref="G20:G25" si="0">F20*E20</f>
        <v>32527212</v>
      </c>
      <c r="I20" s="44"/>
      <c r="J20" s="44"/>
    </row>
    <row r="21" spans="1:10" s="45" customFormat="1">
      <c r="A21" s="584"/>
      <c r="B21" s="1185"/>
      <c r="C21" s="1512" t="s">
        <v>1625</v>
      </c>
      <c r="D21" s="1513" t="s">
        <v>22</v>
      </c>
      <c r="E21" s="1513">
        <v>30</v>
      </c>
      <c r="F21" s="1514">
        <v>94971.436000000016</v>
      </c>
      <c r="G21" s="1515">
        <f t="shared" si="0"/>
        <v>2849143.0800000005</v>
      </c>
      <c r="I21" s="44"/>
      <c r="J21" s="44"/>
    </row>
    <row r="22" spans="1:10" s="45" customFormat="1">
      <c r="A22" s="584"/>
      <c r="B22" s="1185"/>
      <c r="C22" s="1512" t="s">
        <v>1614</v>
      </c>
      <c r="D22" s="1513" t="s">
        <v>500</v>
      </c>
      <c r="E22" s="1513">
        <v>104.8</v>
      </c>
      <c r="F22" s="1514">
        <v>41540</v>
      </c>
      <c r="G22" s="1515">
        <f t="shared" si="0"/>
        <v>4353392</v>
      </c>
      <c r="I22" s="44"/>
      <c r="J22" s="44"/>
    </row>
    <row r="23" spans="1:10" s="45" customFormat="1">
      <c r="A23" s="584"/>
      <c r="B23" s="1475"/>
      <c r="C23" s="921" t="s">
        <v>1632</v>
      </c>
      <c r="D23" s="1185" t="s">
        <v>56</v>
      </c>
      <c r="E23" s="1185">
        <v>18.399999999999999</v>
      </c>
      <c r="F23" s="1473">
        <v>46160</v>
      </c>
      <c r="G23" s="1496">
        <f t="shared" si="0"/>
        <v>849343.99999999988</v>
      </c>
      <c r="I23" s="44"/>
      <c r="J23" s="44"/>
    </row>
    <row r="24" spans="1:10" s="45" customFormat="1">
      <c r="A24" s="584"/>
      <c r="B24" s="1475"/>
      <c r="C24" s="1478" t="s">
        <v>1633</v>
      </c>
      <c r="D24" s="1185" t="s">
        <v>56</v>
      </c>
      <c r="E24" s="1185">
        <f>63.15+58.6</f>
        <v>121.75</v>
      </c>
      <c r="F24" s="1473">
        <v>16820</v>
      </c>
      <c r="G24" s="1496">
        <f t="shared" si="0"/>
        <v>2047835</v>
      </c>
      <c r="I24" s="44"/>
      <c r="J24" s="44"/>
    </row>
    <row r="25" spans="1:10" s="45" customFormat="1" ht="15.75" thickBot="1">
      <c r="A25" s="584"/>
      <c r="B25" s="1475"/>
      <c r="C25" s="1478" t="s">
        <v>1610</v>
      </c>
      <c r="D25" s="1185" t="s">
        <v>139</v>
      </c>
      <c r="E25" s="1185">
        <v>4.45</v>
      </c>
      <c r="F25" s="1473">
        <v>342010</v>
      </c>
      <c r="G25" s="1500">
        <f t="shared" si="0"/>
        <v>1521944.5</v>
      </c>
      <c r="I25" s="44"/>
      <c r="J25" s="44"/>
    </row>
    <row r="26" spans="1:10" s="45" customFormat="1" ht="15.75" thickTop="1">
      <c r="A26" s="584"/>
      <c r="B26" s="1470"/>
      <c r="C26" s="1516" t="s">
        <v>1626</v>
      </c>
      <c r="D26" s="1516"/>
      <c r="E26" s="1516"/>
      <c r="F26" s="1517"/>
      <c r="G26" s="1518"/>
      <c r="I26" s="44"/>
      <c r="J26" s="44"/>
    </row>
    <row r="27" spans="1:10" s="45" customFormat="1">
      <c r="A27" s="584"/>
      <c r="B27" s="1185"/>
      <c r="C27" s="1512" t="s">
        <v>1627</v>
      </c>
      <c r="D27" s="1513" t="s">
        <v>56</v>
      </c>
      <c r="E27" s="1513">
        <v>30</v>
      </c>
      <c r="F27" s="1514">
        <v>60967</v>
      </c>
      <c r="G27" s="1515">
        <f t="shared" ref="G27:G34" si="1">F27*E27</f>
        <v>1829010</v>
      </c>
      <c r="I27" s="44"/>
      <c r="J27" s="44"/>
    </row>
    <row r="28" spans="1:10" s="45" customFormat="1">
      <c r="A28" s="584"/>
      <c r="B28" s="1475"/>
      <c r="C28" s="1512" t="s">
        <v>1611</v>
      </c>
      <c r="D28" s="1513" t="s">
        <v>56</v>
      </c>
      <c r="E28" s="1513">
        <v>2.25</v>
      </c>
      <c r="F28" s="1514">
        <v>21740</v>
      </c>
      <c r="G28" s="1519">
        <f t="shared" si="1"/>
        <v>48915</v>
      </c>
      <c r="I28" s="44"/>
      <c r="J28" s="44"/>
    </row>
    <row r="29" spans="1:10" s="45" customFormat="1">
      <c r="A29" s="584"/>
      <c r="B29" s="1185"/>
      <c r="C29" s="1512" t="s">
        <v>1634</v>
      </c>
      <c r="D29" s="1513" t="s">
        <v>56</v>
      </c>
      <c r="E29" s="1513">
        <f>60+20.15+5</f>
        <v>85.15</v>
      </c>
      <c r="F29" s="1514">
        <v>51440</v>
      </c>
      <c r="G29" s="1515">
        <f t="shared" si="1"/>
        <v>4380116</v>
      </c>
      <c r="I29" s="44"/>
      <c r="J29" s="44"/>
    </row>
    <row r="30" spans="1:10" s="45" customFormat="1">
      <c r="A30" s="584"/>
      <c r="B30" s="1185"/>
      <c r="C30" s="1512" t="s">
        <v>1635</v>
      </c>
      <c r="D30" s="1513" t="s">
        <v>56</v>
      </c>
      <c r="E30" s="1513">
        <f>10+5.5</f>
        <v>15.5</v>
      </c>
      <c r="F30" s="1514">
        <v>84690</v>
      </c>
      <c r="G30" s="1515">
        <f t="shared" si="1"/>
        <v>1312695</v>
      </c>
      <c r="I30" s="44"/>
      <c r="J30" s="44"/>
    </row>
    <row r="31" spans="1:10" s="45" customFormat="1">
      <c r="A31" s="584"/>
      <c r="B31" s="1185"/>
      <c r="C31" s="1512" t="s">
        <v>1636</v>
      </c>
      <c r="D31" s="1513" t="s">
        <v>56</v>
      </c>
      <c r="E31" s="1513">
        <v>10.199999999999999</v>
      </c>
      <c r="F31" s="1514">
        <v>40960</v>
      </c>
      <c r="G31" s="1515">
        <f t="shared" si="1"/>
        <v>417792</v>
      </c>
      <c r="I31" s="44"/>
      <c r="J31" s="44"/>
    </row>
    <row r="32" spans="1:10" s="45" customFormat="1">
      <c r="A32" s="584"/>
      <c r="B32" s="1475"/>
      <c r="C32" s="1512" t="s">
        <v>1604</v>
      </c>
      <c r="D32" s="1513" t="s">
        <v>56</v>
      </c>
      <c r="E32" s="1513">
        <v>57</v>
      </c>
      <c r="F32" s="1514">
        <v>35930</v>
      </c>
      <c r="G32" s="1514">
        <f t="shared" si="1"/>
        <v>2048010</v>
      </c>
      <c r="I32" s="44"/>
      <c r="J32" s="44"/>
    </row>
    <row r="33" spans="1:10" s="45" customFormat="1">
      <c r="A33" s="584"/>
      <c r="B33" s="1475"/>
      <c r="C33" s="1512" t="s">
        <v>1605</v>
      </c>
      <c r="D33" s="1513" t="s">
        <v>56</v>
      </c>
      <c r="E33" s="1513">
        <v>122</v>
      </c>
      <c r="F33" s="1514">
        <v>9600</v>
      </c>
      <c r="G33" s="1514">
        <f t="shared" si="1"/>
        <v>1171200</v>
      </c>
      <c r="I33" s="44"/>
      <c r="J33" s="44"/>
    </row>
    <row r="34" spans="1:10" s="45" customFormat="1">
      <c r="A34" s="584"/>
      <c r="B34" s="1475"/>
      <c r="C34" s="1512" t="s">
        <v>1606</v>
      </c>
      <c r="D34" s="1513" t="s">
        <v>56</v>
      </c>
      <c r="E34" s="1513">
        <v>113.5</v>
      </c>
      <c r="F34" s="1514">
        <v>51440</v>
      </c>
      <c r="G34" s="1514">
        <f t="shared" si="1"/>
        <v>5838440</v>
      </c>
      <c r="I34" s="44"/>
      <c r="J34" s="44"/>
    </row>
    <row r="35" spans="1:10" s="45" customFormat="1">
      <c r="A35" s="584"/>
      <c r="B35" s="1475"/>
      <c r="C35" s="1512" t="s">
        <v>1607</v>
      </c>
      <c r="D35" s="1513" t="s">
        <v>139</v>
      </c>
      <c r="E35" s="1513">
        <v>32.200000000000003</v>
      </c>
      <c r="F35" s="1514">
        <v>76530</v>
      </c>
      <c r="G35" s="1519">
        <f>+F35*E35</f>
        <v>2464266</v>
      </c>
      <c r="I35" s="44"/>
      <c r="J35" s="44"/>
    </row>
    <row r="36" spans="1:10" s="45" customFormat="1">
      <c r="A36" s="584"/>
      <c r="B36" s="1475"/>
      <c r="C36" s="1478" t="s">
        <v>1643</v>
      </c>
      <c r="D36" s="1185" t="s">
        <v>56</v>
      </c>
      <c r="E36" s="1185">
        <v>3.2</v>
      </c>
      <c r="F36" s="1473">
        <v>41270</v>
      </c>
      <c r="G36" s="1496">
        <f>F36*E36</f>
        <v>132064</v>
      </c>
      <c r="I36" s="44"/>
      <c r="J36" s="44"/>
    </row>
    <row r="37" spans="1:10" s="45" customFormat="1" ht="15.75" thickBot="1">
      <c r="A37" s="584"/>
      <c r="B37" s="1185"/>
      <c r="C37" s="1478" t="s">
        <v>1654</v>
      </c>
      <c r="D37" s="1185" t="s">
        <v>56</v>
      </c>
      <c r="E37" s="1185">
        <v>12.1</v>
      </c>
      <c r="F37" s="1473">
        <v>40960</v>
      </c>
      <c r="G37" s="1496">
        <f>F37*E37</f>
        <v>495616</v>
      </c>
      <c r="I37" s="44"/>
      <c r="J37" s="44"/>
    </row>
    <row r="38" spans="1:10" s="45" customFormat="1" ht="15.75" thickTop="1">
      <c r="A38" s="584"/>
      <c r="B38" s="1470"/>
      <c r="C38" s="1471" t="s">
        <v>1071</v>
      </c>
      <c r="D38" s="1471"/>
      <c r="E38" s="1471"/>
      <c r="F38" s="1472"/>
      <c r="G38" s="1499"/>
      <c r="I38" s="44"/>
      <c r="J38" s="44"/>
    </row>
    <row r="39" spans="1:10" s="45" customFormat="1">
      <c r="A39" s="584"/>
      <c r="B39" s="1185"/>
      <c r="C39" s="1512" t="s">
        <v>1628</v>
      </c>
      <c r="D39" s="1020" t="s">
        <v>22</v>
      </c>
      <c r="E39" s="1185">
        <v>6</v>
      </c>
      <c r="F39" s="1473">
        <v>112978</v>
      </c>
      <c r="G39" s="1496">
        <f t="shared" ref="G39:G44" si="2">F39*E39</f>
        <v>677868</v>
      </c>
      <c r="I39" s="44"/>
      <c r="J39" s="44"/>
    </row>
    <row r="40" spans="1:10" s="45" customFormat="1">
      <c r="A40" s="584"/>
      <c r="B40" s="1185"/>
      <c r="C40" s="1520" t="s">
        <v>1629</v>
      </c>
      <c r="D40" s="1020" t="s">
        <v>22</v>
      </c>
      <c r="E40" s="1185">
        <v>10</v>
      </c>
      <c r="F40" s="1473">
        <v>235588</v>
      </c>
      <c r="G40" s="1496">
        <f t="shared" si="2"/>
        <v>2355880</v>
      </c>
      <c r="I40" s="44"/>
      <c r="J40" s="44"/>
    </row>
    <row r="41" spans="1:10" s="45" customFormat="1" ht="16.5">
      <c r="A41" s="584"/>
      <c r="B41" s="1185"/>
      <c r="C41" s="1521" t="s">
        <v>1612</v>
      </c>
      <c r="D41" s="1185" t="s">
        <v>22</v>
      </c>
      <c r="E41" s="1185">
        <v>1</v>
      </c>
      <c r="F41" s="1473">
        <v>514490</v>
      </c>
      <c r="G41" s="1500">
        <f t="shared" si="2"/>
        <v>514490</v>
      </c>
      <c r="I41" s="44"/>
      <c r="J41" s="44"/>
    </row>
    <row r="42" spans="1:10" s="45" customFormat="1">
      <c r="A42" s="584"/>
      <c r="B42" s="1475"/>
      <c r="C42" s="1512" t="s">
        <v>1637</v>
      </c>
      <c r="D42" s="1020" t="s">
        <v>22</v>
      </c>
      <c r="E42" s="1185">
        <v>4</v>
      </c>
      <c r="F42" s="1473">
        <v>256030</v>
      </c>
      <c r="G42" s="1496">
        <f t="shared" si="2"/>
        <v>1024120</v>
      </c>
      <c r="I42" s="44"/>
      <c r="J42" s="44"/>
    </row>
    <row r="43" spans="1:10" s="45" customFormat="1">
      <c r="A43" s="584"/>
      <c r="B43" s="1475"/>
      <c r="C43" s="1512" t="s">
        <v>1644</v>
      </c>
      <c r="D43" s="1020" t="s">
        <v>22</v>
      </c>
      <c r="E43" s="1185">
        <v>6</v>
      </c>
      <c r="F43" s="1473">
        <v>216530</v>
      </c>
      <c r="G43" s="1496">
        <f t="shared" si="2"/>
        <v>1299180</v>
      </c>
      <c r="I43" s="44"/>
      <c r="J43" s="44"/>
    </row>
    <row r="44" spans="1:10" s="45" customFormat="1" ht="15.75" thickBot="1">
      <c r="A44" s="584"/>
      <c r="B44" s="1475"/>
      <c r="C44" s="1512" t="s">
        <v>1645</v>
      </c>
      <c r="D44" s="1020" t="s">
        <v>22</v>
      </c>
      <c r="E44" s="1185">
        <v>3</v>
      </c>
      <c r="F44" s="1473">
        <v>315560</v>
      </c>
      <c r="G44" s="1496">
        <f t="shared" si="2"/>
        <v>946680</v>
      </c>
      <c r="I44" s="44"/>
      <c r="J44" s="44"/>
    </row>
    <row r="45" spans="1:10" s="45" customFormat="1" ht="15.75" thickTop="1">
      <c r="A45" s="584"/>
      <c r="B45" s="1470"/>
      <c r="C45" s="1471" t="s">
        <v>64</v>
      </c>
      <c r="D45" s="1471"/>
      <c r="E45" s="1471"/>
      <c r="F45" s="1472"/>
      <c r="G45" s="1499"/>
      <c r="I45" s="44"/>
      <c r="J45" s="44"/>
    </row>
    <row r="46" spans="1:10" s="45" customFormat="1">
      <c r="A46" s="584"/>
      <c r="B46" s="1185"/>
      <c r="C46" s="1512" t="s">
        <v>1630</v>
      </c>
      <c r="D46" s="1513" t="s">
        <v>56</v>
      </c>
      <c r="E46" s="1513">
        <f>28+28+26+10.5+10.5</f>
        <v>103</v>
      </c>
      <c r="F46" s="1514">
        <v>149876.64285714287</v>
      </c>
      <c r="G46" s="1515">
        <f t="shared" ref="G46:G53" si="3">F46*E46</f>
        <v>15437294.214285716</v>
      </c>
      <c r="I46" s="44"/>
      <c r="J46" s="44"/>
    </row>
    <row r="47" spans="1:10" s="45" customFormat="1">
      <c r="A47" s="584"/>
      <c r="B47" s="1185"/>
      <c r="C47" s="1512" t="s">
        <v>1640</v>
      </c>
      <c r="D47" s="1513" t="s">
        <v>500</v>
      </c>
      <c r="E47" s="1513">
        <f>20.8+24.4+20.4+8.3</f>
        <v>73.899999999999991</v>
      </c>
      <c r="F47" s="1514">
        <v>31990</v>
      </c>
      <c r="G47" s="1515">
        <f t="shared" si="3"/>
        <v>2364060.9999999995</v>
      </c>
      <c r="I47" s="44"/>
      <c r="J47" s="44"/>
    </row>
    <row r="48" spans="1:10" s="45" customFormat="1">
      <c r="A48" s="584"/>
      <c r="B48" s="1185"/>
      <c r="C48" s="1512" t="s">
        <v>1631</v>
      </c>
      <c r="D48" s="1513" t="s">
        <v>500</v>
      </c>
      <c r="E48" s="1513">
        <f>4.2+4.2+4.2+2.5+2.5</f>
        <v>17.600000000000001</v>
      </c>
      <c r="F48" s="1514">
        <v>65858.2</v>
      </c>
      <c r="G48" s="1515">
        <f t="shared" si="3"/>
        <v>1159104.32</v>
      </c>
      <c r="I48" s="44"/>
      <c r="J48" s="44"/>
    </row>
    <row r="49" spans="1:10" s="45" customFormat="1">
      <c r="A49" s="584"/>
      <c r="B49" s="1185"/>
      <c r="C49" s="1512" t="s">
        <v>1608</v>
      </c>
      <c r="D49" s="1513" t="s">
        <v>56</v>
      </c>
      <c r="E49" s="1513">
        <v>191</v>
      </c>
      <c r="F49" s="1514">
        <v>35150</v>
      </c>
      <c r="G49" s="1519">
        <f t="shared" si="3"/>
        <v>6713650</v>
      </c>
      <c r="I49" s="44"/>
      <c r="J49" s="44"/>
    </row>
    <row r="50" spans="1:10" s="45" customFormat="1">
      <c r="A50" s="584"/>
      <c r="B50" s="1185"/>
      <c r="C50" s="1512" t="s">
        <v>1609</v>
      </c>
      <c r="D50" s="1513" t="s">
        <v>500</v>
      </c>
      <c r="E50" s="1513">
        <v>186.9</v>
      </c>
      <c r="F50" s="1514">
        <v>21807.258333333335</v>
      </c>
      <c r="G50" s="1519">
        <f t="shared" si="3"/>
        <v>4075776.5825000005</v>
      </c>
      <c r="I50" s="44"/>
      <c r="J50" s="44"/>
    </row>
    <row r="51" spans="1:10" s="45" customFormat="1">
      <c r="A51" s="584"/>
      <c r="B51" s="1475"/>
      <c r="C51" s="1512" t="s">
        <v>1641</v>
      </c>
      <c r="D51" s="1513" t="s">
        <v>56</v>
      </c>
      <c r="E51" s="1513">
        <f>30+26+9.8+9.8</f>
        <v>75.599999999999994</v>
      </c>
      <c r="F51" s="1514">
        <v>32630</v>
      </c>
      <c r="G51" s="1515">
        <f t="shared" si="3"/>
        <v>2466828</v>
      </c>
      <c r="I51" s="44"/>
      <c r="J51" s="44"/>
    </row>
    <row r="52" spans="1:10" s="45" customFormat="1">
      <c r="A52" s="584"/>
      <c r="B52" s="1475"/>
      <c r="C52" s="1512" t="s">
        <v>1642</v>
      </c>
      <c r="D52" s="1513" t="s">
        <v>56</v>
      </c>
      <c r="E52" s="1513">
        <v>3.75</v>
      </c>
      <c r="F52" s="1514">
        <v>84690</v>
      </c>
      <c r="G52" s="1515">
        <f t="shared" si="3"/>
        <v>317587.5</v>
      </c>
      <c r="I52" s="44"/>
      <c r="J52" s="44"/>
    </row>
    <row r="53" spans="1:10" s="45" customFormat="1">
      <c r="A53" s="584"/>
      <c r="B53" s="1475"/>
      <c r="C53" s="1512" t="s">
        <v>1653</v>
      </c>
      <c r="D53" s="1513" t="s">
        <v>500</v>
      </c>
      <c r="E53" s="1513">
        <v>6.03</v>
      </c>
      <c r="F53" s="1514">
        <v>41540</v>
      </c>
      <c r="G53" s="1515">
        <f t="shared" si="3"/>
        <v>250486.2</v>
      </c>
      <c r="I53" s="44"/>
      <c r="J53" s="44"/>
    </row>
    <row r="54" spans="1:10" s="45" customFormat="1" ht="15.75" thickBot="1">
      <c r="A54" s="584"/>
      <c r="B54" s="1475"/>
      <c r="C54" s="1480" t="s">
        <v>1613</v>
      </c>
      <c r="D54" s="1185" t="s">
        <v>56</v>
      </c>
      <c r="E54" s="1185">
        <v>2</v>
      </c>
      <c r="F54" s="1473">
        <v>51720</v>
      </c>
      <c r="G54" s="1500">
        <f t="shared" ref="G54" si="4">F54*E54</f>
        <v>103440</v>
      </c>
      <c r="I54" s="44"/>
      <c r="J54" s="44"/>
    </row>
    <row r="55" spans="1:10" s="45" customFormat="1" ht="15.75" thickTop="1">
      <c r="A55" s="584"/>
      <c r="B55" s="1470"/>
      <c r="C55" s="1471" t="s">
        <v>1646</v>
      </c>
      <c r="D55" s="1471"/>
      <c r="E55" s="1471"/>
      <c r="F55" s="1472"/>
      <c r="G55" s="1499"/>
      <c r="I55" s="44"/>
      <c r="J55" s="44"/>
    </row>
    <row r="56" spans="1:10" s="45" customFormat="1">
      <c r="A56" s="584"/>
      <c r="B56" s="1185"/>
      <c r="C56" s="1478" t="s">
        <v>1647</v>
      </c>
      <c r="D56" s="1020" t="s">
        <v>22</v>
      </c>
      <c r="E56" s="1185">
        <v>3</v>
      </c>
      <c r="F56" s="1473">
        <v>328740</v>
      </c>
      <c r="G56" s="1496">
        <f>+F56*E56</f>
        <v>986220</v>
      </c>
      <c r="I56" s="44"/>
      <c r="J56" s="44"/>
    </row>
    <row r="57" spans="1:10" s="45" customFormat="1">
      <c r="A57" s="584"/>
      <c r="B57" s="1185"/>
      <c r="C57" s="1486" t="s">
        <v>1648</v>
      </c>
      <c r="D57" s="1020" t="s">
        <v>22</v>
      </c>
      <c r="E57" s="1185">
        <v>3</v>
      </c>
      <c r="F57" s="1473">
        <v>62770</v>
      </c>
      <c r="G57" s="1496">
        <f t="shared" ref="G57:G66" si="5">+F57*E57</f>
        <v>188310</v>
      </c>
      <c r="I57" s="44"/>
      <c r="J57" s="44"/>
    </row>
    <row r="58" spans="1:10" s="45" customFormat="1">
      <c r="A58" s="584"/>
      <c r="B58" s="1185"/>
      <c r="C58" s="1486" t="s">
        <v>1649</v>
      </c>
      <c r="D58" s="1185" t="s">
        <v>56</v>
      </c>
      <c r="E58" s="1185">
        <v>1.2</v>
      </c>
      <c r="F58" s="1473">
        <v>62910</v>
      </c>
      <c r="G58" s="1496">
        <f t="shared" si="5"/>
        <v>75492</v>
      </c>
      <c r="I58" s="44"/>
      <c r="J58" s="44"/>
    </row>
    <row r="59" spans="1:10" s="45" customFormat="1">
      <c r="A59" s="584"/>
      <c r="B59" s="1185"/>
      <c r="C59" s="1486" t="s">
        <v>1650</v>
      </c>
      <c r="D59" s="1020" t="s">
        <v>22</v>
      </c>
      <c r="E59" s="1185">
        <v>1</v>
      </c>
      <c r="F59" s="1473">
        <v>113180</v>
      </c>
      <c r="G59" s="1496">
        <f t="shared" si="5"/>
        <v>113180</v>
      </c>
      <c r="I59" s="44"/>
      <c r="J59" s="44"/>
    </row>
    <row r="60" spans="1:10" s="45" customFormat="1">
      <c r="A60" s="584"/>
      <c r="B60" s="1185"/>
      <c r="C60" s="1479" t="s">
        <v>1651</v>
      </c>
      <c r="D60" s="1185" t="s">
        <v>500</v>
      </c>
      <c r="E60" s="1185">
        <f>1.4+12.3</f>
        <v>13.700000000000001</v>
      </c>
      <c r="F60" s="1473">
        <v>40960</v>
      </c>
      <c r="G60" s="1496">
        <f t="shared" si="5"/>
        <v>561152</v>
      </c>
      <c r="I60" s="44"/>
      <c r="J60" s="44"/>
    </row>
    <row r="61" spans="1:10" s="45" customFormat="1">
      <c r="A61" s="584"/>
      <c r="B61" s="1185"/>
      <c r="C61" s="1486" t="s">
        <v>1652</v>
      </c>
      <c r="D61" s="1020" t="s">
        <v>22</v>
      </c>
      <c r="E61" s="1185">
        <v>1</v>
      </c>
      <c r="F61" s="1473">
        <v>250000</v>
      </c>
      <c r="G61" s="1496">
        <f t="shared" si="5"/>
        <v>250000</v>
      </c>
      <c r="I61" s="44"/>
      <c r="J61" s="44"/>
    </row>
    <row r="62" spans="1:10" s="45" customFormat="1">
      <c r="A62" s="584"/>
      <c r="B62" s="1185"/>
      <c r="C62" s="1479" t="s">
        <v>1655</v>
      </c>
      <c r="D62" s="1185" t="s">
        <v>22</v>
      </c>
      <c r="E62" s="1185">
        <v>1</v>
      </c>
      <c r="F62" s="1473">
        <v>280000</v>
      </c>
      <c r="G62" s="1496">
        <f t="shared" si="5"/>
        <v>280000</v>
      </c>
      <c r="I62" s="44"/>
      <c r="J62" s="44"/>
    </row>
    <row r="63" spans="1:10" s="45" customFormat="1">
      <c r="A63" s="584"/>
      <c r="B63" s="1185"/>
      <c r="C63" s="1486" t="s">
        <v>1656</v>
      </c>
      <c r="D63" s="1185" t="s">
        <v>22</v>
      </c>
      <c r="E63" s="1185">
        <v>1</v>
      </c>
      <c r="F63" s="1473">
        <v>111300</v>
      </c>
      <c r="G63" s="1496">
        <f t="shared" si="5"/>
        <v>111300</v>
      </c>
      <c r="I63" s="44"/>
      <c r="J63" s="44"/>
    </row>
    <row r="64" spans="1:10" s="45" customFormat="1">
      <c r="A64" s="584"/>
      <c r="B64" s="1185"/>
      <c r="C64" s="1486" t="s">
        <v>1657</v>
      </c>
      <c r="D64" s="1185" t="s">
        <v>22</v>
      </c>
      <c r="E64" s="1185">
        <v>2</v>
      </c>
      <c r="F64" s="1473">
        <v>66590</v>
      </c>
      <c r="G64" s="1496">
        <f t="shared" si="5"/>
        <v>133180</v>
      </c>
      <c r="I64" s="44"/>
      <c r="J64" s="44"/>
    </row>
    <row r="65" spans="1:10" s="45" customFormat="1">
      <c r="A65" s="584"/>
      <c r="B65" s="1475"/>
      <c r="C65" s="1479" t="s">
        <v>1638</v>
      </c>
      <c r="D65" s="1020" t="s">
        <v>22</v>
      </c>
      <c r="E65" s="1185">
        <v>4</v>
      </c>
      <c r="F65" s="1473">
        <v>59458</v>
      </c>
      <c r="G65" s="1496">
        <f t="shared" si="5"/>
        <v>237832</v>
      </c>
      <c r="I65" s="44"/>
      <c r="J65" s="44"/>
    </row>
    <row r="66" spans="1:10" s="45" customFormat="1" ht="15.75" thickBot="1">
      <c r="A66" s="584"/>
      <c r="B66" s="1475"/>
      <c r="C66" s="1479" t="s">
        <v>1639</v>
      </c>
      <c r="D66" s="1020" t="s">
        <v>22</v>
      </c>
      <c r="E66" s="1185">
        <v>3</v>
      </c>
      <c r="F66" s="1473">
        <v>75470</v>
      </c>
      <c r="G66" s="1496">
        <f t="shared" si="5"/>
        <v>226410</v>
      </c>
      <c r="I66" s="44"/>
      <c r="J66" s="44"/>
    </row>
    <row r="67" spans="1:10" s="45" customFormat="1" ht="15.75" thickTop="1">
      <c r="A67" s="584"/>
      <c r="B67" s="1470"/>
      <c r="C67" s="1471" t="s">
        <v>1615</v>
      </c>
      <c r="D67" s="1471"/>
      <c r="E67" s="1471"/>
      <c r="F67" s="1472"/>
      <c r="G67" s="1502"/>
      <c r="I67" s="44"/>
      <c r="J67" s="44"/>
    </row>
    <row r="68" spans="1:10" s="45" customFormat="1">
      <c r="A68" s="584"/>
      <c r="B68" s="1185"/>
      <c r="C68" s="921" t="s">
        <v>1616</v>
      </c>
      <c r="D68" s="1185" t="s">
        <v>56</v>
      </c>
      <c r="E68" s="1185">
        <v>3.5</v>
      </c>
      <c r="F68" s="1473">
        <v>9600</v>
      </c>
      <c r="G68" s="1500">
        <f>F68*E68</f>
        <v>33600</v>
      </c>
      <c r="I68" s="44"/>
      <c r="J68" s="44"/>
    </row>
    <row r="69" spans="1:10" s="45" customFormat="1">
      <c r="A69" s="584"/>
      <c r="B69" s="1185"/>
      <c r="C69" s="921" t="s">
        <v>1617</v>
      </c>
      <c r="D69" s="1185" t="s">
        <v>500</v>
      </c>
      <c r="E69" s="1185">
        <v>15.6</v>
      </c>
      <c r="F69" s="1473">
        <v>19240</v>
      </c>
      <c r="G69" s="1500">
        <f>F69*E69</f>
        <v>300144</v>
      </c>
      <c r="I69" s="44"/>
      <c r="J69" s="44"/>
    </row>
    <row r="70" spans="1:10" s="45" customFormat="1">
      <c r="A70" s="584"/>
      <c r="B70" s="1185"/>
      <c r="C70" s="1474" t="s">
        <v>1618</v>
      </c>
      <c r="D70" s="1020" t="s">
        <v>22</v>
      </c>
      <c r="E70" s="1185">
        <v>17</v>
      </c>
      <c r="F70" s="1473">
        <v>19430</v>
      </c>
      <c r="G70" s="1500">
        <f>F70*E70</f>
        <v>330310</v>
      </c>
      <c r="I70" s="44"/>
      <c r="J70" s="44"/>
    </row>
    <row r="71" spans="1:10" s="45" customFormat="1" ht="15.75" thickBot="1">
      <c r="A71" s="584"/>
      <c r="B71" s="1185"/>
      <c r="C71" s="1481" t="s">
        <v>1619</v>
      </c>
      <c r="D71" s="1020" t="s">
        <v>22</v>
      </c>
      <c r="E71" s="1185">
        <v>10</v>
      </c>
      <c r="F71" s="1482">
        <v>2060</v>
      </c>
      <c r="G71" s="1500">
        <f>F71*E71</f>
        <v>20600</v>
      </c>
      <c r="I71" s="44"/>
      <c r="J71" s="44"/>
    </row>
    <row r="72" spans="1:10" s="45" customFormat="1" ht="15.75" thickTop="1">
      <c r="A72" s="584"/>
      <c r="B72" s="1470"/>
      <c r="C72" s="1471" t="s">
        <v>1620</v>
      </c>
      <c r="D72" s="1471"/>
      <c r="E72" s="1471"/>
      <c r="F72" s="1472"/>
      <c r="G72" s="1502"/>
      <c r="I72" s="44"/>
      <c r="J72" s="44"/>
    </row>
    <row r="73" spans="1:10" s="45" customFormat="1">
      <c r="A73" s="584"/>
      <c r="B73" s="1185"/>
      <c r="C73" s="921" t="s">
        <v>1621</v>
      </c>
      <c r="D73" s="1185" t="s">
        <v>43</v>
      </c>
      <c r="E73" s="1185">
        <v>2.8</v>
      </c>
      <c r="F73" s="1473">
        <v>48000</v>
      </c>
      <c r="G73" s="1500">
        <f>F73*E73</f>
        <v>134400</v>
      </c>
      <c r="I73" s="44"/>
      <c r="J73" s="44"/>
    </row>
    <row r="74" spans="1:10" s="45" customFormat="1" ht="23.25">
      <c r="A74" s="584"/>
      <c r="B74" s="1185"/>
      <c r="C74" s="1483" t="s">
        <v>1622</v>
      </c>
      <c r="D74" s="1185" t="s">
        <v>56</v>
      </c>
      <c r="E74" s="1185">
        <v>2</v>
      </c>
      <c r="F74" s="1484">
        <v>32740</v>
      </c>
      <c r="G74" s="1503">
        <f>F74*E74</f>
        <v>65480</v>
      </c>
      <c r="I74" s="44"/>
      <c r="J74" s="44"/>
    </row>
    <row r="75" spans="1:10" s="45" customFormat="1">
      <c r="A75" s="1487"/>
      <c r="B75" s="1522"/>
      <c r="C75" s="1522"/>
      <c r="D75" s="1522"/>
      <c r="E75" s="1522"/>
      <c r="F75" s="1523"/>
      <c r="G75" s="1524"/>
      <c r="I75" s="44"/>
      <c r="J75" s="44"/>
    </row>
    <row r="76" spans="1:10" s="45" customFormat="1">
      <c r="A76" s="1487"/>
      <c r="B76" s="921"/>
      <c r="C76" s="1479" t="s">
        <v>1665</v>
      </c>
      <c r="D76" s="921" t="s">
        <v>142</v>
      </c>
      <c r="E76" s="921">
        <v>3628</v>
      </c>
      <c r="F76" s="1495">
        <v>3250</v>
      </c>
      <c r="G76" s="1496">
        <f>F76*E76</f>
        <v>11791000</v>
      </c>
      <c r="I76" s="44"/>
      <c r="J76" s="44"/>
    </row>
    <row r="77" spans="1:10" s="45" customFormat="1">
      <c r="A77" s="1487"/>
      <c r="B77" s="921"/>
      <c r="C77" s="1479" t="s">
        <v>1666</v>
      </c>
      <c r="D77" s="921" t="s">
        <v>139</v>
      </c>
      <c r="E77" s="921">
        <v>135</v>
      </c>
      <c r="F77" s="1495">
        <v>12000</v>
      </c>
      <c r="G77" s="1496">
        <f t="shared" ref="G77:G84" si="6">F77*E77</f>
        <v>1620000</v>
      </c>
      <c r="I77" s="44"/>
      <c r="J77" s="44"/>
    </row>
    <row r="78" spans="1:10" s="45" customFormat="1">
      <c r="A78" s="1487"/>
      <c r="B78" s="921"/>
      <c r="C78" s="1479" t="s">
        <v>1667</v>
      </c>
      <c r="D78" s="921" t="s">
        <v>139</v>
      </c>
      <c r="E78" s="921"/>
      <c r="F78" s="1495"/>
      <c r="G78" s="1496">
        <f t="shared" si="6"/>
        <v>0</v>
      </c>
      <c r="I78" s="44"/>
      <c r="J78" s="44"/>
    </row>
    <row r="79" spans="1:10" s="45" customFormat="1">
      <c r="A79" s="1487"/>
      <c r="B79" s="921"/>
      <c r="C79" s="1479" t="s">
        <v>1668</v>
      </c>
      <c r="D79" s="921" t="s">
        <v>139</v>
      </c>
      <c r="E79" s="921">
        <v>2.2999999999999998</v>
      </c>
      <c r="F79" s="1495">
        <v>312309</v>
      </c>
      <c r="G79" s="1496">
        <f t="shared" si="6"/>
        <v>718310.7</v>
      </c>
      <c r="I79" s="44"/>
      <c r="J79" s="44"/>
    </row>
    <row r="80" spans="1:10" s="45" customFormat="1">
      <c r="A80" s="1487"/>
      <c r="B80" s="921"/>
      <c r="C80" s="921" t="s">
        <v>1669</v>
      </c>
      <c r="D80" s="921" t="s">
        <v>56</v>
      </c>
      <c r="E80" s="921">
        <v>39</v>
      </c>
      <c r="F80" s="1495">
        <v>17220</v>
      </c>
      <c r="G80" s="1496">
        <f t="shared" si="6"/>
        <v>671580</v>
      </c>
      <c r="I80" s="44"/>
      <c r="J80" s="44"/>
    </row>
    <row r="81" spans="1:10" s="45" customFormat="1" ht="45">
      <c r="A81" s="1487"/>
      <c r="B81" s="921"/>
      <c r="C81" s="907" t="s">
        <v>1670</v>
      </c>
      <c r="D81" s="921" t="s">
        <v>139</v>
      </c>
      <c r="E81" s="921">
        <v>7</v>
      </c>
      <c r="F81" s="1495">
        <v>467430</v>
      </c>
      <c r="G81" s="1496">
        <f t="shared" si="6"/>
        <v>3272010</v>
      </c>
      <c r="I81" s="44"/>
      <c r="J81" s="44"/>
    </row>
    <row r="82" spans="1:10" s="45" customFormat="1">
      <c r="A82" s="1487"/>
      <c r="B82" s="921"/>
      <c r="C82" s="921" t="s">
        <v>1671</v>
      </c>
      <c r="D82" s="921" t="s">
        <v>139</v>
      </c>
      <c r="E82" s="921">
        <v>6.3</v>
      </c>
      <c r="F82" s="1495">
        <v>653039</v>
      </c>
      <c r="G82" s="1496">
        <f t="shared" si="6"/>
        <v>4114145.6999999997</v>
      </c>
      <c r="I82" s="44"/>
      <c r="J82" s="44"/>
    </row>
    <row r="83" spans="1:10" s="45" customFormat="1">
      <c r="A83" s="1487"/>
      <c r="B83" s="921"/>
      <c r="C83" s="921" t="s">
        <v>1672</v>
      </c>
      <c r="D83" s="921" t="s">
        <v>139</v>
      </c>
      <c r="E83" s="921">
        <v>8</v>
      </c>
      <c r="F83" s="1495">
        <v>653039</v>
      </c>
      <c r="G83" s="1496">
        <f t="shared" si="6"/>
        <v>5224312</v>
      </c>
      <c r="I83" s="44"/>
      <c r="J83" s="44"/>
    </row>
    <row r="84" spans="1:10" s="45" customFormat="1">
      <c r="A84" s="1487"/>
      <c r="B84" s="921"/>
      <c r="C84" s="921" t="s">
        <v>1418</v>
      </c>
      <c r="D84" s="921" t="s">
        <v>139</v>
      </c>
      <c r="E84" s="921">
        <v>3</v>
      </c>
      <c r="F84" s="1495">
        <v>653039</v>
      </c>
      <c r="G84" s="1496">
        <f t="shared" si="6"/>
        <v>1959117</v>
      </c>
      <c r="I84" s="44"/>
      <c r="J84" s="44"/>
    </row>
    <row r="85" spans="1:10" s="45" customFormat="1">
      <c r="A85" s="1487"/>
      <c r="B85" s="921"/>
      <c r="C85" s="921"/>
      <c r="D85" s="921"/>
      <c r="E85" s="921"/>
      <c r="F85" s="1473"/>
      <c r="G85" s="1498">
        <f>SUM(G76:G84)</f>
        <v>29370475.399999999</v>
      </c>
      <c r="I85" s="44"/>
      <c r="J85" s="44"/>
    </row>
    <row r="86" spans="1:10" s="45" customFormat="1" ht="15.75" thickBot="1">
      <c r="A86" s="1487"/>
      <c r="B86" s="1509"/>
      <c r="C86" s="1509"/>
      <c r="D86" s="1509"/>
      <c r="E86" s="1509"/>
      <c r="F86" s="1477"/>
      <c r="G86" s="1494"/>
      <c r="I86" s="44"/>
      <c r="J86" s="44"/>
    </row>
    <row r="87" spans="1:10" s="45" customFormat="1" ht="16.5" thickTop="1" thickBot="1">
      <c r="A87" s="1487"/>
      <c r="B87" s="1922" t="s">
        <v>1658</v>
      </c>
      <c r="C87" s="1923"/>
      <c r="D87" s="1923"/>
      <c r="E87" s="1923"/>
      <c r="F87" s="1923"/>
      <c r="G87" s="1924"/>
      <c r="I87" s="44"/>
      <c r="J87" s="44"/>
    </row>
    <row r="88" spans="1:10" s="45" customFormat="1" ht="15.75" thickTop="1">
      <c r="A88" s="185"/>
      <c r="B88" s="1420"/>
      <c r="C88" s="1365" t="s">
        <v>1109</v>
      </c>
      <c r="D88" s="1020"/>
      <c r="E88" s="1281"/>
      <c r="F88" s="1282"/>
      <c r="G88" s="1282">
        <f t="shared" ref="G88:G89" si="7">+E88*F88</f>
        <v>0</v>
      </c>
      <c r="I88" s="44"/>
      <c r="J88" s="44"/>
    </row>
    <row r="89" spans="1:10" s="45" customFormat="1" ht="51">
      <c r="A89" s="185"/>
      <c r="B89" s="1420"/>
      <c r="C89" s="1421" t="s">
        <v>1111</v>
      </c>
      <c r="D89" s="1020" t="s">
        <v>22</v>
      </c>
      <c r="E89" s="1281">
        <v>1</v>
      </c>
      <c r="F89" s="1282">
        <f>2739900*1.35</f>
        <v>3698865.0000000005</v>
      </c>
      <c r="G89" s="1282">
        <f t="shared" si="7"/>
        <v>3698865.0000000005</v>
      </c>
      <c r="I89" s="44"/>
      <c r="J89" s="44"/>
    </row>
    <row r="90" spans="1:10" s="45" customFormat="1">
      <c r="A90" s="185"/>
      <c r="B90" s="1488"/>
      <c r="C90" s="1489"/>
      <c r="D90" s="1173"/>
      <c r="E90" s="1455"/>
      <c r="F90" s="95"/>
      <c r="G90" s="1485">
        <f>SUM(G88:G89)</f>
        <v>3698865.0000000005</v>
      </c>
      <c r="I90" s="44"/>
      <c r="J90" s="44"/>
    </row>
    <row r="91" spans="1:10" s="45" customFormat="1" ht="15.75" customHeight="1" thickBot="1">
      <c r="A91" s="185"/>
      <c r="B91" s="1406"/>
      <c r="C91" s="1407"/>
      <c r="D91" s="1408"/>
      <c r="E91" s="1409"/>
      <c r="F91" s="1032" t="s">
        <v>1098</v>
      </c>
      <c r="G91" s="1505" t="e">
        <f>+G90+#REF!+#REF!+#REF!+#REF!+#REF!+#REF!+#REF!+#REF!+#REF!+#REF!+#REF!+#REF!+#REF!+#REF!+#REF!+#REF!+#REF!+#REF!+#REF!+G17+#REF!+#REF!+#REF!+#REF!+G85</f>
        <v>#REF!</v>
      </c>
      <c r="H91" s="1497"/>
      <c r="I91" s="44"/>
      <c r="J91" s="44"/>
    </row>
    <row r="92" spans="1:10">
      <c r="C92" s="38"/>
      <c r="G92" s="1046"/>
    </row>
    <row r="93" spans="1:10">
      <c r="C93" s="38"/>
      <c r="G93" s="1046"/>
    </row>
    <row r="94" spans="1:10">
      <c r="C94" s="38"/>
      <c r="G94" s="1046"/>
    </row>
    <row r="95" spans="1:10">
      <c r="C95" s="38"/>
      <c r="G95" s="1046"/>
    </row>
    <row r="96" spans="1:10">
      <c r="C96" s="38"/>
      <c r="G96" s="1046"/>
    </row>
    <row r="97" spans="3:7">
      <c r="C97" s="38"/>
      <c r="G97" s="1046"/>
    </row>
    <row r="98" spans="3:7">
      <c r="C98" s="38"/>
      <c r="G98" s="1046"/>
    </row>
    <row r="99" spans="3:7">
      <c r="C99" s="38"/>
      <c r="G99" s="1046"/>
    </row>
    <row r="100" spans="3:7">
      <c r="C100" s="38"/>
      <c r="G100" s="1046"/>
    </row>
    <row r="101" spans="3:7">
      <c r="C101" s="38"/>
      <c r="G101" s="1046"/>
    </row>
    <row r="102" spans="3:7">
      <c r="C102" s="38"/>
      <c r="G102" s="1046"/>
    </row>
    <row r="103" spans="3:7">
      <c r="C103" s="38"/>
      <c r="G103" s="1046"/>
    </row>
    <row r="104" spans="3:7">
      <c r="C104" s="38"/>
      <c r="G104" s="1046"/>
    </row>
    <row r="105" spans="3:7">
      <c r="C105" s="38"/>
      <c r="G105" s="1046"/>
    </row>
    <row r="106" spans="3:7">
      <c r="C106" s="38"/>
      <c r="G106" s="1046"/>
    </row>
    <row r="107" spans="3:7">
      <c r="C107" s="38"/>
      <c r="G107" s="1046"/>
    </row>
    <row r="108" spans="3:7">
      <c r="C108" s="38"/>
      <c r="G108" s="1046"/>
    </row>
    <row r="109" spans="3:7">
      <c r="C109" s="38"/>
      <c r="G109" s="1046"/>
    </row>
    <row r="110" spans="3:7">
      <c r="C110" s="38"/>
      <c r="G110" s="1046"/>
    </row>
    <row r="111" spans="3:7">
      <c r="C111" s="38"/>
      <c r="G111" s="1046"/>
    </row>
    <row r="112" spans="3:7">
      <c r="C112" s="38"/>
      <c r="G112" s="1046"/>
    </row>
    <row r="113" spans="2:9">
      <c r="C113" s="38"/>
      <c r="G113" s="1046"/>
    </row>
    <row r="114" spans="2:9">
      <c r="C114" s="38"/>
      <c r="G114" s="1046"/>
    </row>
    <row r="115" spans="2:9">
      <c r="C115" s="38"/>
      <c r="G115" s="1046"/>
    </row>
    <row r="116" spans="2:9">
      <c r="C116" s="38"/>
      <c r="G116" s="1046"/>
    </row>
    <row r="117" spans="2:9" ht="23.25">
      <c r="B117" s="1909" t="s">
        <v>1421</v>
      </c>
      <c r="C117" s="1909"/>
      <c r="D117" s="1909"/>
      <c r="E117" s="1909"/>
      <c r="F117" s="1909"/>
      <c r="G117" s="1909"/>
    </row>
    <row r="118" spans="2:9">
      <c r="C118" s="38"/>
      <c r="D118" s="216"/>
      <c r="E118" s="217"/>
      <c r="F118" s="95"/>
      <c r="G118" s="95"/>
    </row>
    <row r="119" spans="2:9" ht="15.75">
      <c r="C119" s="1920" t="s">
        <v>947</v>
      </c>
      <c r="D119" s="1920"/>
      <c r="E119" s="1920"/>
      <c r="F119" s="1920"/>
      <c r="G119" s="1038" t="e">
        <f>+#REF!</f>
        <v>#REF!</v>
      </c>
    </row>
    <row r="120" spans="2:9" ht="15.75">
      <c r="C120" s="1919" t="s">
        <v>1435</v>
      </c>
      <c r="D120" s="1919"/>
      <c r="E120" s="1919"/>
      <c r="F120" s="1919"/>
      <c r="G120" s="1003" t="e">
        <f>+G119*0.06</f>
        <v>#REF!</v>
      </c>
    </row>
    <row r="121" spans="2:9" ht="15.75">
      <c r="C121" s="971"/>
      <c r="D121" s="971"/>
      <c r="E121" s="971"/>
      <c r="F121" s="971"/>
      <c r="G121" s="1003"/>
    </row>
    <row r="122" spans="2:9" ht="15.75">
      <c r="C122" s="1921" t="s">
        <v>948</v>
      </c>
      <c r="D122" s="1921"/>
      <c r="E122" s="1921"/>
      <c r="F122" s="1921"/>
      <c r="G122" s="1003" t="e">
        <f>+#REF!</f>
        <v>#REF!</v>
      </c>
    </row>
    <row r="123" spans="2:9" ht="15.75">
      <c r="C123" s="1921" t="s">
        <v>1551</v>
      </c>
      <c r="D123" s="1921"/>
      <c r="E123" s="1921"/>
      <c r="F123" s="1921"/>
      <c r="G123" s="1003" t="e">
        <f>+G122*0.04</f>
        <v>#REF!</v>
      </c>
    </row>
    <row r="124" spans="2:9" ht="15.75">
      <c r="C124" s="1508"/>
      <c r="D124" s="1508"/>
      <c r="E124" s="1508"/>
      <c r="F124" s="1508"/>
      <c r="G124" s="1037"/>
    </row>
    <row r="125" spans="2:9" ht="15.75">
      <c r="C125" s="1921" t="s">
        <v>570</v>
      </c>
      <c r="D125" s="1921"/>
      <c r="E125" s="1921"/>
      <c r="F125" s="1921"/>
      <c r="G125" s="1037" t="e">
        <f>SUM(G119:G124)</f>
        <v>#REF!</v>
      </c>
    </row>
    <row r="126" spans="2:9" ht="15.75">
      <c r="C126" s="1919" t="s">
        <v>1401</v>
      </c>
      <c r="D126" s="1919"/>
      <c r="E126" s="1919"/>
      <c r="F126" s="1919"/>
      <c r="G126" s="1003" t="e">
        <f>+(G125/0.98)*0.02</f>
        <v>#REF!</v>
      </c>
      <c r="I126" s="945" t="e">
        <f>+I127-G127</f>
        <v>#REF!</v>
      </c>
    </row>
    <row r="127" spans="2:9" ht="15.75">
      <c r="C127" s="1919" t="s">
        <v>484</v>
      </c>
      <c r="D127" s="1919"/>
      <c r="E127" s="1919"/>
      <c r="F127" s="1919"/>
      <c r="G127" s="1039" t="e">
        <f>+G125+G126</f>
        <v>#REF!</v>
      </c>
      <c r="I127" s="424">
        <v>2406339516</v>
      </c>
    </row>
    <row r="128" spans="2:9">
      <c r="G128" s="945"/>
    </row>
  </sheetData>
  <mergeCells count="18">
    <mergeCell ref="C126:F126"/>
    <mergeCell ref="C127:F127"/>
    <mergeCell ref="B117:G117"/>
    <mergeCell ref="C119:F119"/>
    <mergeCell ref="C120:F120"/>
    <mergeCell ref="C122:F122"/>
    <mergeCell ref="C123:F123"/>
    <mergeCell ref="C125:F125"/>
    <mergeCell ref="B87:G87"/>
    <mergeCell ref="B5:B6"/>
    <mergeCell ref="C5:E6"/>
    <mergeCell ref="F6:G6"/>
    <mergeCell ref="E1:F1"/>
    <mergeCell ref="E2:F2"/>
    <mergeCell ref="B3:D3"/>
    <mergeCell ref="E3:G3"/>
    <mergeCell ref="B4:D4"/>
    <mergeCell ref="E4:G4"/>
  </mergeCells>
  <conditionalFormatting sqref="B5">
    <cfRule type="cellIs" dxfId="251" priority="27" stopIfTrue="1" operator="equal">
      <formula>"ESCRIBA AQUÍ EL NOMBRE DE LA OBRA"</formula>
    </cfRule>
  </conditionalFormatting>
  <conditionalFormatting sqref="G1">
    <cfRule type="cellIs" dxfId="250" priority="28" stopIfTrue="1" operator="equal">
      <formula>"CHEQ. INSUMOS"</formula>
    </cfRule>
  </conditionalFormatting>
  <conditionalFormatting sqref="G2">
    <cfRule type="cellIs" dxfId="249" priority="29" stopIfTrue="1" operator="equal">
      <formula>"CHEQ. INSUMOS"</formula>
    </cfRule>
  </conditionalFormatting>
  <conditionalFormatting sqref="C32:C35 C38:C53 C8 C55:C61 C65:C74 C17:C28">
    <cfRule type="cellIs" dxfId="248" priority="24" stopIfTrue="1" operator="equal">
      <formula>"ESCRIBA AQUÍ EL NOMBRE DEL CAPITULO"</formula>
    </cfRule>
  </conditionalFormatting>
  <conditionalFormatting sqref="C29:C31">
    <cfRule type="cellIs" dxfId="247" priority="3" stopIfTrue="1" operator="equal">
      <formula>"ESCRIBA AQUÍ EL NOMBRE DEL CAPITULO"</formula>
    </cfRule>
  </conditionalFormatting>
  <conditionalFormatting sqref="C54">
    <cfRule type="cellIs" dxfId="246" priority="1" stopIfTrue="1" operator="equal">
      <formula>"ESCRIBA AQUÍ EL NOMBRE DEL CAPITULO"</formula>
    </cfRule>
  </conditionalFormatting>
  <pageMargins left="0.7" right="0.7" top="0.75" bottom="0.75" header="0.3" footer="0.3"/>
  <pageSetup scale="8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91"/>
  <sheetViews>
    <sheetView showGridLines="0" tabSelected="1" topLeftCell="B3" zoomScale="110" zoomScaleNormal="110" workbookViewId="0">
      <pane xSplit="1" topLeftCell="C1" activePane="topRight" state="frozen"/>
      <selection activeCell="B6" sqref="B6"/>
      <selection pane="topRight" activeCell="K560" sqref="K560"/>
    </sheetView>
  </sheetViews>
  <sheetFormatPr baseColWidth="10" defaultRowHeight="12.75"/>
  <cols>
    <col min="1" max="1" width="0" style="1622" hidden="1" customWidth="1"/>
    <col min="2" max="2" width="8" style="1937" customWidth="1"/>
    <col min="3" max="3" width="44" style="1937" customWidth="1"/>
    <col min="4" max="4" width="6.140625" style="1990" customWidth="1"/>
    <col min="5" max="5" width="12" style="1991" customWidth="1"/>
    <col min="6" max="6" width="14.85546875" style="2041" customWidth="1"/>
    <col min="7" max="7" width="13.28515625" style="2042" bestFit="1" customWidth="1"/>
    <col min="8" max="8" width="10.7109375" style="1993" hidden="1" customWidth="1"/>
    <col min="9" max="9" width="10.5703125" style="1993" hidden="1" customWidth="1"/>
    <col min="10" max="10" width="19" style="1620" customWidth="1"/>
    <col min="11" max="11" width="11.42578125" style="1621"/>
    <col min="12" max="12" width="13.140625" style="1622" bestFit="1" customWidth="1"/>
    <col min="13" max="13" width="14.85546875" style="1623" customWidth="1"/>
    <col min="14" max="14" width="11.42578125" style="1622"/>
    <col min="15" max="15" width="11.42578125" style="2033"/>
    <col min="16" max="39" width="11.42578125" style="1622"/>
    <col min="40" max="42" width="0" style="1622" hidden="1" customWidth="1"/>
    <col min="43" max="16384" width="11.42578125" style="1622"/>
  </cols>
  <sheetData>
    <row r="1" spans="1:42" ht="12" hidden="1" customHeight="1" thickTop="1">
      <c r="A1" s="1992"/>
      <c r="B1" s="2135">
        <v>2012.2</v>
      </c>
      <c r="C1" s="2136"/>
      <c r="D1" s="2137"/>
      <c r="E1" s="2138" t="s">
        <v>0</v>
      </c>
      <c r="F1" s="2130"/>
      <c r="G1" s="2044">
        <v>408578100</v>
      </c>
      <c r="K1" s="2045" t="s">
        <v>0</v>
      </c>
      <c r="M1" s="1625"/>
      <c r="N1" s="2046">
        <v>0</v>
      </c>
      <c r="O1" s="1622"/>
      <c r="P1" s="2047"/>
      <c r="Q1" s="2047">
        <v>1</v>
      </c>
      <c r="R1" s="2047"/>
      <c r="S1" s="2048">
        <v>0</v>
      </c>
      <c r="T1" s="2049">
        <v>0</v>
      </c>
      <c r="U1" s="2049">
        <v>0</v>
      </c>
      <c r="AN1" s="1622" t="s">
        <v>9</v>
      </c>
      <c r="AP1" s="1622">
        <v>0</v>
      </c>
    </row>
    <row r="2" spans="1:42" ht="12" hidden="1" customHeight="1" thickBot="1">
      <c r="A2" s="1992" t="s">
        <v>6</v>
      </c>
      <c r="B2" s="2139" t="s">
        <v>6</v>
      </c>
      <c r="C2" s="2140"/>
      <c r="D2" s="2141"/>
      <c r="E2" s="2142"/>
      <c r="F2" s="2131"/>
      <c r="G2" s="2050" t="s">
        <v>10</v>
      </c>
      <c r="M2" s="1625"/>
      <c r="O2" s="1622"/>
    </row>
    <row r="3" spans="1:42" ht="12" customHeight="1" thickBot="1">
      <c r="A3" s="1992"/>
      <c r="B3" s="2143"/>
      <c r="C3" s="2144"/>
      <c r="D3" s="2145"/>
      <c r="E3" s="2146"/>
      <c r="F3" s="2051"/>
      <c r="G3" s="2052"/>
      <c r="M3" s="2053"/>
      <c r="O3" s="1622"/>
    </row>
    <row r="4" spans="1:42" ht="31.5" customHeight="1" thickBot="1">
      <c r="A4" s="1992"/>
      <c r="B4" s="2147"/>
      <c r="C4" s="2148" t="s">
        <v>2191</v>
      </c>
      <c r="D4" s="2149"/>
      <c r="E4" s="2149"/>
      <c r="F4" s="2128"/>
      <c r="G4" s="2128"/>
      <c r="H4" s="2128"/>
      <c r="I4" s="2129"/>
      <c r="M4" s="1625"/>
      <c r="O4" s="1622"/>
    </row>
    <row r="5" spans="1:42" s="1620" customFormat="1" ht="12" customHeight="1">
      <c r="A5" s="1994"/>
      <c r="B5" s="2150"/>
      <c r="C5" s="2151"/>
      <c r="D5" s="2151"/>
      <c r="E5" s="2151"/>
      <c r="F5" s="2132"/>
      <c r="G5" s="2133"/>
      <c r="H5" s="1993"/>
      <c r="I5" s="1993"/>
      <c r="K5" s="1636"/>
      <c r="M5" s="1625"/>
    </row>
    <row r="6" spans="1:42" s="1995" customFormat="1" ht="52.5" customHeight="1">
      <c r="B6" s="2152"/>
      <c r="C6" s="2153" t="s">
        <v>2190</v>
      </c>
      <c r="D6" s="2154"/>
      <c r="E6" s="2154"/>
      <c r="F6" s="2126"/>
      <c r="G6" s="2127"/>
      <c r="H6" s="2126"/>
      <c r="I6" s="2127"/>
      <c r="K6" s="1996"/>
      <c r="M6" s="1997"/>
    </row>
    <row r="7" spans="1:42">
      <c r="A7" s="1998"/>
      <c r="B7" s="1933"/>
      <c r="C7" s="1934"/>
      <c r="D7" s="1935"/>
      <c r="E7" s="1936"/>
      <c r="F7" s="1648"/>
      <c r="G7" s="1649"/>
      <c r="H7" s="1999"/>
      <c r="I7" s="1999"/>
      <c r="O7" s="1622"/>
    </row>
    <row r="8" spans="1:42" ht="54.75" customHeight="1">
      <c r="A8" s="2000" t="s">
        <v>19</v>
      </c>
      <c r="B8" s="2155" t="s">
        <v>20</v>
      </c>
      <c r="C8" s="2155" t="s">
        <v>21</v>
      </c>
      <c r="D8" s="2155" t="s">
        <v>579</v>
      </c>
      <c r="E8" s="2156" t="s">
        <v>23</v>
      </c>
      <c r="F8" s="2054" t="s">
        <v>24</v>
      </c>
      <c r="G8" s="2055" t="s">
        <v>25</v>
      </c>
      <c r="H8" s="2001" t="s">
        <v>2192</v>
      </c>
      <c r="I8" s="2001" t="s">
        <v>2193</v>
      </c>
      <c r="K8" s="1621" t="s">
        <v>23</v>
      </c>
      <c r="M8" s="2056" t="s">
        <v>24</v>
      </c>
      <c r="O8" s="1622"/>
    </row>
    <row r="9" spans="1:42" ht="14.25" customHeight="1" thickBot="1">
      <c r="A9" s="1620"/>
      <c r="B9" s="1933"/>
      <c r="C9" s="1934"/>
      <c r="D9" s="1935"/>
      <c r="E9" s="1936"/>
      <c r="F9" s="1648"/>
      <c r="G9" s="1649"/>
      <c r="H9" s="1999"/>
      <c r="I9" s="1999"/>
      <c r="O9" s="1622"/>
    </row>
    <row r="10" spans="1:42">
      <c r="A10" s="1624"/>
      <c r="B10" s="2157">
        <v>1</v>
      </c>
      <c r="C10" s="2158" t="s">
        <v>1114</v>
      </c>
      <c r="D10" s="2157"/>
      <c r="E10" s="2159"/>
      <c r="F10" s="2057"/>
      <c r="G10" s="2057"/>
      <c r="H10" s="1999"/>
      <c r="I10" s="1999"/>
      <c r="M10" s="2005"/>
      <c r="O10" s="1622"/>
    </row>
    <row r="11" spans="1:42" ht="15" customHeight="1">
      <c r="A11" s="1620"/>
      <c r="B11" s="2160" t="s">
        <v>1830</v>
      </c>
      <c r="C11" s="2161" t="s">
        <v>975</v>
      </c>
      <c r="D11" s="1938" t="s">
        <v>2201</v>
      </c>
      <c r="E11" s="1936">
        <f>ROUND(K11,2)</f>
        <v>1005.37</v>
      </c>
      <c r="F11" s="1648"/>
      <c r="G11" s="1648"/>
      <c r="H11" s="2002">
        <f>+ROUND(F11*0.9,0)</f>
        <v>0</v>
      </c>
      <c r="I11" s="2002">
        <f>+ROUND(F11*1.1,0)</f>
        <v>0</v>
      </c>
      <c r="K11" s="1621">
        <v>1005.373</v>
      </c>
      <c r="M11" s="1623">
        <v>2710</v>
      </c>
      <c r="O11" s="1622"/>
    </row>
    <row r="12" spans="1:42" ht="15" customHeight="1">
      <c r="A12" s="1620"/>
      <c r="B12" s="2160" t="s">
        <v>1831</v>
      </c>
      <c r="C12" s="2161" t="s">
        <v>2153</v>
      </c>
      <c r="D12" s="1938" t="s">
        <v>2201</v>
      </c>
      <c r="E12" s="1936">
        <f>ROUND(K12,2)</f>
        <v>1005.37</v>
      </c>
      <c r="F12" s="1648"/>
      <c r="G12" s="1648"/>
      <c r="H12" s="2002">
        <f>+ROUND(F12*0.9,0)</f>
        <v>0</v>
      </c>
      <c r="I12" s="2002">
        <f>+ROUND(F12*1.1,0)</f>
        <v>0</v>
      </c>
      <c r="K12" s="1621">
        <v>1005.373</v>
      </c>
      <c r="M12" s="1623">
        <v>1360</v>
      </c>
      <c r="O12" s="1622"/>
    </row>
    <row r="13" spans="1:42" ht="15" customHeight="1">
      <c r="A13" s="1620"/>
      <c r="B13" s="2160" t="s">
        <v>1832</v>
      </c>
      <c r="C13" s="2161" t="s">
        <v>2198</v>
      </c>
      <c r="D13" s="1946" t="s">
        <v>579</v>
      </c>
      <c r="E13" s="1936">
        <f>ROUND(K13,2)</f>
        <v>1</v>
      </c>
      <c r="F13" s="1648"/>
      <c r="G13" s="1648"/>
      <c r="H13" s="2002">
        <f t="shared" ref="H13:H30" si="0">+ROUND(F13*0.9,0)</f>
        <v>0</v>
      </c>
      <c r="I13" s="2002">
        <f t="shared" ref="I13:I30" si="1">+ROUND(F13*1.1,0)</f>
        <v>0</v>
      </c>
      <c r="K13" s="1621">
        <v>1</v>
      </c>
      <c r="M13" s="1623">
        <v>1641648</v>
      </c>
      <c r="O13" s="1622"/>
    </row>
    <row r="14" spans="1:42" ht="15" customHeight="1">
      <c r="A14" s="1620"/>
      <c r="B14" s="2160" t="s">
        <v>1833</v>
      </c>
      <c r="C14" s="2161" t="s">
        <v>2152</v>
      </c>
      <c r="D14" s="1938" t="s">
        <v>2201</v>
      </c>
      <c r="E14" s="1936">
        <f>ROUND(K14,2)</f>
        <v>40</v>
      </c>
      <c r="F14" s="1648"/>
      <c r="G14" s="1648"/>
      <c r="H14" s="2002">
        <f t="shared" si="0"/>
        <v>0</v>
      </c>
      <c r="I14" s="2002">
        <f>+ROUND(F14*1.1,0)</f>
        <v>0</v>
      </c>
      <c r="K14" s="1621">
        <v>40</v>
      </c>
      <c r="M14" s="1623">
        <v>30610</v>
      </c>
      <c r="O14" s="1622"/>
    </row>
    <row r="15" spans="1:42" ht="15" customHeight="1">
      <c r="A15" s="1620"/>
      <c r="B15" s="2162"/>
      <c r="C15" s="2163" t="s">
        <v>982</v>
      </c>
      <c r="D15" s="2163"/>
      <c r="E15" s="2163"/>
      <c r="F15" s="2113"/>
      <c r="G15" s="2058">
        <f>SUM(G11:G14)</f>
        <v>0</v>
      </c>
      <c r="H15" s="2002"/>
      <c r="I15" s="2002"/>
      <c r="M15" s="1625"/>
      <c r="O15" s="1622"/>
    </row>
    <row r="16" spans="1:42" ht="15" customHeight="1">
      <c r="A16" s="1620"/>
      <c r="B16" s="2160"/>
      <c r="C16" s="2164"/>
      <c r="D16" s="1956"/>
      <c r="E16" s="2165"/>
      <c r="F16" s="1650"/>
      <c r="G16" s="2059"/>
      <c r="H16" s="2002"/>
      <c r="I16" s="2002"/>
      <c r="O16" s="1622"/>
    </row>
    <row r="17" spans="1:13" s="1622" customFormat="1" ht="15" customHeight="1">
      <c r="A17" s="1620"/>
      <c r="B17" s="2157">
        <v>2</v>
      </c>
      <c r="C17" s="1939" t="s">
        <v>85</v>
      </c>
      <c r="D17" s="2157"/>
      <c r="E17" s="2159"/>
      <c r="F17" s="2057"/>
      <c r="G17" s="2057"/>
      <c r="H17" s="2002"/>
      <c r="I17" s="2002"/>
      <c r="J17" s="1620"/>
      <c r="K17" s="1621"/>
      <c r="M17" s="2005"/>
    </row>
    <row r="18" spans="1:13" s="1622" customFormat="1" ht="15" customHeight="1">
      <c r="A18" s="1620"/>
      <c r="B18" s="2160"/>
      <c r="C18" s="2161"/>
      <c r="D18" s="1935"/>
      <c r="E18" s="1936"/>
      <c r="F18" s="1648"/>
      <c r="G18" s="1648"/>
      <c r="H18" s="2002"/>
      <c r="I18" s="2002"/>
      <c r="J18" s="1620"/>
      <c r="K18" s="1621"/>
      <c r="M18" s="1623"/>
    </row>
    <row r="19" spans="1:13" s="1622" customFormat="1" ht="15" customHeight="1">
      <c r="A19" s="1620"/>
      <c r="B19" s="2160" t="s">
        <v>1818</v>
      </c>
      <c r="C19" s="2161" t="s">
        <v>1793</v>
      </c>
      <c r="D19" s="1938" t="s">
        <v>2202</v>
      </c>
      <c r="E19" s="1936">
        <f t="shared" ref="E19:E30" si="2">ROUND(K19,2)</f>
        <v>117</v>
      </c>
      <c r="F19" s="1648"/>
      <c r="G19" s="1648"/>
      <c r="H19" s="2002">
        <f t="shared" si="0"/>
        <v>0</v>
      </c>
      <c r="I19" s="2002">
        <f t="shared" si="1"/>
        <v>0</v>
      </c>
      <c r="J19" s="1620"/>
      <c r="K19" s="1621">
        <v>117</v>
      </c>
      <c r="M19" s="1623">
        <v>12390</v>
      </c>
    </row>
    <row r="20" spans="1:13" s="1622" customFormat="1" ht="17.25" customHeight="1">
      <c r="A20" s="1620"/>
      <c r="B20" s="2160" t="s">
        <v>1819</v>
      </c>
      <c r="C20" s="2161" t="s">
        <v>2154</v>
      </c>
      <c r="D20" s="1938" t="s">
        <v>2202</v>
      </c>
      <c r="E20" s="1936">
        <f t="shared" si="2"/>
        <v>23.58</v>
      </c>
      <c r="F20" s="1648"/>
      <c r="G20" s="1648"/>
      <c r="H20" s="2002">
        <f t="shared" si="0"/>
        <v>0</v>
      </c>
      <c r="I20" s="2002">
        <f t="shared" si="1"/>
        <v>0</v>
      </c>
      <c r="J20" s="1620"/>
      <c r="K20" s="1621">
        <v>23.58</v>
      </c>
      <c r="M20" s="1623">
        <v>571376</v>
      </c>
    </row>
    <row r="21" spans="1:13" s="1622" customFormat="1" ht="32.25" customHeight="1">
      <c r="A21" s="1620"/>
      <c r="B21" s="2160" t="s">
        <v>1820</v>
      </c>
      <c r="C21" s="1971" t="s">
        <v>2125</v>
      </c>
      <c r="D21" s="1938" t="s">
        <v>2201</v>
      </c>
      <c r="E21" s="1936">
        <f t="shared" si="2"/>
        <v>472.5</v>
      </c>
      <c r="F21" s="1648"/>
      <c r="G21" s="1648"/>
      <c r="H21" s="2002">
        <f t="shared" si="0"/>
        <v>0</v>
      </c>
      <c r="I21" s="2002">
        <f t="shared" si="1"/>
        <v>0</v>
      </c>
      <c r="J21" s="1620"/>
      <c r="K21" s="1621">
        <v>472.5</v>
      </c>
      <c r="M21" s="1623">
        <v>20403.017</v>
      </c>
    </row>
    <row r="22" spans="1:13" s="1622" customFormat="1" ht="15" customHeight="1">
      <c r="A22" s="1620"/>
      <c r="B22" s="2160" t="s">
        <v>1821</v>
      </c>
      <c r="C22" s="2161" t="s">
        <v>88</v>
      </c>
      <c r="D22" s="1946" t="s">
        <v>1141</v>
      </c>
      <c r="E22" s="1936">
        <f t="shared" si="2"/>
        <v>338.8</v>
      </c>
      <c r="F22" s="1648"/>
      <c r="G22" s="1648"/>
      <c r="H22" s="2002">
        <f t="shared" si="0"/>
        <v>0</v>
      </c>
      <c r="I22" s="2002">
        <f t="shared" si="1"/>
        <v>0</v>
      </c>
      <c r="J22" s="1620"/>
      <c r="K22" s="1621">
        <v>338.8</v>
      </c>
      <c r="M22" s="1623">
        <v>25950</v>
      </c>
    </row>
    <row r="23" spans="1:13" s="1622" customFormat="1" ht="15" customHeight="1">
      <c r="A23" s="1620"/>
      <c r="B23" s="2160" t="s">
        <v>1822</v>
      </c>
      <c r="C23" s="2161" t="s">
        <v>89</v>
      </c>
      <c r="D23" s="1946" t="s">
        <v>1141</v>
      </c>
      <c r="E23" s="1936">
        <f t="shared" si="2"/>
        <v>40</v>
      </c>
      <c r="F23" s="1648"/>
      <c r="G23" s="1648"/>
      <c r="H23" s="2002">
        <f t="shared" si="0"/>
        <v>0</v>
      </c>
      <c r="I23" s="2002">
        <f t="shared" si="1"/>
        <v>0</v>
      </c>
      <c r="J23" s="1620"/>
      <c r="K23" s="1621">
        <v>40</v>
      </c>
      <c r="M23" s="1623">
        <v>20743.130942857144</v>
      </c>
    </row>
    <row r="24" spans="1:13" s="1622" customFormat="1" ht="15" customHeight="1">
      <c r="A24" s="1620"/>
      <c r="B24" s="2160" t="s">
        <v>1823</v>
      </c>
      <c r="C24" s="2161" t="s">
        <v>90</v>
      </c>
      <c r="D24" s="1946" t="s">
        <v>1141</v>
      </c>
      <c r="E24" s="1936">
        <f t="shared" si="2"/>
        <v>315</v>
      </c>
      <c r="F24" s="1648"/>
      <c r="G24" s="1648"/>
      <c r="H24" s="2002">
        <f t="shared" si="0"/>
        <v>0</v>
      </c>
      <c r="I24" s="2002">
        <f t="shared" si="1"/>
        <v>0</v>
      </c>
      <c r="J24" s="1620"/>
      <c r="K24" s="1621">
        <v>315</v>
      </c>
      <c r="M24" s="1623">
        <v>1930.0000000000007</v>
      </c>
    </row>
    <row r="25" spans="1:13" s="1622" customFormat="1" ht="28.5" customHeight="1">
      <c r="A25" s="1620"/>
      <c r="B25" s="2160" t="s">
        <v>1824</v>
      </c>
      <c r="C25" s="1971" t="s">
        <v>1791</v>
      </c>
      <c r="D25" s="1946" t="s">
        <v>1574</v>
      </c>
      <c r="E25" s="1936">
        <f t="shared" si="2"/>
        <v>2</v>
      </c>
      <c r="F25" s="1648"/>
      <c r="G25" s="1648"/>
      <c r="H25" s="2002">
        <f t="shared" si="0"/>
        <v>0</v>
      </c>
      <c r="I25" s="2002">
        <f t="shared" si="1"/>
        <v>0</v>
      </c>
      <c r="J25" s="1620"/>
      <c r="K25" s="1621">
        <v>2</v>
      </c>
      <c r="M25" s="1623">
        <v>687290</v>
      </c>
    </row>
    <row r="26" spans="1:13" s="1622" customFormat="1" ht="15" customHeight="1">
      <c r="A26" s="1620"/>
      <c r="B26" s="2160" t="s">
        <v>1825</v>
      </c>
      <c r="C26" s="2161" t="s">
        <v>92</v>
      </c>
      <c r="D26" s="1946" t="s">
        <v>579</v>
      </c>
      <c r="E26" s="1936">
        <f t="shared" si="2"/>
        <v>1</v>
      </c>
      <c r="F26" s="1648"/>
      <c r="G26" s="1648"/>
      <c r="H26" s="2002">
        <f t="shared" si="0"/>
        <v>0</v>
      </c>
      <c r="I26" s="2002">
        <f t="shared" si="1"/>
        <v>0</v>
      </c>
      <c r="J26" s="1620"/>
      <c r="K26" s="1621">
        <v>1</v>
      </c>
      <c r="M26" s="1623">
        <v>515400</v>
      </c>
    </row>
    <row r="27" spans="1:13" s="1622" customFormat="1" ht="15" customHeight="1">
      <c r="A27" s="1620"/>
      <c r="B27" s="2160" t="s">
        <v>1826</v>
      </c>
      <c r="C27" s="2161" t="s">
        <v>1523</v>
      </c>
      <c r="D27" s="1938" t="s">
        <v>2201</v>
      </c>
      <c r="E27" s="1936">
        <f t="shared" si="2"/>
        <v>157.5</v>
      </c>
      <c r="F27" s="1648"/>
      <c r="G27" s="1648"/>
      <c r="H27" s="2002">
        <f t="shared" si="0"/>
        <v>0</v>
      </c>
      <c r="I27" s="2002">
        <f t="shared" si="1"/>
        <v>0</v>
      </c>
      <c r="J27" s="1620"/>
      <c r="K27" s="1621">
        <v>157.5</v>
      </c>
      <c r="M27" s="1623">
        <v>48170.080000000002</v>
      </c>
    </row>
    <row r="28" spans="1:13" s="1622" customFormat="1" ht="15" customHeight="1">
      <c r="A28" s="1620"/>
      <c r="B28" s="2160" t="s">
        <v>1827</v>
      </c>
      <c r="C28" s="2161" t="s">
        <v>1521</v>
      </c>
      <c r="D28" s="1938" t="s">
        <v>2202</v>
      </c>
      <c r="E28" s="1936">
        <f t="shared" si="2"/>
        <v>7.82</v>
      </c>
      <c r="F28" s="1648"/>
      <c r="G28" s="1648"/>
      <c r="H28" s="2002">
        <f t="shared" si="0"/>
        <v>0</v>
      </c>
      <c r="I28" s="2002">
        <f t="shared" si="1"/>
        <v>0</v>
      </c>
      <c r="J28" s="1620"/>
      <c r="K28" s="1621">
        <v>7.82</v>
      </c>
      <c r="M28" s="1623">
        <v>609624.55500000005</v>
      </c>
    </row>
    <row r="29" spans="1:13" s="1622" customFormat="1" ht="15" customHeight="1">
      <c r="A29" s="1620"/>
      <c r="B29" s="2160" t="s">
        <v>1828</v>
      </c>
      <c r="C29" s="2161" t="s">
        <v>1664</v>
      </c>
      <c r="D29" s="1946" t="s">
        <v>61</v>
      </c>
      <c r="E29" s="1936">
        <f t="shared" si="2"/>
        <v>628.6</v>
      </c>
      <c r="F29" s="1648"/>
      <c r="G29" s="1648"/>
      <c r="H29" s="2002">
        <f t="shared" si="0"/>
        <v>0</v>
      </c>
      <c r="I29" s="2002">
        <f t="shared" si="1"/>
        <v>0</v>
      </c>
      <c r="J29" s="1620"/>
      <c r="K29" s="1621">
        <v>628.6</v>
      </c>
      <c r="M29" s="1623">
        <v>3584</v>
      </c>
    </row>
    <row r="30" spans="1:13" s="1622" customFormat="1" ht="15" customHeight="1">
      <c r="A30" s="1620"/>
      <c r="B30" s="2160" t="s">
        <v>1829</v>
      </c>
      <c r="C30" s="2161" t="s">
        <v>1522</v>
      </c>
      <c r="D30" s="1938" t="s">
        <v>2202</v>
      </c>
      <c r="E30" s="1936">
        <f t="shared" si="2"/>
        <v>11.55</v>
      </c>
      <c r="F30" s="1648"/>
      <c r="G30" s="1648"/>
      <c r="H30" s="2002">
        <f t="shared" si="0"/>
        <v>0</v>
      </c>
      <c r="I30" s="2002">
        <f t="shared" si="1"/>
        <v>0</v>
      </c>
      <c r="J30" s="1620"/>
      <c r="K30" s="1621">
        <v>11.549999999999999</v>
      </c>
      <c r="M30" s="1623">
        <v>530108.65500000003</v>
      </c>
    </row>
    <row r="31" spans="1:13" s="1622" customFormat="1" ht="15" customHeight="1">
      <c r="A31" s="1620"/>
      <c r="B31" s="2166"/>
      <c r="C31" s="2163" t="s">
        <v>983</v>
      </c>
      <c r="D31" s="2163"/>
      <c r="E31" s="2163"/>
      <c r="F31" s="2113"/>
      <c r="G31" s="2058">
        <f>SUM(G19:G30)</f>
        <v>0</v>
      </c>
      <c r="H31" s="2002"/>
      <c r="I31" s="2002"/>
      <c r="J31" s="1620"/>
      <c r="K31" s="1621"/>
      <c r="M31" s="1625"/>
    </row>
    <row r="32" spans="1:13" s="1622" customFormat="1" ht="16.5" customHeight="1" thickBot="1">
      <c r="A32" s="1620"/>
      <c r="B32" s="1933"/>
      <c r="C32" s="2161"/>
      <c r="D32" s="1935"/>
      <c r="E32" s="1936"/>
      <c r="F32" s="1648"/>
      <c r="G32" s="1649"/>
      <c r="H32" s="2002"/>
      <c r="I32" s="2002"/>
      <c r="J32" s="1620"/>
      <c r="K32" s="1621"/>
      <c r="M32" s="1623"/>
    </row>
    <row r="33" spans="1:13" s="1622" customFormat="1">
      <c r="A33" s="1624" t="s">
        <v>38</v>
      </c>
      <c r="B33" s="2157">
        <v>3</v>
      </c>
      <c r="C33" s="1939" t="s">
        <v>956</v>
      </c>
      <c r="D33" s="2157"/>
      <c r="E33" s="2159"/>
      <c r="F33" s="2057"/>
      <c r="G33" s="2057"/>
      <c r="H33" s="2002"/>
      <c r="I33" s="2002"/>
      <c r="J33" s="1620"/>
      <c r="K33" s="1621"/>
      <c r="M33" s="2005"/>
    </row>
    <row r="34" spans="1:13" s="1622" customFormat="1" ht="15" hidden="1" customHeight="1">
      <c r="A34" s="1626" t="s">
        <v>40</v>
      </c>
      <c r="B34" s="2160"/>
      <c r="C34" s="2161"/>
      <c r="D34" s="1935"/>
      <c r="E34" s="1936"/>
      <c r="F34" s="1648"/>
      <c r="G34" s="1648"/>
      <c r="H34" s="2002"/>
      <c r="I34" s="2002"/>
      <c r="J34" s="1620"/>
      <c r="K34" s="1621"/>
      <c r="M34" s="1623"/>
    </row>
    <row r="35" spans="1:13" s="1622" customFormat="1">
      <c r="A35" s="1627"/>
      <c r="B35" s="2160"/>
      <c r="C35" s="2167" t="s">
        <v>947</v>
      </c>
      <c r="D35" s="1935"/>
      <c r="E35" s="1936"/>
      <c r="F35" s="1648"/>
      <c r="G35" s="1648"/>
      <c r="H35" s="2002"/>
      <c r="I35" s="2002"/>
      <c r="J35" s="1620"/>
      <c r="K35" s="1621"/>
      <c r="M35" s="1623"/>
    </row>
    <row r="36" spans="1:13" s="1622" customFormat="1" ht="25.5">
      <c r="A36" s="1627"/>
      <c r="B36" s="2160" t="s">
        <v>1834</v>
      </c>
      <c r="C36" s="1934" t="s">
        <v>1789</v>
      </c>
      <c r="D36" s="1938" t="s">
        <v>2202</v>
      </c>
      <c r="E36" s="1936">
        <f t="shared" ref="E36:E47" si="3">ROUND(K36,2)</f>
        <v>170.1</v>
      </c>
      <c r="F36" s="1648"/>
      <c r="G36" s="1648"/>
      <c r="H36" s="2002">
        <f t="shared" ref="H36:H47" si="4">+ROUND(F36*0.9,0)</f>
        <v>0</v>
      </c>
      <c r="I36" s="2002">
        <f t="shared" ref="I36:I47" si="5">+ROUND(F36*1.1,0)</f>
        <v>0</v>
      </c>
      <c r="J36" s="1620"/>
      <c r="K36" s="1621">
        <v>170.1</v>
      </c>
      <c r="M36" s="1623">
        <v>3000.0000000000005</v>
      </c>
    </row>
    <row r="37" spans="1:13" s="1622" customFormat="1">
      <c r="A37" s="1627"/>
      <c r="B37" s="2160" t="s">
        <v>1818</v>
      </c>
      <c r="C37" s="2161" t="s">
        <v>1776</v>
      </c>
      <c r="D37" s="1938" t="s">
        <v>2202</v>
      </c>
      <c r="E37" s="1936">
        <f t="shared" si="3"/>
        <v>18.899999999999999</v>
      </c>
      <c r="F37" s="1648"/>
      <c r="G37" s="1648"/>
      <c r="H37" s="2002">
        <f t="shared" si="4"/>
        <v>0</v>
      </c>
      <c r="I37" s="2002">
        <f t="shared" si="5"/>
        <v>0</v>
      </c>
      <c r="J37" s="1620"/>
      <c r="K37" s="1621">
        <v>18.900000000000002</v>
      </c>
      <c r="M37" s="1623">
        <v>12390.2</v>
      </c>
    </row>
    <row r="38" spans="1:13" s="1622" customFormat="1">
      <c r="A38" s="1627"/>
      <c r="B38" s="2160" t="s">
        <v>1835</v>
      </c>
      <c r="C38" s="2161" t="s">
        <v>1101</v>
      </c>
      <c r="D38" s="1938" t="s">
        <v>2202</v>
      </c>
      <c r="E38" s="1936">
        <f t="shared" si="3"/>
        <v>51.03</v>
      </c>
      <c r="F38" s="1648"/>
      <c r="G38" s="1648"/>
      <c r="H38" s="2002">
        <f t="shared" si="4"/>
        <v>0</v>
      </c>
      <c r="I38" s="2002">
        <f t="shared" si="5"/>
        <v>0</v>
      </c>
      <c r="J38" s="1620"/>
      <c r="K38" s="1621">
        <v>51.029999999999994</v>
      </c>
      <c r="M38" s="1623">
        <v>5190</v>
      </c>
    </row>
    <row r="39" spans="1:13" s="1622" customFormat="1">
      <c r="A39" s="1627"/>
      <c r="B39" s="2160" t="s">
        <v>1836</v>
      </c>
      <c r="C39" s="2161" t="s">
        <v>1777</v>
      </c>
      <c r="D39" s="1938" t="s">
        <v>2202</v>
      </c>
      <c r="E39" s="1936">
        <f t="shared" si="3"/>
        <v>119.07</v>
      </c>
      <c r="F39" s="1648"/>
      <c r="G39" s="1648"/>
      <c r="H39" s="2002">
        <f t="shared" si="4"/>
        <v>0</v>
      </c>
      <c r="I39" s="2002">
        <f t="shared" si="5"/>
        <v>0</v>
      </c>
      <c r="J39" s="1620"/>
      <c r="K39" s="1621">
        <v>119.07</v>
      </c>
      <c r="M39" s="1623">
        <v>14640.2</v>
      </c>
    </row>
    <row r="40" spans="1:13" s="1622" customFormat="1">
      <c r="A40" s="1627"/>
      <c r="B40" s="2160" t="s">
        <v>1837</v>
      </c>
      <c r="C40" s="2161" t="s">
        <v>941</v>
      </c>
      <c r="D40" s="1938" t="s">
        <v>2202</v>
      </c>
      <c r="E40" s="1936">
        <f t="shared" si="3"/>
        <v>10.47</v>
      </c>
      <c r="F40" s="1648"/>
      <c r="G40" s="1648"/>
      <c r="H40" s="2002">
        <f t="shared" si="4"/>
        <v>0</v>
      </c>
      <c r="I40" s="2002">
        <f t="shared" si="5"/>
        <v>0</v>
      </c>
      <c r="J40" s="1620"/>
      <c r="K40" s="1621">
        <v>10.472000000000001</v>
      </c>
      <c r="M40" s="1645">
        <v>10530</v>
      </c>
    </row>
    <row r="41" spans="1:13" s="1622" customFormat="1">
      <c r="A41" s="1627"/>
      <c r="B41" s="2160" t="s">
        <v>1838</v>
      </c>
      <c r="C41" s="2161" t="s">
        <v>2174</v>
      </c>
      <c r="D41" s="1938" t="s">
        <v>2201</v>
      </c>
      <c r="E41" s="1936">
        <f t="shared" si="3"/>
        <v>115.55</v>
      </c>
      <c r="F41" s="1648"/>
      <c r="G41" s="1648"/>
      <c r="H41" s="2002">
        <f t="shared" si="4"/>
        <v>0</v>
      </c>
      <c r="I41" s="2002">
        <f t="shared" si="5"/>
        <v>0</v>
      </c>
      <c r="J41" s="1620"/>
      <c r="K41" s="1621">
        <v>115.54500000000002</v>
      </c>
      <c r="L41" s="1628"/>
      <c r="M41" s="1623">
        <v>19392</v>
      </c>
    </row>
    <row r="42" spans="1:13" s="1622" customFormat="1" ht="25.5">
      <c r="A42" s="1627"/>
      <c r="B42" s="2160" t="s">
        <v>1839</v>
      </c>
      <c r="C42" s="1941" t="s">
        <v>1792</v>
      </c>
      <c r="D42" s="1938" t="s">
        <v>2202</v>
      </c>
      <c r="E42" s="1936">
        <f t="shared" si="3"/>
        <v>21.41</v>
      </c>
      <c r="F42" s="1648"/>
      <c r="G42" s="1648"/>
      <c r="H42" s="2002">
        <f t="shared" si="4"/>
        <v>0</v>
      </c>
      <c r="I42" s="2002">
        <f t="shared" si="5"/>
        <v>0</v>
      </c>
      <c r="J42" s="1620"/>
      <c r="K42" s="1621">
        <v>21.409200000000002</v>
      </c>
      <c r="M42" s="1623">
        <v>63050</v>
      </c>
    </row>
    <row r="43" spans="1:13" s="1622" customFormat="1">
      <c r="A43" s="1627"/>
      <c r="B43" s="2160" t="s">
        <v>1840</v>
      </c>
      <c r="C43" s="2168" t="s">
        <v>1778</v>
      </c>
      <c r="D43" s="1938" t="s">
        <v>2202</v>
      </c>
      <c r="E43" s="1936">
        <f t="shared" si="3"/>
        <v>32.85</v>
      </c>
      <c r="F43" s="1648"/>
      <c r="G43" s="1648"/>
      <c r="H43" s="2002">
        <f t="shared" si="4"/>
        <v>0</v>
      </c>
      <c r="I43" s="2002">
        <f t="shared" si="5"/>
        <v>0</v>
      </c>
      <c r="J43" s="1620"/>
      <c r="K43" s="1621">
        <v>32.851324999999996</v>
      </c>
      <c r="M43" s="1623">
        <v>715478</v>
      </c>
    </row>
    <row r="44" spans="1:13" s="1622" customFormat="1">
      <c r="A44" s="1627"/>
      <c r="B44" s="2160" t="s">
        <v>1841</v>
      </c>
      <c r="C44" s="2161" t="s">
        <v>1779</v>
      </c>
      <c r="D44" s="1938" t="s">
        <v>2202</v>
      </c>
      <c r="E44" s="1936">
        <f t="shared" si="3"/>
        <v>56.6</v>
      </c>
      <c r="F44" s="1648"/>
      <c r="G44" s="1648"/>
      <c r="H44" s="2002">
        <f t="shared" si="4"/>
        <v>0</v>
      </c>
      <c r="I44" s="2002">
        <f t="shared" si="5"/>
        <v>0</v>
      </c>
      <c r="J44" s="1620"/>
      <c r="K44" s="1621">
        <v>56.6</v>
      </c>
      <c r="M44" s="1623">
        <v>723877.99999999988</v>
      </c>
    </row>
    <row r="45" spans="1:13" s="1622" customFormat="1">
      <c r="A45" s="1627"/>
      <c r="B45" s="2160" t="s">
        <v>1842</v>
      </c>
      <c r="C45" s="2161" t="s">
        <v>1780</v>
      </c>
      <c r="D45" s="1938" t="s">
        <v>2202</v>
      </c>
      <c r="E45" s="1936">
        <f t="shared" si="3"/>
        <v>5.48</v>
      </c>
      <c r="F45" s="1648"/>
      <c r="G45" s="1648"/>
      <c r="H45" s="2002">
        <f t="shared" si="4"/>
        <v>0</v>
      </c>
      <c r="I45" s="2002">
        <f t="shared" si="5"/>
        <v>0</v>
      </c>
      <c r="J45" s="1620"/>
      <c r="K45" s="1621">
        <v>5.4770699999999994</v>
      </c>
      <c r="M45" s="1623">
        <v>715478</v>
      </c>
    </row>
    <row r="46" spans="1:13" s="1622" customFormat="1">
      <c r="A46" s="1627"/>
      <c r="B46" s="2160" t="s">
        <v>1828</v>
      </c>
      <c r="C46" s="2161" t="s">
        <v>522</v>
      </c>
      <c r="D46" s="1935" t="s">
        <v>1140</v>
      </c>
      <c r="E46" s="1936">
        <f t="shared" si="3"/>
        <v>8784.24</v>
      </c>
      <c r="F46" s="1648"/>
      <c r="G46" s="1648"/>
      <c r="H46" s="2002">
        <f t="shared" si="4"/>
        <v>0</v>
      </c>
      <c r="I46" s="2002">
        <f t="shared" si="5"/>
        <v>0</v>
      </c>
      <c r="J46" s="1620"/>
      <c r="K46" s="1621">
        <v>8784.24</v>
      </c>
      <c r="M46" s="1623">
        <v>3584</v>
      </c>
    </row>
    <row r="47" spans="1:13" s="1622" customFormat="1">
      <c r="A47" s="1627"/>
      <c r="B47" s="2160" t="s">
        <v>1844</v>
      </c>
      <c r="C47" s="2168" t="s">
        <v>950</v>
      </c>
      <c r="D47" s="1935" t="s">
        <v>2196</v>
      </c>
      <c r="E47" s="1936">
        <f t="shared" si="3"/>
        <v>142.69999999999999</v>
      </c>
      <c r="F47" s="1648"/>
      <c r="G47" s="1648"/>
      <c r="H47" s="2002">
        <f t="shared" si="4"/>
        <v>0</v>
      </c>
      <c r="I47" s="2002">
        <f t="shared" si="5"/>
        <v>0</v>
      </c>
      <c r="J47" s="1620"/>
      <c r="K47" s="1621">
        <v>142.69999999999999</v>
      </c>
      <c r="M47" s="1623">
        <v>27799</v>
      </c>
    </row>
    <row r="48" spans="1:13" s="1622" customFormat="1">
      <c r="A48" s="1627"/>
      <c r="B48" s="2160"/>
      <c r="C48" s="2161"/>
      <c r="D48" s="1935"/>
      <c r="E48" s="2169"/>
      <c r="F48" s="1648"/>
      <c r="G48" s="1648"/>
      <c r="H48" s="2002"/>
      <c r="I48" s="2002"/>
      <c r="J48" s="1620"/>
      <c r="K48" s="1621"/>
      <c r="M48" s="1623"/>
    </row>
    <row r="49" spans="1:13" s="1622" customFormat="1">
      <c r="A49" s="1627"/>
      <c r="B49" s="2170"/>
      <c r="C49" s="2171"/>
      <c r="D49" s="2172"/>
      <c r="E49" s="2173"/>
      <c r="F49" s="2060" t="s">
        <v>968</v>
      </c>
      <c r="G49" s="2060">
        <f>SUM(G36:G48)</f>
        <v>0</v>
      </c>
      <c r="H49" s="2002"/>
      <c r="I49" s="2002"/>
      <c r="J49" s="1620"/>
      <c r="K49" s="1621"/>
      <c r="M49" s="2056" t="s">
        <v>968</v>
      </c>
    </row>
    <row r="50" spans="1:13" s="1622" customFormat="1">
      <c r="A50" s="1627"/>
      <c r="B50" s="2160"/>
      <c r="C50" s="2161"/>
      <c r="D50" s="1935"/>
      <c r="E50" s="2169"/>
      <c r="F50" s="1648"/>
      <c r="G50" s="1648"/>
      <c r="H50" s="2002"/>
      <c r="I50" s="2002"/>
      <c r="J50" s="1620"/>
      <c r="K50" s="1621"/>
      <c r="M50" s="1623"/>
    </row>
    <row r="51" spans="1:13" s="1622" customFormat="1">
      <c r="A51" s="1627"/>
      <c r="B51" s="2160"/>
      <c r="C51" s="2167" t="s">
        <v>2168</v>
      </c>
      <c r="D51" s="1935"/>
      <c r="E51" s="2169"/>
      <c r="F51" s="1648"/>
      <c r="G51" s="1648"/>
      <c r="H51" s="2002"/>
      <c r="I51" s="2002"/>
      <c r="J51" s="1620"/>
      <c r="K51" s="1621"/>
      <c r="M51" s="1623"/>
    </row>
    <row r="52" spans="1:13" s="1622" customFormat="1" ht="26.25" customHeight="1">
      <c r="A52" s="1627"/>
      <c r="B52" s="2174" t="s">
        <v>1845</v>
      </c>
      <c r="C52" s="1973" t="s">
        <v>937</v>
      </c>
      <c r="D52" s="1956" t="s">
        <v>579</v>
      </c>
      <c r="E52" s="1936">
        <f>ROUND(K52,2)</f>
        <v>154</v>
      </c>
      <c r="F52" s="1648"/>
      <c r="G52" s="1648"/>
      <c r="H52" s="2002">
        <f t="shared" ref="H52:H111" si="6">+ROUND(F52*0.9,0)</f>
        <v>0</v>
      </c>
      <c r="I52" s="2002">
        <f t="shared" ref="I52:I111" si="7">+ROUND(F52*1.1,0)</f>
        <v>0</v>
      </c>
      <c r="J52" s="1620"/>
      <c r="K52" s="1621">
        <v>154</v>
      </c>
      <c r="M52" s="1623">
        <v>52750</v>
      </c>
    </row>
    <row r="53" spans="1:13" s="1622" customFormat="1" ht="16.5" customHeight="1">
      <c r="A53" s="1627"/>
      <c r="B53" s="2174" t="s">
        <v>1846</v>
      </c>
      <c r="C53" s="1973" t="s">
        <v>1559</v>
      </c>
      <c r="D53" s="1956" t="s">
        <v>579</v>
      </c>
      <c r="E53" s="1936">
        <f>ROUND(K53,2)</f>
        <v>6</v>
      </c>
      <c r="F53" s="1648"/>
      <c r="G53" s="1648"/>
      <c r="H53" s="2002">
        <f t="shared" si="6"/>
        <v>0</v>
      </c>
      <c r="I53" s="2002">
        <f t="shared" si="7"/>
        <v>0</v>
      </c>
      <c r="J53" s="1620"/>
      <c r="K53" s="1621">
        <v>6</v>
      </c>
      <c r="M53" s="1623">
        <v>1082140.8</v>
      </c>
    </row>
    <row r="54" spans="1:13" s="1622" customFormat="1" ht="15.75" customHeight="1">
      <c r="A54" s="1627"/>
      <c r="B54" s="2174" t="s">
        <v>1847</v>
      </c>
      <c r="C54" s="1973" t="s">
        <v>509</v>
      </c>
      <c r="D54" s="1938" t="s">
        <v>2201</v>
      </c>
      <c r="E54" s="1936">
        <f>ROUND(K54,2)</f>
        <v>72.400000000000006</v>
      </c>
      <c r="F54" s="1648"/>
      <c r="G54" s="1648"/>
      <c r="H54" s="2002">
        <f t="shared" si="6"/>
        <v>0</v>
      </c>
      <c r="I54" s="2002">
        <f t="shared" si="7"/>
        <v>0</v>
      </c>
      <c r="J54" s="1620"/>
      <c r="K54" s="1621">
        <v>72.400000000000006</v>
      </c>
      <c r="M54" s="1623">
        <v>150170</v>
      </c>
    </row>
    <row r="55" spans="1:13" s="1622" customFormat="1" ht="82.5" customHeight="1">
      <c r="A55" s="1627"/>
      <c r="B55" s="2174" t="s">
        <v>1848</v>
      </c>
      <c r="C55" s="1941" t="s">
        <v>1760</v>
      </c>
      <c r="D55" s="1956"/>
      <c r="E55" s="1936"/>
      <c r="F55" s="1650"/>
      <c r="G55" s="1648"/>
      <c r="H55" s="2002"/>
      <c r="I55" s="2002"/>
      <c r="J55" s="1620"/>
      <c r="K55" s="1621"/>
      <c r="M55" s="1623"/>
    </row>
    <row r="56" spans="1:13" s="1622" customFormat="1" ht="18.75" customHeight="1">
      <c r="A56" s="1627"/>
      <c r="B56" s="2174" t="s">
        <v>1849</v>
      </c>
      <c r="C56" s="1973" t="s">
        <v>1659</v>
      </c>
      <c r="D56" s="1956" t="s">
        <v>579</v>
      </c>
      <c r="E56" s="1936">
        <f t="shared" ref="E56:E70" si="8">ROUND(K56,2)</f>
        <v>2</v>
      </c>
      <c r="F56" s="1648"/>
      <c r="G56" s="1648"/>
      <c r="H56" s="2002">
        <f t="shared" si="6"/>
        <v>0</v>
      </c>
      <c r="I56" s="2002">
        <f t="shared" si="7"/>
        <v>0</v>
      </c>
      <c r="J56" s="1620"/>
      <c r="K56" s="1621">
        <v>2</v>
      </c>
      <c r="M56" s="1623">
        <v>6766396</v>
      </c>
    </row>
    <row r="57" spans="1:13" s="1622" customFormat="1" ht="18.75" customHeight="1">
      <c r="A57" s="1627"/>
      <c r="B57" s="2174" t="s">
        <v>1850</v>
      </c>
      <c r="C57" s="1973" t="s">
        <v>1762</v>
      </c>
      <c r="D57" s="1956" t="s">
        <v>579</v>
      </c>
      <c r="E57" s="1936">
        <f t="shared" si="8"/>
        <v>2</v>
      </c>
      <c r="F57" s="1648"/>
      <c r="G57" s="1648"/>
      <c r="H57" s="2002">
        <f t="shared" si="6"/>
        <v>0</v>
      </c>
      <c r="I57" s="2002">
        <f t="shared" si="7"/>
        <v>0</v>
      </c>
      <c r="J57" s="1620"/>
      <c r="K57" s="1621">
        <v>2</v>
      </c>
      <c r="M57" s="1623">
        <v>6813144</v>
      </c>
    </row>
    <row r="58" spans="1:13" s="1622" customFormat="1" ht="18.75" customHeight="1">
      <c r="A58" s="1627"/>
      <c r="B58" s="2174" t="s">
        <v>1851</v>
      </c>
      <c r="C58" s="1973" t="s">
        <v>1557</v>
      </c>
      <c r="D58" s="1956" t="s">
        <v>579</v>
      </c>
      <c r="E58" s="1936">
        <f t="shared" si="8"/>
        <v>2</v>
      </c>
      <c r="F58" s="1648"/>
      <c r="G58" s="1648"/>
      <c r="H58" s="2002">
        <f t="shared" si="6"/>
        <v>0</v>
      </c>
      <c r="I58" s="2002">
        <f t="shared" si="7"/>
        <v>0</v>
      </c>
      <c r="J58" s="1620"/>
      <c r="K58" s="1621">
        <v>2</v>
      </c>
      <c r="M58" s="1623">
        <v>7766200.0000000009</v>
      </c>
    </row>
    <row r="59" spans="1:13" s="1622" customFormat="1" ht="18.75" customHeight="1">
      <c r="A59" s="1627"/>
      <c r="B59" s="2174" t="s">
        <v>1852</v>
      </c>
      <c r="C59" s="1973" t="s">
        <v>1691</v>
      </c>
      <c r="D59" s="1956" t="s">
        <v>579</v>
      </c>
      <c r="E59" s="1936">
        <f t="shared" si="8"/>
        <v>6</v>
      </c>
      <c r="F59" s="1648"/>
      <c r="G59" s="1648"/>
      <c r="H59" s="2002">
        <f t="shared" si="6"/>
        <v>0</v>
      </c>
      <c r="I59" s="2002">
        <f t="shared" si="7"/>
        <v>0</v>
      </c>
      <c r="J59" s="1620"/>
      <c r="K59" s="1621">
        <v>6</v>
      </c>
      <c r="M59" s="1623">
        <v>3301916.9999999991</v>
      </c>
    </row>
    <row r="60" spans="1:13" s="1622" customFormat="1" ht="18.75" customHeight="1">
      <c r="A60" s="1627"/>
      <c r="B60" s="2174" t="s">
        <v>1853</v>
      </c>
      <c r="C60" s="1973" t="s">
        <v>1687</v>
      </c>
      <c r="D60" s="1956" t="s">
        <v>579</v>
      </c>
      <c r="E60" s="1936">
        <f t="shared" si="8"/>
        <v>6</v>
      </c>
      <c r="F60" s="1648"/>
      <c r="G60" s="1648"/>
      <c r="H60" s="2002">
        <f t="shared" si="6"/>
        <v>0</v>
      </c>
      <c r="I60" s="2002">
        <f t="shared" si="7"/>
        <v>0</v>
      </c>
      <c r="J60" s="1620"/>
      <c r="K60" s="1621">
        <v>6</v>
      </c>
      <c r="M60" s="1623">
        <v>2445976</v>
      </c>
    </row>
    <row r="61" spans="1:13" s="1622" customFormat="1" ht="18.75" customHeight="1">
      <c r="A61" s="1627"/>
      <c r="B61" s="2174" t="s">
        <v>1854</v>
      </c>
      <c r="C61" s="1973" t="s">
        <v>1688</v>
      </c>
      <c r="D61" s="1956" t="s">
        <v>579</v>
      </c>
      <c r="E61" s="1936">
        <f t="shared" si="8"/>
        <v>2</v>
      </c>
      <c r="F61" s="1648"/>
      <c r="G61" s="1648"/>
      <c r="H61" s="2002">
        <f t="shared" si="6"/>
        <v>0</v>
      </c>
      <c r="I61" s="2002">
        <f t="shared" si="7"/>
        <v>0</v>
      </c>
      <c r="J61" s="1620"/>
      <c r="K61" s="1621">
        <v>2</v>
      </c>
      <c r="M61" s="1623">
        <v>2965934</v>
      </c>
    </row>
    <row r="62" spans="1:13" s="1622" customFormat="1" ht="18.75" customHeight="1">
      <c r="A62" s="1627"/>
      <c r="B62" s="2174" t="s">
        <v>1855</v>
      </c>
      <c r="C62" s="1973" t="s">
        <v>1761</v>
      </c>
      <c r="D62" s="1956" t="s">
        <v>579</v>
      </c>
      <c r="E62" s="1936">
        <f t="shared" si="8"/>
        <v>3</v>
      </c>
      <c r="F62" s="1648"/>
      <c r="G62" s="1648"/>
      <c r="H62" s="2002">
        <f t="shared" si="6"/>
        <v>0</v>
      </c>
      <c r="I62" s="2002">
        <f t="shared" si="7"/>
        <v>0</v>
      </c>
      <c r="J62" s="1620"/>
      <c r="K62" s="1621">
        <v>3</v>
      </c>
      <c r="M62" s="1623">
        <v>384104.18</v>
      </c>
    </row>
    <row r="63" spans="1:13" s="1622" customFormat="1" ht="18.75" customHeight="1">
      <c r="A63" s="1627"/>
      <c r="B63" s="2174" t="s">
        <v>1856</v>
      </c>
      <c r="C63" s="1973" t="s">
        <v>1763</v>
      </c>
      <c r="D63" s="1956" t="s">
        <v>579</v>
      </c>
      <c r="E63" s="1936">
        <f t="shared" si="8"/>
        <v>2</v>
      </c>
      <c r="F63" s="1648"/>
      <c r="G63" s="1648"/>
      <c r="H63" s="2002">
        <f t="shared" si="6"/>
        <v>0</v>
      </c>
      <c r="I63" s="2002">
        <f t="shared" si="7"/>
        <v>0</v>
      </c>
      <c r="J63" s="1620"/>
      <c r="K63" s="1621">
        <v>2</v>
      </c>
      <c r="M63" s="1623">
        <v>82706.98</v>
      </c>
    </row>
    <row r="64" spans="1:13" s="1622" customFormat="1" ht="38.25">
      <c r="A64" s="1627"/>
      <c r="B64" s="2174" t="s">
        <v>1857</v>
      </c>
      <c r="C64" s="2161" t="s">
        <v>2179</v>
      </c>
      <c r="D64" s="1935" t="s">
        <v>579</v>
      </c>
      <c r="E64" s="1936">
        <f t="shared" si="8"/>
        <v>1</v>
      </c>
      <c r="F64" s="1648"/>
      <c r="G64" s="1648"/>
      <c r="H64" s="2002">
        <f t="shared" si="6"/>
        <v>0</v>
      </c>
      <c r="I64" s="2002">
        <f t="shared" si="7"/>
        <v>0</v>
      </c>
      <c r="J64" s="1620"/>
      <c r="K64" s="1621">
        <v>1</v>
      </c>
      <c r="M64" s="1623">
        <v>903703</v>
      </c>
    </row>
    <row r="65" spans="1:13" s="1622" customFormat="1" ht="38.25">
      <c r="A65" s="1627"/>
      <c r="B65" s="2174" t="s">
        <v>1858</v>
      </c>
      <c r="C65" s="2161" t="s">
        <v>2180</v>
      </c>
      <c r="D65" s="1935" t="s">
        <v>579</v>
      </c>
      <c r="E65" s="1936">
        <f t="shared" si="8"/>
        <v>3</v>
      </c>
      <c r="F65" s="1648"/>
      <c r="G65" s="1648"/>
      <c r="H65" s="2002">
        <f t="shared" si="6"/>
        <v>0</v>
      </c>
      <c r="I65" s="2002">
        <f t="shared" si="7"/>
        <v>0</v>
      </c>
      <c r="J65" s="1620"/>
      <c r="K65" s="1621">
        <v>3</v>
      </c>
      <c r="M65" s="1623">
        <v>1092275</v>
      </c>
    </row>
    <row r="66" spans="1:13" s="1622" customFormat="1" ht="38.25">
      <c r="A66" s="1627"/>
      <c r="B66" s="2174" t="s">
        <v>1859</v>
      </c>
      <c r="C66" s="2161" t="s">
        <v>2181</v>
      </c>
      <c r="D66" s="1935" t="s">
        <v>579</v>
      </c>
      <c r="E66" s="1936">
        <f t="shared" si="8"/>
        <v>1</v>
      </c>
      <c r="F66" s="1648"/>
      <c r="G66" s="1648"/>
      <c r="H66" s="2002">
        <f t="shared" si="6"/>
        <v>0</v>
      </c>
      <c r="I66" s="2002">
        <f t="shared" si="7"/>
        <v>0</v>
      </c>
      <c r="J66" s="1620"/>
      <c r="K66" s="1621">
        <v>1</v>
      </c>
      <c r="M66" s="1623">
        <v>360190</v>
      </c>
    </row>
    <row r="67" spans="1:13" s="1622" customFormat="1" ht="38.25">
      <c r="A67" s="1627"/>
      <c r="B67" s="2174" t="s">
        <v>1860</v>
      </c>
      <c r="C67" s="2161" t="s">
        <v>2182</v>
      </c>
      <c r="D67" s="1935" t="s">
        <v>579</v>
      </c>
      <c r="E67" s="1936">
        <f t="shared" si="8"/>
        <v>1</v>
      </c>
      <c r="F67" s="1648"/>
      <c r="G67" s="1648"/>
      <c r="H67" s="2002">
        <f t="shared" si="6"/>
        <v>0</v>
      </c>
      <c r="I67" s="2002">
        <f t="shared" si="7"/>
        <v>0</v>
      </c>
      <c r="J67" s="1620"/>
      <c r="K67" s="1621">
        <v>1</v>
      </c>
      <c r="M67" s="1623">
        <v>188160</v>
      </c>
    </row>
    <row r="68" spans="1:13" s="1622" customFormat="1" ht="318.75" hidden="1" customHeight="1">
      <c r="A68" s="1627"/>
      <c r="B68" s="2174" t="s">
        <v>1861</v>
      </c>
      <c r="C68" s="2161" t="s">
        <v>2188</v>
      </c>
      <c r="D68" s="1935" t="s">
        <v>579</v>
      </c>
      <c r="E68" s="1936">
        <f t="shared" si="8"/>
        <v>1</v>
      </c>
      <c r="F68" s="1648"/>
      <c r="G68" s="1648"/>
      <c r="H68" s="2002">
        <f t="shared" si="6"/>
        <v>0</v>
      </c>
      <c r="I68" s="2002">
        <f t="shared" si="7"/>
        <v>0</v>
      </c>
      <c r="J68" s="1620"/>
      <c r="K68" s="1621">
        <v>1</v>
      </c>
      <c r="M68" s="1623">
        <v>127500</v>
      </c>
    </row>
    <row r="69" spans="1:13" s="1622" customFormat="1" ht="22.5" hidden="1" customHeight="1">
      <c r="A69" s="1627"/>
      <c r="B69" s="2174" t="s">
        <v>1862</v>
      </c>
      <c r="C69" s="2161" t="s">
        <v>1556</v>
      </c>
      <c r="D69" s="1935" t="s">
        <v>579</v>
      </c>
      <c r="E69" s="1936">
        <f t="shared" si="8"/>
        <v>1</v>
      </c>
      <c r="F69" s="1648"/>
      <c r="G69" s="1648"/>
      <c r="H69" s="2002">
        <f t="shared" si="6"/>
        <v>0</v>
      </c>
      <c r="I69" s="2002">
        <f t="shared" si="7"/>
        <v>0</v>
      </c>
      <c r="J69" s="1620"/>
      <c r="K69" s="1621">
        <v>1</v>
      </c>
      <c r="M69" s="1623">
        <v>127500</v>
      </c>
    </row>
    <row r="70" spans="1:13" s="1622" customFormat="1">
      <c r="A70" s="1627"/>
      <c r="B70" s="2174" t="s">
        <v>1861</v>
      </c>
      <c r="C70" s="2161" t="s">
        <v>1558</v>
      </c>
      <c r="D70" s="1935" t="s">
        <v>579</v>
      </c>
      <c r="E70" s="1936">
        <f t="shared" si="8"/>
        <v>6</v>
      </c>
      <c r="F70" s="1648"/>
      <c r="G70" s="1648"/>
      <c r="H70" s="2002">
        <f t="shared" si="6"/>
        <v>0</v>
      </c>
      <c r="I70" s="2002">
        <f t="shared" si="7"/>
        <v>0</v>
      </c>
      <c r="J70" s="1620"/>
      <c r="K70" s="1621">
        <v>6</v>
      </c>
      <c r="M70" s="1623">
        <v>115428.72222222223</v>
      </c>
    </row>
    <row r="71" spans="1:13" s="1622" customFormat="1">
      <c r="A71" s="1627"/>
      <c r="B71" s="2160"/>
      <c r="C71" s="2171"/>
      <c r="D71" s="2172"/>
      <c r="E71" s="2173"/>
      <c r="F71" s="2060" t="s">
        <v>957</v>
      </c>
      <c r="G71" s="2060">
        <f>SUM(G52:G70)</f>
        <v>0</v>
      </c>
      <c r="H71" s="2002"/>
      <c r="I71" s="2002"/>
      <c r="J71" s="1620"/>
      <c r="K71" s="1621"/>
      <c r="M71" s="2056" t="s">
        <v>957</v>
      </c>
    </row>
    <row r="72" spans="1:13" s="1622" customFormat="1">
      <c r="A72" s="1627"/>
      <c r="B72" s="2160"/>
      <c r="C72" s="2161"/>
      <c r="D72" s="1935"/>
      <c r="E72" s="1936"/>
      <c r="F72" s="1648"/>
      <c r="G72" s="1648"/>
      <c r="H72" s="2002"/>
      <c r="I72" s="2002"/>
      <c r="J72" s="1620"/>
      <c r="K72" s="1621"/>
      <c r="M72" s="1623"/>
    </row>
    <row r="73" spans="1:13" s="1622" customFormat="1">
      <c r="A73" s="1627"/>
      <c r="B73" s="2160"/>
      <c r="C73" s="2166"/>
      <c r="D73" s="2175"/>
      <c r="E73" s="2176"/>
      <c r="F73" s="2061" t="s">
        <v>958</v>
      </c>
      <c r="G73" s="2058">
        <f>+G71+G49</f>
        <v>0</v>
      </c>
      <c r="H73" s="2002"/>
      <c r="I73" s="2002"/>
      <c r="J73" s="1620"/>
      <c r="K73" s="1621"/>
      <c r="M73" s="2056" t="s">
        <v>958</v>
      </c>
    </row>
    <row r="74" spans="1:13" s="1622" customFormat="1">
      <c r="A74" s="1627"/>
      <c r="B74" s="2160"/>
      <c r="C74" s="2164"/>
      <c r="D74" s="1956"/>
      <c r="E74" s="2165"/>
      <c r="F74" s="1650"/>
      <c r="G74" s="2059"/>
      <c r="H74" s="2002"/>
      <c r="I74" s="2002"/>
      <c r="J74" s="1620"/>
      <c r="K74" s="1621"/>
      <c r="M74" s="1623"/>
    </row>
    <row r="75" spans="1:13" s="1622" customFormat="1">
      <c r="A75" s="1627"/>
      <c r="B75" s="2157">
        <v>4</v>
      </c>
      <c r="C75" s="1939" t="s">
        <v>475</v>
      </c>
      <c r="D75" s="2157"/>
      <c r="E75" s="2159"/>
      <c r="F75" s="2057"/>
      <c r="G75" s="2057"/>
      <c r="H75" s="2002"/>
      <c r="I75" s="2002"/>
      <c r="J75" s="1620"/>
      <c r="K75" s="1621"/>
      <c r="M75" s="2005"/>
    </row>
    <row r="76" spans="1:13" s="1622" customFormat="1">
      <c r="A76" s="1627"/>
      <c r="B76" s="2160"/>
      <c r="C76" s="2167" t="s">
        <v>947</v>
      </c>
      <c r="D76" s="1935"/>
      <c r="E76" s="1936"/>
      <c r="F76" s="1648"/>
      <c r="G76" s="1648"/>
      <c r="H76" s="2002"/>
      <c r="I76" s="2002"/>
      <c r="J76" s="1620"/>
      <c r="K76" s="1621"/>
      <c r="M76" s="1623"/>
    </row>
    <row r="77" spans="1:13" s="1622" customFormat="1" ht="25.5">
      <c r="A77" s="1627"/>
      <c r="B77" s="2160" t="s">
        <v>1834</v>
      </c>
      <c r="C77" s="1940" t="s">
        <v>1789</v>
      </c>
      <c r="D77" s="1938" t="s">
        <v>2202</v>
      </c>
      <c r="E77" s="1936">
        <f t="shared" ref="E77:E89" si="9">ROUND(K77,2)</f>
        <v>176.52</v>
      </c>
      <c r="F77" s="1648"/>
      <c r="G77" s="1648"/>
      <c r="H77" s="2002">
        <f t="shared" si="6"/>
        <v>0</v>
      </c>
      <c r="I77" s="2002">
        <f t="shared" si="7"/>
        <v>0</v>
      </c>
      <c r="J77" s="1620"/>
      <c r="K77" s="1621">
        <v>176.52375000000001</v>
      </c>
      <c r="M77" s="1623">
        <v>3000.0000000000005</v>
      </c>
    </row>
    <row r="78" spans="1:13" s="1622" customFormat="1" ht="25.5">
      <c r="A78" s="1627"/>
      <c r="B78" s="2160" t="s">
        <v>1863</v>
      </c>
      <c r="C78" s="1934" t="s">
        <v>1790</v>
      </c>
      <c r="D78" s="1938" t="s">
        <v>2202</v>
      </c>
      <c r="E78" s="1936">
        <f t="shared" si="9"/>
        <v>176.52</v>
      </c>
      <c r="F78" s="1648"/>
      <c r="G78" s="1648"/>
      <c r="H78" s="2002">
        <f t="shared" si="6"/>
        <v>0</v>
      </c>
      <c r="I78" s="2002">
        <f t="shared" si="7"/>
        <v>0</v>
      </c>
      <c r="J78" s="1620"/>
      <c r="K78" s="1621">
        <v>176.52</v>
      </c>
      <c r="M78" s="1623">
        <v>6160</v>
      </c>
    </row>
    <row r="79" spans="1:13" s="1622" customFormat="1">
      <c r="A79" s="1627"/>
      <c r="B79" s="2160" t="s">
        <v>1818</v>
      </c>
      <c r="C79" s="2161" t="s">
        <v>1776</v>
      </c>
      <c r="D79" s="1938" t="s">
        <v>2202</v>
      </c>
      <c r="E79" s="1936">
        <f t="shared" si="9"/>
        <v>39.229999999999997</v>
      </c>
      <c r="F79" s="1648"/>
      <c r="G79" s="1648"/>
      <c r="H79" s="2002">
        <f t="shared" si="6"/>
        <v>0</v>
      </c>
      <c r="I79" s="2002">
        <f t="shared" si="7"/>
        <v>0</v>
      </c>
      <c r="J79" s="1620"/>
      <c r="K79" s="1621">
        <v>39.229999999999997</v>
      </c>
      <c r="M79" s="1623">
        <v>12390.2</v>
      </c>
    </row>
    <row r="80" spans="1:13" s="1622" customFormat="1">
      <c r="A80" s="1627"/>
      <c r="B80" s="2160" t="s">
        <v>1835</v>
      </c>
      <c r="C80" s="2161" t="s">
        <v>1101</v>
      </c>
      <c r="D80" s="1938" t="s">
        <v>2202</v>
      </c>
      <c r="E80" s="1936">
        <f t="shared" si="9"/>
        <v>78.459999999999994</v>
      </c>
      <c r="F80" s="1648"/>
      <c r="G80" s="1648"/>
      <c r="H80" s="2002">
        <f t="shared" si="6"/>
        <v>0</v>
      </c>
      <c r="I80" s="2002">
        <f t="shared" si="7"/>
        <v>0</v>
      </c>
      <c r="J80" s="1620"/>
      <c r="K80" s="1621">
        <v>78.459999999999994</v>
      </c>
      <c r="M80" s="1623">
        <v>5190</v>
      </c>
    </row>
    <row r="81" spans="1:13" s="1622" customFormat="1">
      <c r="A81" s="1627"/>
      <c r="B81" s="2160" t="s">
        <v>1836</v>
      </c>
      <c r="C81" s="2161" t="s">
        <v>1777</v>
      </c>
      <c r="D81" s="1938" t="s">
        <v>2202</v>
      </c>
      <c r="E81" s="1936">
        <f t="shared" si="9"/>
        <v>313.82</v>
      </c>
      <c r="F81" s="1648"/>
      <c r="G81" s="1648"/>
      <c r="H81" s="2002">
        <f t="shared" si="6"/>
        <v>0</v>
      </c>
      <c r="I81" s="2002">
        <f t="shared" si="7"/>
        <v>0</v>
      </c>
      <c r="J81" s="1620"/>
      <c r="K81" s="1621">
        <v>313.82</v>
      </c>
      <c r="M81" s="1623">
        <v>14640.2</v>
      </c>
    </row>
    <row r="82" spans="1:13" s="1622" customFormat="1">
      <c r="A82" s="1627"/>
      <c r="B82" s="2160" t="s">
        <v>1837</v>
      </c>
      <c r="C82" s="2161" t="s">
        <v>941</v>
      </c>
      <c r="D82" s="1938" t="s">
        <v>2202</v>
      </c>
      <c r="E82" s="1936">
        <f t="shared" si="9"/>
        <v>12.48</v>
      </c>
      <c r="F82" s="1648"/>
      <c r="G82" s="1648"/>
      <c r="H82" s="2002">
        <f t="shared" si="6"/>
        <v>0</v>
      </c>
      <c r="I82" s="2002">
        <f t="shared" si="7"/>
        <v>0</v>
      </c>
      <c r="J82" s="1620"/>
      <c r="K82" s="1621">
        <v>12.480000000000002</v>
      </c>
      <c r="M82" s="1623">
        <v>10530</v>
      </c>
    </row>
    <row r="83" spans="1:13" s="1622" customFormat="1">
      <c r="A83" s="1627"/>
      <c r="B83" s="2160" t="s">
        <v>1838</v>
      </c>
      <c r="C83" s="2161" t="s">
        <v>2174</v>
      </c>
      <c r="D83" s="1938" t="s">
        <v>2201</v>
      </c>
      <c r="E83" s="1936">
        <f t="shared" si="9"/>
        <v>59.14</v>
      </c>
      <c r="F83" s="1648"/>
      <c r="G83" s="1648"/>
      <c r="H83" s="2002">
        <f t="shared" si="6"/>
        <v>0</v>
      </c>
      <c r="I83" s="2002">
        <f t="shared" si="7"/>
        <v>0</v>
      </c>
      <c r="J83" s="1620"/>
      <c r="K83" s="1621">
        <v>59.14</v>
      </c>
      <c r="L83" s="1628"/>
      <c r="M83" s="1623">
        <v>19392</v>
      </c>
    </row>
    <row r="84" spans="1:13" s="1622" customFormat="1" ht="25.5">
      <c r="A84" s="1627"/>
      <c r="B84" s="2160" t="s">
        <v>1839</v>
      </c>
      <c r="C84" s="1941" t="s">
        <v>1792</v>
      </c>
      <c r="D84" s="1938" t="s">
        <v>2202</v>
      </c>
      <c r="E84" s="1936">
        <f t="shared" si="9"/>
        <v>8.8699999999999992</v>
      </c>
      <c r="F84" s="1648"/>
      <c r="G84" s="1648"/>
      <c r="H84" s="2002">
        <f t="shared" si="6"/>
        <v>0</v>
      </c>
      <c r="I84" s="2002">
        <f t="shared" si="7"/>
        <v>0</v>
      </c>
      <c r="J84" s="1620"/>
      <c r="K84" s="1621">
        <v>8.8699999999999992</v>
      </c>
      <c r="M84" s="1623">
        <v>63050</v>
      </c>
    </row>
    <row r="85" spans="1:13" s="1622" customFormat="1">
      <c r="A85" s="1627"/>
      <c r="B85" s="2160" t="s">
        <v>1840</v>
      </c>
      <c r="C85" s="2168" t="s">
        <v>1778</v>
      </c>
      <c r="D85" s="1938" t="s">
        <v>2202</v>
      </c>
      <c r="E85" s="1936">
        <f t="shared" si="9"/>
        <v>18.62</v>
      </c>
      <c r="F85" s="1648"/>
      <c r="G85" s="1648"/>
      <c r="H85" s="2002">
        <f t="shared" si="6"/>
        <v>0</v>
      </c>
      <c r="I85" s="2002">
        <f t="shared" si="7"/>
        <v>0</v>
      </c>
      <c r="J85" s="1620"/>
      <c r="K85" s="1621">
        <v>18.62</v>
      </c>
      <c r="M85" s="1623">
        <v>715478</v>
      </c>
    </row>
    <row r="86" spans="1:13" s="1622" customFormat="1">
      <c r="A86" s="1627"/>
      <c r="B86" s="2160" t="s">
        <v>1841</v>
      </c>
      <c r="C86" s="2161" t="s">
        <v>1779</v>
      </c>
      <c r="D86" s="1938" t="s">
        <v>2202</v>
      </c>
      <c r="E86" s="1936">
        <f t="shared" si="9"/>
        <v>121.94</v>
      </c>
      <c r="F86" s="1648"/>
      <c r="G86" s="1648"/>
      <c r="H86" s="2002">
        <f t="shared" si="6"/>
        <v>0</v>
      </c>
      <c r="I86" s="2002">
        <f t="shared" si="7"/>
        <v>0</v>
      </c>
      <c r="J86" s="1620"/>
      <c r="K86" s="1621">
        <v>121.94</v>
      </c>
      <c r="M86" s="1623">
        <v>723877.99999999988</v>
      </c>
    </row>
    <row r="87" spans="1:13" s="1622" customFormat="1">
      <c r="A87" s="1627"/>
      <c r="B87" s="2160" t="s">
        <v>1842</v>
      </c>
      <c r="C87" s="2161" t="s">
        <v>1780</v>
      </c>
      <c r="D87" s="1938" t="s">
        <v>2202</v>
      </c>
      <c r="E87" s="1936">
        <f t="shared" si="9"/>
        <v>4.29</v>
      </c>
      <c r="F87" s="1648"/>
      <c r="G87" s="1648"/>
      <c r="H87" s="2002">
        <f t="shared" si="6"/>
        <v>0</v>
      </c>
      <c r="I87" s="2002">
        <f t="shared" si="7"/>
        <v>0</v>
      </c>
      <c r="J87" s="1620"/>
      <c r="K87" s="1621">
        <v>4.29</v>
      </c>
      <c r="M87" s="1623">
        <v>715478</v>
      </c>
    </row>
    <row r="88" spans="1:13" s="1622" customFormat="1">
      <c r="A88" s="1627"/>
      <c r="B88" s="2160" t="s">
        <v>1828</v>
      </c>
      <c r="C88" s="1973" t="s">
        <v>522</v>
      </c>
      <c r="D88" s="1956" t="s">
        <v>1140</v>
      </c>
      <c r="E88" s="1936">
        <f t="shared" si="9"/>
        <v>12712.33</v>
      </c>
      <c r="F88" s="1648"/>
      <c r="G88" s="1648"/>
      <c r="H88" s="2002">
        <f t="shared" si="6"/>
        <v>0</v>
      </c>
      <c r="I88" s="2002">
        <f t="shared" si="7"/>
        <v>0</v>
      </c>
      <c r="J88" s="1620"/>
      <c r="K88" s="1621">
        <v>12712.330000000002</v>
      </c>
      <c r="M88" s="1623">
        <v>3584</v>
      </c>
    </row>
    <row r="89" spans="1:13" s="1622" customFormat="1">
      <c r="A89" s="1627"/>
      <c r="B89" s="2160" t="s">
        <v>1844</v>
      </c>
      <c r="C89" s="2168" t="s">
        <v>950</v>
      </c>
      <c r="D89" s="1935" t="s">
        <v>2196</v>
      </c>
      <c r="E89" s="1936">
        <f t="shared" si="9"/>
        <v>60.75</v>
      </c>
      <c r="F89" s="1648"/>
      <c r="G89" s="1648"/>
      <c r="H89" s="2002">
        <f t="shared" si="6"/>
        <v>0</v>
      </c>
      <c r="I89" s="2002">
        <f t="shared" si="7"/>
        <v>0</v>
      </c>
      <c r="J89" s="1620"/>
      <c r="K89" s="1621">
        <v>60.75</v>
      </c>
      <c r="M89" s="1623">
        <v>27799</v>
      </c>
    </row>
    <row r="90" spans="1:13" s="1622" customFormat="1">
      <c r="A90" s="1627"/>
      <c r="B90" s="2160"/>
      <c r="C90" s="2161"/>
      <c r="D90" s="1935"/>
      <c r="E90" s="2177"/>
      <c r="F90" s="1648"/>
      <c r="G90" s="1648"/>
      <c r="H90" s="2002"/>
      <c r="I90" s="2002"/>
      <c r="J90" s="1620"/>
      <c r="K90" s="1621"/>
      <c r="M90" s="1623"/>
    </row>
    <row r="91" spans="1:13" s="1622" customFormat="1">
      <c r="A91" s="1627"/>
      <c r="B91" s="2171"/>
      <c r="C91" s="2171"/>
      <c r="D91" s="2172"/>
      <c r="E91" s="2173"/>
      <c r="F91" s="2060" t="s">
        <v>966</v>
      </c>
      <c r="G91" s="2060">
        <f>SUM(G77:G89)</f>
        <v>0</v>
      </c>
      <c r="H91" s="2002"/>
      <c r="I91" s="2002"/>
      <c r="J91" s="1620"/>
      <c r="K91" s="1621"/>
      <c r="M91" s="2056" t="s">
        <v>966</v>
      </c>
    </row>
    <row r="92" spans="1:13" s="1622" customFormat="1">
      <c r="A92" s="1627"/>
      <c r="B92" s="2160"/>
      <c r="C92" s="2161"/>
      <c r="D92" s="1935"/>
      <c r="E92" s="1936"/>
      <c r="F92" s="1648"/>
      <c r="G92" s="1648"/>
      <c r="H92" s="2002"/>
      <c r="I92" s="2002"/>
      <c r="J92" s="1620"/>
      <c r="K92" s="1621"/>
      <c r="M92" s="1623"/>
    </row>
    <row r="93" spans="1:13" s="1622" customFormat="1">
      <c r="A93" s="1627"/>
      <c r="B93" s="2160"/>
      <c r="C93" s="2167" t="s">
        <v>2168</v>
      </c>
      <c r="D93" s="1935"/>
      <c r="E93" s="1936"/>
      <c r="F93" s="1648"/>
      <c r="G93" s="1648"/>
      <c r="H93" s="2002"/>
      <c r="I93" s="2002"/>
      <c r="J93" s="1620"/>
      <c r="K93" s="1621"/>
      <c r="M93" s="1623"/>
    </row>
    <row r="94" spans="1:13" s="1622" customFormat="1" ht="78.75" customHeight="1">
      <c r="A94" s="1627"/>
      <c r="B94" s="2178" t="s">
        <v>1864</v>
      </c>
      <c r="C94" s="1941" t="s">
        <v>1760</v>
      </c>
      <c r="D94" s="1935"/>
      <c r="E94" s="2169"/>
      <c r="F94" s="1648"/>
      <c r="G94" s="1648"/>
      <c r="H94" s="2002"/>
      <c r="I94" s="2002"/>
      <c r="J94" s="1620"/>
      <c r="K94" s="1621"/>
      <c r="M94" s="1623"/>
    </row>
    <row r="95" spans="1:13" s="1622" customFormat="1">
      <c r="A95" s="1627"/>
      <c r="B95" s="2174" t="s">
        <v>1865</v>
      </c>
      <c r="C95" s="1973" t="s">
        <v>2151</v>
      </c>
      <c r="D95" s="2179" t="s">
        <v>579</v>
      </c>
      <c r="E95" s="1936">
        <f t="shared" ref="E95:E111" si="10">ROUND(K95,2)</f>
        <v>2</v>
      </c>
      <c r="F95" s="1648"/>
      <c r="G95" s="1648"/>
      <c r="H95" s="2002">
        <f t="shared" si="6"/>
        <v>0</v>
      </c>
      <c r="I95" s="2002">
        <f t="shared" si="7"/>
        <v>0</v>
      </c>
      <c r="J95" s="1620"/>
      <c r="K95" s="1621">
        <v>2</v>
      </c>
      <c r="M95" s="1623">
        <v>8042164</v>
      </c>
    </row>
    <row r="96" spans="1:13" s="1622" customFormat="1">
      <c r="A96" s="1627"/>
      <c r="B96" s="2174" t="s">
        <v>1866</v>
      </c>
      <c r="C96" s="2161" t="s">
        <v>1694</v>
      </c>
      <c r="D96" s="2179" t="s">
        <v>579</v>
      </c>
      <c r="E96" s="1936">
        <f t="shared" si="10"/>
        <v>2</v>
      </c>
      <c r="F96" s="1648"/>
      <c r="G96" s="1648"/>
      <c r="H96" s="2002">
        <f t="shared" si="6"/>
        <v>0</v>
      </c>
      <c r="I96" s="2002">
        <f t="shared" si="7"/>
        <v>0</v>
      </c>
      <c r="J96" s="1620"/>
      <c r="K96" s="1621">
        <v>2</v>
      </c>
      <c r="M96" s="1623">
        <v>6953388</v>
      </c>
    </row>
    <row r="97" spans="1:13" s="1622" customFormat="1">
      <c r="A97" s="1627"/>
      <c r="B97" s="1935" t="s">
        <v>2132</v>
      </c>
      <c r="C97" s="1973" t="s">
        <v>2106</v>
      </c>
      <c r="D97" s="1956" t="s">
        <v>579</v>
      </c>
      <c r="E97" s="1936">
        <f t="shared" si="10"/>
        <v>2</v>
      </c>
      <c r="F97" s="1648"/>
      <c r="G97" s="1648"/>
      <c r="H97" s="2002">
        <f t="shared" si="6"/>
        <v>0</v>
      </c>
      <c r="I97" s="2002">
        <f t="shared" si="7"/>
        <v>0</v>
      </c>
      <c r="J97" s="1620"/>
      <c r="K97" s="1621">
        <v>2</v>
      </c>
      <c r="M97" s="1623">
        <v>11558820</v>
      </c>
    </row>
    <row r="98" spans="1:13" s="1622" customFormat="1" ht="25.5" customHeight="1">
      <c r="A98" s="1627"/>
      <c r="B98" s="2180" t="s">
        <v>1867</v>
      </c>
      <c r="C98" s="1973" t="s">
        <v>1019</v>
      </c>
      <c r="D98" s="1962" t="s">
        <v>2194</v>
      </c>
      <c r="E98" s="1936">
        <f t="shared" si="10"/>
        <v>2</v>
      </c>
      <c r="F98" s="1648"/>
      <c r="G98" s="1648"/>
      <c r="H98" s="2002">
        <f t="shared" si="6"/>
        <v>0</v>
      </c>
      <c r="I98" s="2002">
        <f t="shared" si="7"/>
        <v>0</v>
      </c>
      <c r="J98" s="1620"/>
      <c r="K98" s="1621">
        <v>2</v>
      </c>
      <c r="M98" s="1623">
        <v>1936272</v>
      </c>
    </row>
    <row r="99" spans="1:13" s="1622" customFormat="1" ht="24.75" customHeight="1">
      <c r="A99" s="1627"/>
      <c r="B99" s="2180" t="s">
        <v>1868</v>
      </c>
      <c r="C99" s="2181" t="s">
        <v>964</v>
      </c>
      <c r="D99" s="1935" t="s">
        <v>579</v>
      </c>
      <c r="E99" s="1936">
        <f t="shared" si="10"/>
        <v>278</v>
      </c>
      <c r="F99" s="1648"/>
      <c r="G99" s="1648"/>
      <c r="H99" s="2002">
        <f t="shared" si="6"/>
        <v>0</v>
      </c>
      <c r="I99" s="2002">
        <f t="shared" si="7"/>
        <v>0</v>
      </c>
      <c r="J99" s="1620"/>
      <c r="K99" s="1621">
        <v>278</v>
      </c>
      <c r="M99" s="1623">
        <v>69200</v>
      </c>
    </row>
    <row r="100" spans="1:13" s="1622" customFormat="1" ht="15" customHeight="1">
      <c r="A100" s="1627"/>
      <c r="B100" s="2180" t="s">
        <v>1847</v>
      </c>
      <c r="C100" s="2161" t="s">
        <v>509</v>
      </c>
      <c r="D100" s="1938" t="s">
        <v>2201</v>
      </c>
      <c r="E100" s="1936">
        <f t="shared" si="10"/>
        <v>39.880000000000003</v>
      </c>
      <c r="F100" s="1648"/>
      <c r="G100" s="1648"/>
      <c r="H100" s="2002">
        <f t="shared" si="6"/>
        <v>0</v>
      </c>
      <c r="I100" s="2002">
        <f t="shared" si="7"/>
        <v>0</v>
      </c>
      <c r="J100" s="1620"/>
      <c r="K100" s="1621">
        <v>39.879999999999995</v>
      </c>
      <c r="M100" s="1623">
        <v>150170</v>
      </c>
    </row>
    <row r="101" spans="1:13" s="1622" customFormat="1">
      <c r="A101" s="1627"/>
      <c r="B101" s="2180" t="s">
        <v>1869</v>
      </c>
      <c r="C101" s="2182" t="s">
        <v>2107</v>
      </c>
      <c r="D101" s="1962" t="s">
        <v>579</v>
      </c>
      <c r="E101" s="1936">
        <f t="shared" si="10"/>
        <v>44</v>
      </c>
      <c r="F101" s="1648"/>
      <c r="G101" s="1648"/>
      <c r="H101" s="2002">
        <f t="shared" si="6"/>
        <v>0</v>
      </c>
      <c r="I101" s="2002">
        <f t="shared" si="7"/>
        <v>0</v>
      </c>
      <c r="J101" s="1620"/>
      <c r="K101" s="1621">
        <v>44</v>
      </c>
      <c r="M101" s="1623">
        <v>65000</v>
      </c>
    </row>
    <row r="102" spans="1:13" s="1622" customFormat="1" ht="25.5">
      <c r="A102" s="1627"/>
      <c r="B102" s="2180" t="s">
        <v>1870</v>
      </c>
      <c r="C102" s="1941" t="s">
        <v>1018</v>
      </c>
      <c r="D102" s="2179" t="s">
        <v>2194</v>
      </c>
      <c r="E102" s="1936">
        <f t="shared" si="10"/>
        <v>30</v>
      </c>
      <c r="F102" s="1648"/>
      <c r="G102" s="1648"/>
      <c r="H102" s="2002">
        <f t="shared" si="6"/>
        <v>0</v>
      </c>
      <c r="I102" s="2002">
        <f t="shared" si="7"/>
        <v>0</v>
      </c>
      <c r="J102" s="1620"/>
      <c r="K102" s="1621">
        <v>30</v>
      </c>
      <c r="M102" s="1623">
        <v>30550</v>
      </c>
    </row>
    <row r="103" spans="1:13" s="1622" customFormat="1">
      <c r="A103" s="1627"/>
      <c r="B103" s="2180" t="s">
        <v>1871</v>
      </c>
      <c r="C103" s="2161" t="s">
        <v>543</v>
      </c>
      <c r="D103" s="2179" t="s">
        <v>2194</v>
      </c>
      <c r="E103" s="1936">
        <f t="shared" si="10"/>
        <v>34</v>
      </c>
      <c r="F103" s="1648"/>
      <c r="G103" s="1648"/>
      <c r="H103" s="2002">
        <f t="shared" si="6"/>
        <v>0</v>
      </c>
      <c r="I103" s="2002">
        <f t="shared" si="7"/>
        <v>0</v>
      </c>
      <c r="J103" s="1620"/>
      <c r="K103" s="1621">
        <v>34</v>
      </c>
      <c r="M103" s="1623">
        <v>25885.56</v>
      </c>
    </row>
    <row r="104" spans="1:13" s="1622" customFormat="1">
      <c r="A104" s="1627"/>
      <c r="B104" s="2180" t="s">
        <v>1872</v>
      </c>
      <c r="C104" s="1941" t="s">
        <v>1794</v>
      </c>
      <c r="D104" s="2179" t="s">
        <v>579</v>
      </c>
      <c r="E104" s="1936">
        <f t="shared" si="10"/>
        <v>34</v>
      </c>
      <c r="F104" s="1648"/>
      <c r="G104" s="1648"/>
      <c r="H104" s="2002">
        <f t="shared" si="6"/>
        <v>0</v>
      </c>
      <c r="I104" s="2002">
        <f t="shared" si="7"/>
        <v>0</v>
      </c>
      <c r="J104" s="1620"/>
      <c r="K104" s="1621">
        <v>34</v>
      </c>
      <c r="M104" s="1623">
        <v>10210.56</v>
      </c>
    </row>
    <row r="105" spans="1:13" s="1622" customFormat="1">
      <c r="A105" s="1627"/>
      <c r="B105" s="2180" t="s">
        <v>1873</v>
      </c>
      <c r="C105" s="2161" t="s">
        <v>2126</v>
      </c>
      <c r="D105" s="1935" t="s">
        <v>579</v>
      </c>
      <c r="E105" s="1936">
        <f t="shared" si="10"/>
        <v>34</v>
      </c>
      <c r="F105" s="1648"/>
      <c r="G105" s="1648"/>
      <c r="H105" s="2002">
        <f t="shared" si="6"/>
        <v>0</v>
      </c>
      <c r="I105" s="2002">
        <f t="shared" si="7"/>
        <v>0</v>
      </c>
      <c r="J105" s="1620"/>
      <c r="K105" s="1621">
        <v>34</v>
      </c>
      <c r="M105" s="1623">
        <v>25904.560000000005</v>
      </c>
    </row>
    <row r="106" spans="1:13" s="1622" customFormat="1">
      <c r="A106" s="1627"/>
      <c r="B106" s="2180" t="s">
        <v>1874</v>
      </c>
      <c r="C106" s="2161" t="s">
        <v>965</v>
      </c>
      <c r="D106" s="1935" t="s">
        <v>2194</v>
      </c>
      <c r="E106" s="1936">
        <f t="shared" si="10"/>
        <v>34</v>
      </c>
      <c r="F106" s="1648"/>
      <c r="G106" s="1648"/>
      <c r="H106" s="2002">
        <f t="shared" si="6"/>
        <v>0</v>
      </c>
      <c r="I106" s="2002">
        <f t="shared" si="7"/>
        <v>0</v>
      </c>
      <c r="J106" s="1620"/>
      <c r="K106" s="1621">
        <v>34</v>
      </c>
      <c r="M106" s="1623">
        <v>3343.98</v>
      </c>
    </row>
    <row r="107" spans="1:13" s="1622" customFormat="1" ht="38.25">
      <c r="A107" s="1627"/>
      <c r="B107" s="2180" t="s">
        <v>1875</v>
      </c>
      <c r="C107" s="2161" t="s">
        <v>2183</v>
      </c>
      <c r="D107" s="2179" t="s">
        <v>579</v>
      </c>
      <c r="E107" s="1936">
        <f t="shared" si="10"/>
        <v>1</v>
      </c>
      <c r="F107" s="1648"/>
      <c r="G107" s="1648"/>
      <c r="H107" s="2002">
        <f t="shared" si="6"/>
        <v>0</v>
      </c>
      <c r="I107" s="2002">
        <f t="shared" si="7"/>
        <v>0</v>
      </c>
      <c r="J107" s="1620"/>
      <c r="K107" s="1621">
        <v>1</v>
      </c>
      <c r="M107" s="1623">
        <v>306842.8</v>
      </c>
    </row>
    <row r="108" spans="1:13" s="1622" customFormat="1" ht="38.25">
      <c r="A108" s="1627"/>
      <c r="B108" s="2180" t="s">
        <v>1876</v>
      </c>
      <c r="C108" s="2161" t="s">
        <v>2184</v>
      </c>
      <c r="D108" s="2179" t="s">
        <v>579</v>
      </c>
      <c r="E108" s="1936">
        <f t="shared" si="10"/>
        <v>4</v>
      </c>
      <c r="F108" s="1648"/>
      <c r="G108" s="1648"/>
      <c r="H108" s="2002">
        <f t="shared" si="6"/>
        <v>0</v>
      </c>
      <c r="I108" s="2002">
        <f t="shared" si="7"/>
        <v>0</v>
      </c>
      <c r="J108" s="1620"/>
      <c r="K108" s="1621">
        <v>4</v>
      </c>
      <c r="M108" s="1623">
        <v>520091</v>
      </c>
    </row>
    <row r="109" spans="1:13" s="1622" customFormat="1">
      <c r="A109" s="1627"/>
      <c r="B109" s="2180" t="s">
        <v>1877</v>
      </c>
      <c r="C109" s="1973" t="s">
        <v>513</v>
      </c>
      <c r="D109" s="1962" t="s">
        <v>579</v>
      </c>
      <c r="E109" s="1936">
        <f t="shared" si="10"/>
        <v>276</v>
      </c>
      <c r="F109" s="1648"/>
      <c r="G109" s="1648"/>
      <c r="H109" s="2002">
        <f t="shared" si="6"/>
        <v>0</v>
      </c>
      <c r="I109" s="2002">
        <f t="shared" si="7"/>
        <v>0</v>
      </c>
      <c r="J109" s="1620"/>
      <c r="K109" s="1621">
        <v>276</v>
      </c>
      <c r="M109" s="1623">
        <v>53000</v>
      </c>
    </row>
    <row r="110" spans="1:13" s="1622" customFormat="1">
      <c r="A110" s="1627"/>
      <c r="B110" s="2180" t="s">
        <v>1878</v>
      </c>
      <c r="C110" s="2161" t="s">
        <v>514</v>
      </c>
      <c r="D110" s="2179" t="s">
        <v>579</v>
      </c>
      <c r="E110" s="1936">
        <f t="shared" si="10"/>
        <v>476</v>
      </c>
      <c r="F110" s="1648"/>
      <c r="G110" s="1648"/>
      <c r="H110" s="2002">
        <f t="shared" si="6"/>
        <v>0</v>
      </c>
      <c r="I110" s="2002">
        <f t="shared" si="7"/>
        <v>0</v>
      </c>
      <c r="J110" s="1620"/>
      <c r="K110" s="1621">
        <v>476</v>
      </c>
      <c r="M110" s="1623">
        <v>14047</v>
      </c>
    </row>
    <row r="111" spans="1:13" s="1622" customFormat="1">
      <c r="A111" s="1627"/>
      <c r="B111" s="2180" t="s">
        <v>1879</v>
      </c>
      <c r="C111" s="2161" t="s">
        <v>515</v>
      </c>
      <c r="D111" s="1935" t="s">
        <v>579</v>
      </c>
      <c r="E111" s="1936">
        <f t="shared" si="10"/>
        <v>1372</v>
      </c>
      <c r="F111" s="1648"/>
      <c r="G111" s="1648"/>
      <c r="H111" s="2002">
        <f t="shared" si="6"/>
        <v>0</v>
      </c>
      <c r="I111" s="2002">
        <f t="shared" si="7"/>
        <v>0</v>
      </c>
      <c r="J111" s="1620"/>
      <c r="K111" s="1621">
        <v>1372</v>
      </c>
      <c r="M111" s="1623">
        <v>2923</v>
      </c>
    </row>
    <row r="112" spans="1:13" s="1622" customFormat="1">
      <c r="A112" s="1627"/>
      <c r="B112" s="2171"/>
      <c r="C112" s="2171"/>
      <c r="D112" s="2172"/>
      <c r="E112" s="2173"/>
      <c r="F112" s="2060" t="s">
        <v>2172</v>
      </c>
      <c r="G112" s="2062">
        <f>SUM(G95:G111)</f>
        <v>0</v>
      </c>
      <c r="H112" s="2002"/>
      <c r="I112" s="2002"/>
      <c r="J112" s="1620"/>
      <c r="K112" s="1621"/>
      <c r="M112" s="2056" t="s">
        <v>2172</v>
      </c>
    </row>
    <row r="113" spans="1:13" s="1622" customFormat="1">
      <c r="A113" s="1627"/>
      <c r="B113" s="2160"/>
      <c r="C113" s="2161"/>
      <c r="D113" s="1935"/>
      <c r="E113" s="1936"/>
      <c r="F113" s="1648"/>
      <c r="G113" s="1648"/>
      <c r="H113" s="2002"/>
      <c r="I113" s="2002"/>
      <c r="J113" s="1620"/>
      <c r="K113" s="1621"/>
      <c r="M113" s="1623"/>
    </row>
    <row r="114" spans="1:13" s="1622" customFormat="1">
      <c r="A114" s="1627"/>
      <c r="B114" s="2166"/>
      <c r="C114" s="2166"/>
      <c r="D114" s="2175"/>
      <c r="E114" s="2176"/>
      <c r="F114" s="2061" t="s">
        <v>960</v>
      </c>
      <c r="G114" s="2058">
        <f>+G112+G91</f>
        <v>0</v>
      </c>
      <c r="H114" s="2002"/>
      <c r="I114" s="2002"/>
      <c r="J114" s="1620"/>
      <c r="K114" s="1621"/>
      <c r="M114" s="2056" t="s">
        <v>960</v>
      </c>
    </row>
    <row r="115" spans="1:13" s="1622" customFormat="1">
      <c r="A115" s="1627"/>
      <c r="B115" s="2160"/>
      <c r="C115" s="2161"/>
      <c r="D115" s="1935"/>
      <c r="E115" s="1936"/>
      <c r="F115" s="1648"/>
      <c r="G115" s="1648"/>
      <c r="H115" s="2002"/>
      <c r="I115" s="2002"/>
      <c r="J115" s="1620"/>
      <c r="K115" s="1621"/>
      <c r="M115" s="1623"/>
    </row>
    <row r="116" spans="1:13" s="1622" customFormat="1">
      <c r="A116" s="1627"/>
      <c r="B116" s="2157">
        <v>5</v>
      </c>
      <c r="C116" s="1939" t="s">
        <v>476</v>
      </c>
      <c r="D116" s="2157"/>
      <c r="E116" s="2159"/>
      <c r="F116" s="2057"/>
      <c r="G116" s="2057"/>
      <c r="H116" s="2002"/>
      <c r="I116" s="2002"/>
      <c r="J116" s="1620"/>
      <c r="K116" s="1621"/>
      <c r="M116" s="2005"/>
    </row>
    <row r="117" spans="1:13" s="1622" customFormat="1">
      <c r="A117" s="1627"/>
      <c r="B117" s="2160"/>
      <c r="C117" s="2167" t="s">
        <v>947</v>
      </c>
      <c r="D117" s="1935"/>
      <c r="E117" s="1936"/>
      <c r="F117" s="1648"/>
      <c r="G117" s="1648"/>
      <c r="H117" s="2002"/>
      <c r="I117" s="2002"/>
      <c r="J117" s="1620"/>
      <c r="K117" s="1621"/>
      <c r="M117" s="1623"/>
    </row>
    <row r="118" spans="1:13" s="1622" customFormat="1" ht="25.5">
      <c r="A118" s="1627"/>
      <c r="B118" s="2160" t="s">
        <v>1834</v>
      </c>
      <c r="C118" s="1934" t="s">
        <v>1789</v>
      </c>
      <c r="D118" s="1956" t="s">
        <v>51</v>
      </c>
      <c r="E118" s="1936">
        <f t="shared" ref="E118:E130" si="11">ROUND(K118,2)</f>
        <v>106.65</v>
      </c>
      <c r="F118" s="1648"/>
      <c r="G118" s="1648"/>
      <c r="H118" s="2002">
        <f t="shared" ref="H118:H179" si="12">+ROUND(F118*0.9,0)</f>
        <v>0</v>
      </c>
      <c r="I118" s="2002">
        <f t="shared" ref="I118:I179" si="13">+ROUND(F118*1.1,0)</f>
        <v>0</v>
      </c>
      <c r="J118" s="1620"/>
      <c r="K118" s="1621">
        <v>106.65</v>
      </c>
      <c r="M118" s="1623">
        <v>3000.0000000000005</v>
      </c>
    </row>
    <row r="119" spans="1:13" s="1622" customFormat="1" ht="41.25" customHeight="1">
      <c r="A119" s="1627"/>
      <c r="B119" s="2160" t="s">
        <v>1863</v>
      </c>
      <c r="C119" s="1934" t="s">
        <v>1790</v>
      </c>
      <c r="D119" s="1956" t="s">
        <v>51</v>
      </c>
      <c r="E119" s="1936">
        <f t="shared" si="11"/>
        <v>106.65</v>
      </c>
      <c r="F119" s="1648"/>
      <c r="G119" s="1648"/>
      <c r="H119" s="2002">
        <f t="shared" si="12"/>
        <v>0</v>
      </c>
      <c r="I119" s="2002">
        <f t="shared" si="13"/>
        <v>0</v>
      </c>
      <c r="J119" s="1620"/>
      <c r="K119" s="1621">
        <v>106.65</v>
      </c>
      <c r="M119" s="1623">
        <v>6160</v>
      </c>
    </row>
    <row r="120" spans="1:13" s="1622" customFormat="1">
      <c r="A120" s="1627"/>
      <c r="B120" s="2160" t="s">
        <v>1818</v>
      </c>
      <c r="C120" s="2161" t="s">
        <v>1776</v>
      </c>
      <c r="D120" s="1935" t="s">
        <v>51</v>
      </c>
      <c r="E120" s="1936">
        <f t="shared" si="11"/>
        <v>23.7</v>
      </c>
      <c r="F120" s="1648"/>
      <c r="G120" s="1648"/>
      <c r="H120" s="2002">
        <f t="shared" si="12"/>
        <v>0</v>
      </c>
      <c r="I120" s="2002">
        <f t="shared" si="13"/>
        <v>0</v>
      </c>
      <c r="J120" s="1620"/>
      <c r="K120" s="1621">
        <v>23.700000000000003</v>
      </c>
      <c r="M120" s="1623">
        <v>12390.2</v>
      </c>
    </row>
    <row r="121" spans="1:13" s="1622" customFormat="1">
      <c r="A121" s="1627"/>
      <c r="B121" s="2160" t="s">
        <v>1835</v>
      </c>
      <c r="C121" s="2161" t="s">
        <v>1101</v>
      </c>
      <c r="D121" s="1935" t="s">
        <v>51</v>
      </c>
      <c r="E121" s="1936">
        <f t="shared" si="11"/>
        <v>23.7</v>
      </c>
      <c r="F121" s="1648"/>
      <c r="G121" s="1648"/>
      <c r="H121" s="2002">
        <f t="shared" si="12"/>
        <v>0</v>
      </c>
      <c r="I121" s="2002">
        <f t="shared" si="13"/>
        <v>0</v>
      </c>
      <c r="J121" s="1620"/>
      <c r="K121" s="1621">
        <v>23.700000000000003</v>
      </c>
      <c r="M121" s="1623">
        <v>5190</v>
      </c>
    </row>
    <row r="122" spans="1:13" s="1622" customFormat="1">
      <c r="A122" s="1627"/>
      <c r="B122" s="2160" t="s">
        <v>1836</v>
      </c>
      <c r="C122" s="2161" t="s">
        <v>1777</v>
      </c>
      <c r="D122" s="1935" t="s">
        <v>51</v>
      </c>
      <c r="E122" s="1936">
        <f t="shared" si="11"/>
        <v>213.3</v>
      </c>
      <c r="F122" s="1648"/>
      <c r="G122" s="1648"/>
      <c r="H122" s="2002">
        <f t="shared" si="12"/>
        <v>0</v>
      </c>
      <c r="I122" s="2002">
        <f t="shared" si="13"/>
        <v>0</v>
      </c>
      <c r="J122" s="1620"/>
      <c r="K122" s="1621">
        <v>213.3</v>
      </c>
      <c r="M122" s="1623">
        <v>14640.2</v>
      </c>
    </row>
    <row r="123" spans="1:13" s="1622" customFormat="1">
      <c r="A123" s="1627"/>
      <c r="B123" s="2160" t="s">
        <v>1837</v>
      </c>
      <c r="C123" s="1973" t="s">
        <v>941</v>
      </c>
      <c r="D123" s="1962" t="s">
        <v>51</v>
      </c>
      <c r="E123" s="1936">
        <f t="shared" si="11"/>
        <v>10.029999999999999</v>
      </c>
      <c r="F123" s="1648"/>
      <c r="G123" s="1648"/>
      <c r="H123" s="2002">
        <f t="shared" si="12"/>
        <v>0</v>
      </c>
      <c r="I123" s="2002">
        <f t="shared" si="13"/>
        <v>0</v>
      </c>
      <c r="J123" s="1620"/>
      <c r="K123" s="1621">
        <v>10.029999999999999</v>
      </c>
      <c r="M123" s="1623">
        <v>10530</v>
      </c>
    </row>
    <row r="124" spans="1:13" s="1622" customFormat="1">
      <c r="A124" s="1627"/>
      <c r="B124" s="2160" t="s">
        <v>1838</v>
      </c>
      <c r="C124" s="1973" t="s">
        <v>2174</v>
      </c>
      <c r="D124" s="1938" t="s">
        <v>2201</v>
      </c>
      <c r="E124" s="1936">
        <f t="shared" si="11"/>
        <v>77.58</v>
      </c>
      <c r="F124" s="1648"/>
      <c r="G124" s="1648"/>
      <c r="H124" s="2002">
        <f t="shared" si="12"/>
        <v>0</v>
      </c>
      <c r="I124" s="2002">
        <f t="shared" si="13"/>
        <v>0</v>
      </c>
      <c r="J124" s="1620"/>
      <c r="K124" s="1621">
        <v>77.58</v>
      </c>
      <c r="L124" s="1629"/>
      <c r="M124" s="1623">
        <v>19392</v>
      </c>
    </row>
    <row r="125" spans="1:13" s="1622" customFormat="1" ht="25.5">
      <c r="A125" s="1627"/>
      <c r="B125" s="2160" t="s">
        <v>1839</v>
      </c>
      <c r="C125" s="1941" t="s">
        <v>1792</v>
      </c>
      <c r="D125" s="1935" t="s">
        <v>51</v>
      </c>
      <c r="E125" s="1936">
        <f t="shared" si="11"/>
        <v>11.67</v>
      </c>
      <c r="F125" s="1648"/>
      <c r="G125" s="1648"/>
      <c r="H125" s="2002">
        <f t="shared" si="12"/>
        <v>0</v>
      </c>
      <c r="I125" s="2002">
        <f t="shared" si="13"/>
        <v>0</v>
      </c>
      <c r="J125" s="1620"/>
      <c r="K125" s="1621">
        <v>11.67</v>
      </c>
      <c r="M125" s="1623">
        <v>63050</v>
      </c>
    </row>
    <row r="126" spans="1:13" s="1622" customFormat="1">
      <c r="A126" s="1627"/>
      <c r="B126" s="2160" t="s">
        <v>1840</v>
      </c>
      <c r="C126" s="2168" t="s">
        <v>1778</v>
      </c>
      <c r="D126" s="1935" t="s">
        <v>51</v>
      </c>
      <c r="E126" s="1936">
        <f t="shared" si="11"/>
        <v>33.700000000000003</v>
      </c>
      <c r="F126" s="1648"/>
      <c r="G126" s="1648"/>
      <c r="H126" s="2002">
        <f t="shared" si="12"/>
        <v>0</v>
      </c>
      <c r="I126" s="2002">
        <f t="shared" si="13"/>
        <v>0</v>
      </c>
      <c r="J126" s="1620"/>
      <c r="K126" s="1621">
        <v>33.700000000000003</v>
      </c>
      <c r="M126" s="1623">
        <v>715478</v>
      </c>
    </row>
    <row r="127" spans="1:13" s="1622" customFormat="1">
      <c r="A127" s="1627"/>
      <c r="B127" s="2160" t="s">
        <v>1841</v>
      </c>
      <c r="C127" s="2161" t="s">
        <v>1779</v>
      </c>
      <c r="D127" s="1935" t="s">
        <v>51</v>
      </c>
      <c r="E127" s="1936">
        <f t="shared" si="11"/>
        <v>102.9</v>
      </c>
      <c r="F127" s="1648"/>
      <c r="G127" s="1648"/>
      <c r="H127" s="2002">
        <f t="shared" si="12"/>
        <v>0</v>
      </c>
      <c r="I127" s="2002">
        <f t="shared" si="13"/>
        <v>0</v>
      </c>
      <c r="J127" s="1620"/>
      <c r="K127" s="1621">
        <v>102.9</v>
      </c>
      <c r="M127" s="1623">
        <v>723877.99999999988</v>
      </c>
    </row>
    <row r="128" spans="1:13" s="1622" customFormat="1">
      <c r="A128" s="1627"/>
      <c r="B128" s="2160" t="s">
        <v>1842</v>
      </c>
      <c r="C128" s="2161" t="s">
        <v>1780</v>
      </c>
      <c r="D128" s="1935" t="s">
        <v>51</v>
      </c>
      <c r="E128" s="1936">
        <f t="shared" si="11"/>
        <v>15.8</v>
      </c>
      <c r="F128" s="1648"/>
      <c r="G128" s="1648"/>
      <c r="H128" s="2002">
        <f t="shared" si="12"/>
        <v>0</v>
      </c>
      <c r="I128" s="2002">
        <f t="shared" si="13"/>
        <v>0</v>
      </c>
      <c r="J128" s="1620"/>
      <c r="K128" s="1621">
        <v>15.8</v>
      </c>
      <c r="M128" s="1623">
        <v>715478</v>
      </c>
    </row>
    <row r="129" spans="1:13" s="1622" customFormat="1">
      <c r="A129" s="1627"/>
      <c r="B129" s="2160" t="s">
        <v>1828</v>
      </c>
      <c r="C129" s="2161" t="s">
        <v>522</v>
      </c>
      <c r="D129" s="1935" t="s">
        <v>1140</v>
      </c>
      <c r="E129" s="1936">
        <f t="shared" si="11"/>
        <v>17740.419999999998</v>
      </c>
      <c r="F129" s="1648"/>
      <c r="G129" s="1648"/>
      <c r="H129" s="2002">
        <f t="shared" si="12"/>
        <v>0</v>
      </c>
      <c r="I129" s="2002">
        <f t="shared" si="13"/>
        <v>0</v>
      </c>
      <c r="J129" s="1620"/>
      <c r="K129" s="1621">
        <v>17740.419999999998</v>
      </c>
      <c r="M129" s="1623">
        <v>3584</v>
      </c>
    </row>
    <row r="130" spans="1:13" s="1622" customFormat="1">
      <c r="A130" s="1627"/>
      <c r="B130" s="2160" t="s">
        <v>1844</v>
      </c>
      <c r="C130" s="2161" t="s">
        <v>508</v>
      </c>
      <c r="D130" s="2179" t="s">
        <v>1141</v>
      </c>
      <c r="E130" s="1936">
        <f t="shared" si="11"/>
        <v>94.5</v>
      </c>
      <c r="F130" s="1648"/>
      <c r="G130" s="1648"/>
      <c r="H130" s="2002">
        <f t="shared" si="12"/>
        <v>0</v>
      </c>
      <c r="I130" s="2002">
        <f t="shared" si="13"/>
        <v>0</v>
      </c>
      <c r="J130" s="1620"/>
      <c r="K130" s="1621">
        <v>94.5</v>
      </c>
      <c r="M130" s="1623">
        <v>27799</v>
      </c>
    </row>
    <row r="131" spans="1:13" s="1622" customFormat="1">
      <c r="A131" s="1627"/>
      <c r="B131" s="2160"/>
      <c r="C131" s="1973"/>
      <c r="D131" s="1962"/>
      <c r="E131" s="2165"/>
      <c r="F131" s="1650"/>
      <c r="G131" s="1650"/>
      <c r="H131" s="2002"/>
      <c r="I131" s="2002"/>
      <c r="J131" s="1620"/>
      <c r="K131" s="1621"/>
      <c r="M131" s="1623"/>
    </row>
    <row r="132" spans="1:13" s="1622" customFormat="1">
      <c r="A132" s="1627"/>
      <c r="B132" s="2171"/>
      <c r="C132" s="2171"/>
      <c r="D132" s="2172"/>
      <c r="E132" s="2173"/>
      <c r="F132" s="2060" t="s">
        <v>967</v>
      </c>
      <c r="G132" s="2060">
        <f>SUM(G118:G131)</f>
        <v>0</v>
      </c>
      <c r="H132" s="2002"/>
      <c r="I132" s="2002"/>
      <c r="J132" s="1620"/>
      <c r="K132" s="1621"/>
      <c r="M132" s="2056" t="s">
        <v>967</v>
      </c>
    </row>
    <row r="133" spans="1:13" s="1622" customFormat="1">
      <c r="A133" s="1627"/>
      <c r="B133" s="2160"/>
      <c r="C133" s="2167" t="s">
        <v>2168</v>
      </c>
      <c r="D133" s="1935"/>
      <c r="E133" s="1936"/>
      <c r="F133" s="1648"/>
      <c r="G133" s="1648"/>
      <c r="H133" s="2002"/>
      <c r="I133" s="2002"/>
      <c r="J133" s="1620"/>
      <c r="K133" s="1621"/>
      <c r="M133" s="1623"/>
    </row>
    <row r="134" spans="1:13" s="1622" customFormat="1" ht="105.75" customHeight="1">
      <c r="A134" s="1627"/>
      <c r="B134" s="2160" t="s">
        <v>1880</v>
      </c>
      <c r="C134" s="1941" t="s">
        <v>1760</v>
      </c>
      <c r="D134" s="1935"/>
      <c r="E134" s="2183"/>
      <c r="F134" s="1648"/>
      <c r="G134" s="1648"/>
      <c r="H134" s="2002"/>
      <c r="I134" s="2002"/>
      <c r="J134" s="1620"/>
      <c r="K134" s="1621"/>
      <c r="M134" s="1623"/>
    </row>
    <row r="135" spans="1:13" s="1622" customFormat="1">
      <c r="A135" s="1627"/>
      <c r="B135" s="2184" t="s">
        <v>1881</v>
      </c>
      <c r="C135" s="1973" t="s">
        <v>1564</v>
      </c>
      <c r="D135" s="1956" t="s">
        <v>579</v>
      </c>
      <c r="E135" s="1936">
        <f t="shared" ref="E135:E152" si="14">ROUND(K135,2)</f>
        <v>4</v>
      </c>
      <c r="F135" s="1648"/>
      <c r="G135" s="1648"/>
      <c r="H135" s="2002">
        <f t="shared" si="12"/>
        <v>0</v>
      </c>
      <c r="I135" s="2002">
        <f t="shared" si="13"/>
        <v>0</v>
      </c>
      <c r="J135" s="1620"/>
      <c r="K135" s="1932">
        <v>4</v>
      </c>
      <c r="M135" s="1623">
        <v>8135660</v>
      </c>
    </row>
    <row r="136" spans="1:13" s="1622" customFormat="1" ht="15" customHeight="1">
      <c r="A136" s="1627"/>
      <c r="B136" s="2184" t="s">
        <v>1882</v>
      </c>
      <c r="C136" s="1973" t="s">
        <v>1661</v>
      </c>
      <c r="D136" s="1962" t="s">
        <v>579</v>
      </c>
      <c r="E136" s="1936">
        <f t="shared" si="14"/>
        <v>4</v>
      </c>
      <c r="F136" s="1648"/>
      <c r="G136" s="1648"/>
      <c r="H136" s="2002">
        <f t="shared" si="12"/>
        <v>0</v>
      </c>
      <c r="I136" s="2002">
        <f t="shared" si="13"/>
        <v>0</v>
      </c>
      <c r="J136" s="1620"/>
      <c r="K136" s="1621">
        <v>4</v>
      </c>
      <c r="M136" s="1623">
        <v>9845732</v>
      </c>
    </row>
    <row r="137" spans="1:13" s="1622" customFormat="1">
      <c r="A137" s="1627"/>
      <c r="B137" s="2184" t="s">
        <v>1883</v>
      </c>
      <c r="C137" s="2161" t="s">
        <v>1566</v>
      </c>
      <c r="D137" s="2179" t="s">
        <v>579</v>
      </c>
      <c r="E137" s="1936">
        <f t="shared" si="14"/>
        <v>1</v>
      </c>
      <c r="F137" s="1648"/>
      <c r="G137" s="1648"/>
      <c r="H137" s="2002">
        <f t="shared" si="12"/>
        <v>0</v>
      </c>
      <c r="I137" s="2002">
        <f t="shared" si="13"/>
        <v>0</v>
      </c>
      <c r="J137" s="1620"/>
      <c r="K137" s="1932">
        <v>1</v>
      </c>
      <c r="M137" s="1623">
        <v>12261548</v>
      </c>
    </row>
    <row r="138" spans="1:13" s="1622" customFormat="1">
      <c r="A138" s="1627"/>
      <c r="B138" s="2184" t="s">
        <v>1884</v>
      </c>
      <c r="C138" s="2161" t="s">
        <v>1662</v>
      </c>
      <c r="D138" s="1935" t="s">
        <v>579</v>
      </c>
      <c r="E138" s="1936">
        <f t="shared" si="14"/>
        <v>4</v>
      </c>
      <c r="F138" s="1648"/>
      <c r="G138" s="1648"/>
      <c r="H138" s="2002">
        <f t="shared" si="12"/>
        <v>0</v>
      </c>
      <c r="I138" s="2002">
        <f t="shared" si="13"/>
        <v>0</v>
      </c>
      <c r="J138" s="1620"/>
      <c r="K138" s="1621">
        <v>4</v>
      </c>
      <c r="M138" s="1623">
        <v>11168248</v>
      </c>
    </row>
    <row r="139" spans="1:13" s="1622" customFormat="1">
      <c r="A139" s="1627"/>
      <c r="B139" s="2184" t="s">
        <v>1885</v>
      </c>
      <c r="C139" s="2161" t="s">
        <v>1663</v>
      </c>
      <c r="D139" s="1935" t="s">
        <v>579</v>
      </c>
      <c r="E139" s="1936">
        <f t="shared" si="14"/>
        <v>1</v>
      </c>
      <c r="F139" s="1648"/>
      <c r="G139" s="1648"/>
      <c r="H139" s="2002">
        <f t="shared" si="12"/>
        <v>0</v>
      </c>
      <c r="I139" s="2002">
        <f t="shared" si="13"/>
        <v>0</v>
      </c>
      <c r="J139" s="1620"/>
      <c r="K139" s="1932">
        <v>1</v>
      </c>
      <c r="M139" s="1623">
        <v>8803704</v>
      </c>
    </row>
    <row r="140" spans="1:13" s="1622" customFormat="1">
      <c r="A140" s="1627"/>
      <c r="B140" s="1935" t="s">
        <v>1886</v>
      </c>
      <c r="C140" s="1973" t="s">
        <v>1764</v>
      </c>
      <c r="D140" s="1962" t="s">
        <v>579</v>
      </c>
      <c r="E140" s="1936">
        <f t="shared" si="14"/>
        <v>4</v>
      </c>
      <c r="F140" s="1648"/>
      <c r="G140" s="1648"/>
      <c r="H140" s="2002">
        <f t="shared" si="12"/>
        <v>0</v>
      </c>
      <c r="I140" s="2002">
        <f t="shared" si="13"/>
        <v>0</v>
      </c>
      <c r="J140" s="1620"/>
      <c r="K140" s="1621">
        <v>4</v>
      </c>
      <c r="M140" s="1623">
        <v>536430</v>
      </c>
    </row>
    <row r="141" spans="1:13" s="1622" customFormat="1">
      <c r="A141" s="1627"/>
      <c r="B141" s="1935" t="s">
        <v>1887</v>
      </c>
      <c r="C141" s="2185" t="s">
        <v>1570</v>
      </c>
      <c r="D141" s="2186" t="s">
        <v>579</v>
      </c>
      <c r="E141" s="1936">
        <f t="shared" si="14"/>
        <v>1</v>
      </c>
      <c r="F141" s="1648"/>
      <c r="G141" s="1648"/>
      <c r="H141" s="2002">
        <f t="shared" si="12"/>
        <v>0</v>
      </c>
      <c r="I141" s="2002">
        <f t="shared" si="13"/>
        <v>0</v>
      </c>
      <c r="J141" s="1620"/>
      <c r="K141" s="1932">
        <v>1</v>
      </c>
      <c r="M141" s="1623">
        <v>823368</v>
      </c>
    </row>
    <row r="142" spans="1:13" s="1622" customFormat="1">
      <c r="A142" s="1627"/>
      <c r="B142" s="1935" t="s">
        <v>1888</v>
      </c>
      <c r="C142" s="2185" t="s">
        <v>1573</v>
      </c>
      <c r="D142" s="2186" t="s">
        <v>2194</v>
      </c>
      <c r="E142" s="1936">
        <f t="shared" si="14"/>
        <v>12</v>
      </c>
      <c r="F142" s="1648"/>
      <c r="G142" s="1648"/>
      <c r="H142" s="2002">
        <f t="shared" si="12"/>
        <v>0</v>
      </c>
      <c r="I142" s="2002">
        <f t="shared" si="13"/>
        <v>0</v>
      </c>
      <c r="J142" s="1620"/>
      <c r="K142" s="1621">
        <v>12</v>
      </c>
      <c r="M142" s="1623">
        <v>1936272</v>
      </c>
    </row>
    <row r="143" spans="1:13" s="1622" customFormat="1">
      <c r="A143" s="1627"/>
      <c r="B143" s="1935" t="s">
        <v>1889</v>
      </c>
      <c r="C143" s="2185" t="s">
        <v>1569</v>
      </c>
      <c r="D143" s="2186" t="s">
        <v>2194</v>
      </c>
      <c r="E143" s="1936">
        <f t="shared" si="14"/>
        <v>1</v>
      </c>
      <c r="F143" s="1648"/>
      <c r="G143" s="1648"/>
      <c r="H143" s="2002">
        <f t="shared" si="12"/>
        <v>0</v>
      </c>
      <c r="I143" s="2002">
        <f t="shared" si="13"/>
        <v>0</v>
      </c>
      <c r="J143" s="1620"/>
      <c r="K143" s="1932">
        <v>1</v>
      </c>
      <c r="M143" s="1623">
        <v>2352480</v>
      </c>
    </row>
    <row r="144" spans="1:13" s="1622" customFormat="1">
      <c r="A144" s="1627"/>
      <c r="B144" s="1935" t="s">
        <v>1890</v>
      </c>
      <c r="C144" s="2185" t="s">
        <v>1572</v>
      </c>
      <c r="D144" s="2187" t="s">
        <v>579</v>
      </c>
      <c r="E144" s="1936">
        <f t="shared" si="14"/>
        <v>4</v>
      </c>
      <c r="F144" s="1648"/>
      <c r="G144" s="1648"/>
      <c r="H144" s="2002">
        <f t="shared" si="12"/>
        <v>0</v>
      </c>
      <c r="I144" s="2002">
        <f t="shared" si="13"/>
        <v>0</v>
      </c>
      <c r="J144" s="1620"/>
      <c r="K144" s="1621">
        <v>4</v>
      </c>
      <c r="M144" s="1623">
        <v>370968</v>
      </c>
    </row>
    <row r="145" spans="1:13" s="1622" customFormat="1" ht="25.5">
      <c r="A145" s="1627"/>
      <c r="B145" s="1935" t="s">
        <v>1871</v>
      </c>
      <c r="C145" s="2161" t="s">
        <v>1018</v>
      </c>
      <c r="D145" s="1935" t="s">
        <v>579</v>
      </c>
      <c r="E145" s="1936">
        <f t="shared" si="14"/>
        <v>30</v>
      </c>
      <c r="F145" s="1648"/>
      <c r="G145" s="1648"/>
      <c r="H145" s="2002">
        <f t="shared" si="12"/>
        <v>0</v>
      </c>
      <c r="I145" s="2002">
        <f t="shared" si="13"/>
        <v>0</v>
      </c>
      <c r="J145" s="1620"/>
      <c r="K145" s="1932">
        <v>30</v>
      </c>
      <c r="M145" s="1623">
        <v>30550</v>
      </c>
    </row>
    <row r="146" spans="1:13" s="1622" customFormat="1">
      <c r="A146" s="1627"/>
      <c r="B146" s="1935" t="s">
        <v>1847</v>
      </c>
      <c r="C146" s="2161" t="s">
        <v>509</v>
      </c>
      <c r="D146" s="1938" t="s">
        <v>2201</v>
      </c>
      <c r="E146" s="1936">
        <f t="shared" si="14"/>
        <v>45</v>
      </c>
      <c r="F146" s="1648"/>
      <c r="G146" s="1648"/>
      <c r="H146" s="2002">
        <f t="shared" si="12"/>
        <v>0</v>
      </c>
      <c r="I146" s="2002">
        <f t="shared" si="13"/>
        <v>0</v>
      </c>
      <c r="J146" s="1620"/>
      <c r="K146" s="1932">
        <v>45</v>
      </c>
      <c r="M146" s="1623">
        <v>150170</v>
      </c>
    </row>
    <row r="147" spans="1:13" s="1622" customFormat="1" ht="38.25">
      <c r="A147" s="1627"/>
      <c r="B147" s="1935" t="s">
        <v>1877</v>
      </c>
      <c r="C147" s="2161" t="s">
        <v>2185</v>
      </c>
      <c r="D147" s="2179" t="s">
        <v>579</v>
      </c>
      <c r="E147" s="1936">
        <f t="shared" si="14"/>
        <v>1</v>
      </c>
      <c r="F147" s="1648"/>
      <c r="G147" s="1648"/>
      <c r="H147" s="2002">
        <f t="shared" si="12"/>
        <v>0</v>
      </c>
      <c r="I147" s="2002">
        <f t="shared" si="13"/>
        <v>0</v>
      </c>
      <c r="J147" s="1620"/>
      <c r="K147" s="1932">
        <v>1</v>
      </c>
      <c r="M147" s="1623">
        <v>562800</v>
      </c>
    </row>
    <row r="148" spans="1:13" s="1622" customFormat="1" ht="38.25">
      <c r="A148" s="1627"/>
      <c r="B148" s="1935" t="s">
        <v>1891</v>
      </c>
      <c r="C148" s="1973" t="s">
        <v>2186</v>
      </c>
      <c r="D148" s="1962" t="s">
        <v>579</v>
      </c>
      <c r="E148" s="1936">
        <f t="shared" si="14"/>
        <v>4</v>
      </c>
      <c r="F148" s="1648"/>
      <c r="G148" s="1648"/>
      <c r="H148" s="2002">
        <f t="shared" si="12"/>
        <v>0</v>
      </c>
      <c r="I148" s="2002">
        <f t="shared" si="13"/>
        <v>0</v>
      </c>
      <c r="J148" s="1620"/>
      <c r="K148" s="1621">
        <v>4</v>
      </c>
      <c r="M148" s="1645">
        <v>608400</v>
      </c>
    </row>
    <row r="149" spans="1:13" s="1622" customFormat="1" ht="79.5" customHeight="1">
      <c r="A149" s="1627"/>
      <c r="B149" s="1935" t="s">
        <v>1892</v>
      </c>
      <c r="C149" s="1941" t="s">
        <v>2199</v>
      </c>
      <c r="D149" s="1935" t="s">
        <v>579</v>
      </c>
      <c r="E149" s="1936">
        <f t="shared" si="14"/>
        <v>32</v>
      </c>
      <c r="F149" s="1648"/>
      <c r="G149" s="1648"/>
      <c r="H149" s="2002">
        <f t="shared" si="12"/>
        <v>0</v>
      </c>
      <c r="I149" s="2002">
        <f t="shared" si="13"/>
        <v>0</v>
      </c>
      <c r="J149" s="1620"/>
      <c r="K149" s="1621">
        <v>32</v>
      </c>
      <c r="M149" s="1623">
        <v>298652</v>
      </c>
    </row>
    <row r="150" spans="1:13" s="1622" customFormat="1" ht="25.5">
      <c r="A150" s="1627"/>
      <c r="B150" s="1935" t="s">
        <v>1893</v>
      </c>
      <c r="C150" s="2161" t="s">
        <v>930</v>
      </c>
      <c r="D150" s="1935" t="s">
        <v>51</v>
      </c>
      <c r="E150" s="1936">
        <f t="shared" si="14"/>
        <v>11.62</v>
      </c>
      <c r="F150" s="1648"/>
      <c r="G150" s="1648"/>
      <c r="H150" s="2002">
        <f t="shared" si="12"/>
        <v>0</v>
      </c>
      <c r="I150" s="2002">
        <f t="shared" si="13"/>
        <v>0</v>
      </c>
      <c r="J150" s="1620"/>
      <c r="K150" s="1621">
        <v>11.62</v>
      </c>
      <c r="M150" s="1623">
        <v>592686.00000000012</v>
      </c>
    </row>
    <row r="151" spans="1:13" s="1622" customFormat="1">
      <c r="A151" s="1627"/>
      <c r="B151" s="1935" t="s">
        <v>1894</v>
      </c>
      <c r="C151" s="2161" t="s">
        <v>931</v>
      </c>
      <c r="D151" s="2179" t="s">
        <v>51</v>
      </c>
      <c r="E151" s="1936">
        <f t="shared" si="14"/>
        <v>8.5399999999999991</v>
      </c>
      <c r="F151" s="1648"/>
      <c r="G151" s="1648"/>
      <c r="H151" s="2002">
        <f t="shared" si="12"/>
        <v>0</v>
      </c>
      <c r="I151" s="2002">
        <f t="shared" si="13"/>
        <v>0</v>
      </c>
      <c r="J151" s="1620"/>
      <c r="K151" s="1621">
        <v>8.5399999999999991</v>
      </c>
      <c r="M151" s="1623">
        <v>131575</v>
      </c>
    </row>
    <row r="152" spans="1:13" s="1622" customFormat="1">
      <c r="A152" s="1627"/>
      <c r="B152" s="1935" t="s">
        <v>1895</v>
      </c>
      <c r="C152" s="2188" t="s">
        <v>932</v>
      </c>
      <c r="D152" s="2179" t="s">
        <v>51</v>
      </c>
      <c r="E152" s="1936">
        <f t="shared" si="14"/>
        <v>10.199999999999999</v>
      </c>
      <c r="F152" s="1648"/>
      <c r="G152" s="1648"/>
      <c r="H152" s="2002">
        <f t="shared" si="12"/>
        <v>0</v>
      </c>
      <c r="I152" s="2002">
        <f t="shared" si="13"/>
        <v>0</v>
      </c>
      <c r="J152" s="1620"/>
      <c r="K152" s="1621">
        <v>10.199999999999999</v>
      </c>
      <c r="M152" s="1623">
        <v>95240</v>
      </c>
    </row>
    <row r="153" spans="1:13" s="1622" customFormat="1">
      <c r="A153" s="1630">
        <v>200314</v>
      </c>
      <c r="B153" s="2160"/>
      <c r="C153" s="2161"/>
      <c r="D153" s="2179"/>
      <c r="E153" s="2169"/>
      <c r="F153" s="2063"/>
      <c r="G153" s="1648"/>
      <c r="H153" s="2002"/>
      <c r="I153" s="2002"/>
      <c r="J153" s="1620"/>
      <c r="K153" s="1621"/>
      <c r="M153" s="1645"/>
    </row>
    <row r="154" spans="1:13" s="1622" customFormat="1">
      <c r="A154" s="1631">
        <v>140404</v>
      </c>
      <c r="B154" s="2171"/>
      <c r="C154" s="2171"/>
      <c r="D154" s="2172"/>
      <c r="E154" s="2173"/>
      <c r="F154" s="2060" t="s">
        <v>2167</v>
      </c>
      <c r="G154" s="2062">
        <f>SUM(G134:G153)</f>
        <v>0</v>
      </c>
      <c r="H154" s="2002"/>
      <c r="I154" s="2002"/>
      <c r="J154" s="1620"/>
      <c r="K154" s="1621"/>
      <c r="M154" s="2056" t="s">
        <v>2167</v>
      </c>
    </row>
    <row r="155" spans="1:13" s="1622" customFormat="1">
      <c r="A155" s="1632"/>
      <c r="B155" s="2179"/>
      <c r="C155" s="2188"/>
      <c r="D155" s="1935"/>
      <c r="E155" s="1936"/>
      <c r="F155" s="1648"/>
      <c r="G155" s="1648"/>
      <c r="H155" s="2002"/>
      <c r="I155" s="2002"/>
      <c r="J155" s="1620"/>
      <c r="K155" s="1621"/>
      <c r="M155" s="1623"/>
    </row>
    <row r="156" spans="1:13" s="1622" customFormat="1" ht="23.1" customHeight="1">
      <c r="A156" s="1620"/>
      <c r="B156" s="2189"/>
      <c r="C156" s="2166"/>
      <c r="D156" s="2175"/>
      <c r="E156" s="2176"/>
      <c r="F156" s="2061" t="s">
        <v>972</v>
      </c>
      <c r="G156" s="2058">
        <f>+G154+G132</f>
        <v>0</v>
      </c>
      <c r="H156" s="2002"/>
      <c r="I156" s="2002"/>
      <c r="J156" s="1620"/>
      <c r="K156" s="1621"/>
      <c r="M156" s="2056" t="s">
        <v>972</v>
      </c>
    </row>
    <row r="157" spans="1:13" s="1622" customFormat="1" ht="15" hidden="1" customHeight="1">
      <c r="A157" s="1626" t="s">
        <v>40</v>
      </c>
      <c r="B157" s="2157"/>
      <c r="C157" s="1939" t="s">
        <v>477</v>
      </c>
      <c r="D157" s="2190"/>
      <c r="E157" s="2169"/>
      <c r="F157" s="2064"/>
      <c r="G157" s="2064"/>
      <c r="H157" s="2002"/>
      <c r="I157" s="2002"/>
      <c r="J157" s="1620"/>
      <c r="K157" s="1621"/>
      <c r="M157" s="1623"/>
    </row>
    <row r="158" spans="1:13" s="1622" customFormat="1">
      <c r="A158" s="1633">
        <v>301305</v>
      </c>
      <c r="B158" s="2160"/>
      <c r="C158" s="2161"/>
      <c r="D158" s="2191"/>
      <c r="E158" s="2192"/>
      <c r="F158" s="2064"/>
      <c r="G158" s="2064"/>
      <c r="H158" s="2002"/>
      <c r="I158" s="2002"/>
      <c r="J158" s="1620"/>
      <c r="K158" s="1621"/>
      <c r="M158" s="1623"/>
    </row>
    <row r="159" spans="1:13" s="1622" customFormat="1">
      <c r="A159" s="1634"/>
      <c r="B159" s="2157">
        <v>6</v>
      </c>
      <c r="C159" s="1939" t="s">
        <v>534</v>
      </c>
      <c r="D159" s="2193"/>
      <c r="E159" s="2159"/>
      <c r="F159" s="2057"/>
      <c r="G159" s="2057"/>
      <c r="H159" s="2002"/>
      <c r="I159" s="2002"/>
      <c r="J159" s="1620"/>
      <c r="K159" s="1621"/>
      <c r="M159" s="2005"/>
    </row>
    <row r="160" spans="1:13" s="1622" customFormat="1">
      <c r="A160" s="1634"/>
      <c r="B160" s="2184"/>
      <c r="C160" s="2194" t="s">
        <v>947</v>
      </c>
      <c r="D160" s="1956"/>
      <c r="E160" s="2165"/>
      <c r="F160" s="1650"/>
      <c r="G160" s="1650"/>
      <c r="H160" s="2002"/>
      <c r="I160" s="2002"/>
      <c r="J160" s="1620"/>
      <c r="K160" s="1621"/>
      <c r="M160" s="1623"/>
    </row>
    <row r="161" spans="1:13" s="1622" customFormat="1" ht="25.5">
      <c r="A161" s="1634"/>
      <c r="B161" s="2160" t="s">
        <v>1834</v>
      </c>
      <c r="C161" s="1934" t="s">
        <v>1789</v>
      </c>
      <c r="D161" s="1956" t="s">
        <v>51</v>
      </c>
      <c r="E161" s="1936">
        <f t="shared" ref="E161:E173" si="15">ROUND(K161,2)</f>
        <v>184.49</v>
      </c>
      <c r="F161" s="1648"/>
      <c r="G161" s="1648"/>
      <c r="H161" s="2002">
        <f t="shared" si="12"/>
        <v>0</v>
      </c>
      <c r="I161" s="2002">
        <f t="shared" si="13"/>
        <v>0</v>
      </c>
      <c r="J161" s="1620"/>
      <c r="K161" s="1621">
        <v>184.49</v>
      </c>
      <c r="M161" s="1623">
        <v>3000.0000000000005</v>
      </c>
    </row>
    <row r="162" spans="1:13" s="1622" customFormat="1" ht="25.5">
      <c r="A162" s="1634"/>
      <c r="B162" s="2160" t="s">
        <v>1863</v>
      </c>
      <c r="C162" s="1934" t="s">
        <v>1790</v>
      </c>
      <c r="D162" s="1956" t="s">
        <v>51</v>
      </c>
      <c r="E162" s="1936">
        <f t="shared" si="15"/>
        <v>184.49</v>
      </c>
      <c r="F162" s="1648"/>
      <c r="G162" s="1648"/>
      <c r="H162" s="2002">
        <f t="shared" si="12"/>
        <v>0</v>
      </c>
      <c r="I162" s="2002">
        <f t="shared" si="13"/>
        <v>0</v>
      </c>
      <c r="J162" s="1620"/>
      <c r="K162" s="1621">
        <v>184.49</v>
      </c>
      <c r="M162" s="1623">
        <v>6160</v>
      </c>
    </row>
    <row r="163" spans="1:13" s="1622" customFormat="1">
      <c r="A163" s="1634"/>
      <c r="B163" s="2160" t="s">
        <v>1818</v>
      </c>
      <c r="C163" s="2161" t="s">
        <v>1776</v>
      </c>
      <c r="D163" s="1935" t="s">
        <v>51</v>
      </c>
      <c r="E163" s="1936">
        <f t="shared" si="15"/>
        <v>41</v>
      </c>
      <c r="F163" s="1648"/>
      <c r="G163" s="1648"/>
      <c r="H163" s="2002">
        <f t="shared" si="12"/>
        <v>0</v>
      </c>
      <c r="I163" s="2002">
        <f t="shared" si="13"/>
        <v>0</v>
      </c>
      <c r="J163" s="1620"/>
      <c r="K163" s="1621">
        <v>41</v>
      </c>
      <c r="M163" s="1623">
        <v>12390.2</v>
      </c>
    </row>
    <row r="164" spans="1:13" s="1622" customFormat="1">
      <c r="A164" s="1634"/>
      <c r="B164" s="2160" t="s">
        <v>1835</v>
      </c>
      <c r="C164" s="1973" t="s">
        <v>1101</v>
      </c>
      <c r="D164" s="1956" t="s">
        <v>51</v>
      </c>
      <c r="E164" s="1936">
        <f t="shared" si="15"/>
        <v>81.94</v>
      </c>
      <c r="F164" s="1648"/>
      <c r="G164" s="1648"/>
      <c r="H164" s="2002">
        <f t="shared" si="12"/>
        <v>0</v>
      </c>
      <c r="I164" s="2002">
        <f t="shared" si="13"/>
        <v>0</v>
      </c>
      <c r="J164" s="1620"/>
      <c r="K164" s="1621">
        <v>81.94</v>
      </c>
      <c r="M164" s="1623">
        <v>5190</v>
      </c>
    </row>
    <row r="165" spans="1:13" s="1622" customFormat="1">
      <c r="A165" s="1634"/>
      <c r="B165" s="2160" t="s">
        <v>1836</v>
      </c>
      <c r="C165" s="2161" t="s">
        <v>1777</v>
      </c>
      <c r="D165" s="1935" t="s">
        <v>51</v>
      </c>
      <c r="E165" s="1936">
        <f t="shared" si="15"/>
        <v>327.75</v>
      </c>
      <c r="F165" s="1648"/>
      <c r="G165" s="1648"/>
      <c r="H165" s="2002">
        <f t="shared" si="12"/>
        <v>0</v>
      </c>
      <c r="I165" s="2002">
        <f t="shared" si="13"/>
        <v>0</v>
      </c>
      <c r="J165" s="1620"/>
      <c r="K165" s="1621">
        <v>327.75</v>
      </c>
      <c r="M165" s="1623">
        <v>14640.2</v>
      </c>
    </row>
    <row r="166" spans="1:13" s="1622" customFormat="1">
      <c r="A166" s="1634"/>
      <c r="B166" s="2160" t="s">
        <v>1837</v>
      </c>
      <c r="C166" s="2195" t="s">
        <v>941</v>
      </c>
      <c r="D166" s="1962" t="s">
        <v>51</v>
      </c>
      <c r="E166" s="1936">
        <f t="shared" si="15"/>
        <v>10.14</v>
      </c>
      <c r="F166" s="1648"/>
      <c r="G166" s="1648"/>
      <c r="H166" s="2002">
        <f t="shared" si="12"/>
        <v>0</v>
      </c>
      <c r="I166" s="2002">
        <f t="shared" si="13"/>
        <v>0</v>
      </c>
      <c r="J166" s="1620"/>
      <c r="K166" s="1621">
        <v>10.14</v>
      </c>
      <c r="M166" s="1623">
        <v>10530</v>
      </c>
    </row>
    <row r="167" spans="1:13" s="1622" customFormat="1">
      <c r="A167" s="1634"/>
      <c r="B167" s="2160" t="s">
        <v>1838</v>
      </c>
      <c r="C167" s="1973" t="s">
        <v>2174</v>
      </c>
      <c r="D167" s="1938" t="s">
        <v>2201</v>
      </c>
      <c r="E167" s="1936">
        <f t="shared" si="15"/>
        <v>57</v>
      </c>
      <c r="F167" s="1648"/>
      <c r="G167" s="1648"/>
      <c r="H167" s="2002">
        <f t="shared" si="12"/>
        <v>0</v>
      </c>
      <c r="I167" s="2002">
        <f t="shared" si="13"/>
        <v>0</v>
      </c>
      <c r="J167" s="1620"/>
      <c r="K167" s="1621">
        <v>57</v>
      </c>
      <c r="L167" s="1629"/>
      <c r="M167" s="1623">
        <v>19392</v>
      </c>
    </row>
    <row r="168" spans="1:13" s="1622" customFormat="1" ht="25.5">
      <c r="A168" s="1634"/>
      <c r="B168" s="2160" t="s">
        <v>1839</v>
      </c>
      <c r="C168" s="1941" t="s">
        <v>1792</v>
      </c>
      <c r="D168" s="1935" t="s">
        <v>51</v>
      </c>
      <c r="E168" s="1936">
        <f t="shared" si="15"/>
        <v>8.25</v>
      </c>
      <c r="F168" s="1648"/>
      <c r="G168" s="1648"/>
      <c r="H168" s="2002">
        <f t="shared" si="12"/>
        <v>0</v>
      </c>
      <c r="I168" s="2002">
        <f t="shared" si="13"/>
        <v>0</v>
      </c>
      <c r="J168" s="1620"/>
      <c r="K168" s="1621">
        <v>8.25</v>
      </c>
      <c r="M168" s="1623">
        <v>63050</v>
      </c>
    </row>
    <row r="169" spans="1:13" s="1622" customFormat="1">
      <c r="A169" s="1634"/>
      <c r="B169" s="2160" t="s">
        <v>1840</v>
      </c>
      <c r="C169" s="2196" t="s">
        <v>1778</v>
      </c>
      <c r="D169" s="1935" t="s">
        <v>51</v>
      </c>
      <c r="E169" s="1936">
        <f t="shared" si="15"/>
        <v>15.7</v>
      </c>
      <c r="F169" s="1648"/>
      <c r="G169" s="1648"/>
      <c r="H169" s="2002">
        <f t="shared" si="12"/>
        <v>0</v>
      </c>
      <c r="I169" s="2002">
        <f t="shared" si="13"/>
        <v>0</v>
      </c>
      <c r="J169" s="1620"/>
      <c r="K169" s="1621">
        <v>15.7</v>
      </c>
      <c r="M169" s="1623">
        <v>715478</v>
      </c>
    </row>
    <row r="170" spans="1:13" s="1622" customFormat="1">
      <c r="A170" s="1634"/>
      <c r="B170" s="2160" t="s">
        <v>1841</v>
      </c>
      <c r="C170" s="2161" t="s">
        <v>1779</v>
      </c>
      <c r="D170" s="1935" t="s">
        <v>51</v>
      </c>
      <c r="E170" s="1936">
        <f t="shared" si="15"/>
        <v>32.6</v>
      </c>
      <c r="F170" s="1648"/>
      <c r="G170" s="1648"/>
      <c r="H170" s="2002">
        <f t="shared" si="12"/>
        <v>0</v>
      </c>
      <c r="I170" s="2002">
        <f t="shared" si="13"/>
        <v>0</v>
      </c>
      <c r="J170" s="1620"/>
      <c r="K170" s="1621">
        <v>32.6</v>
      </c>
      <c r="M170" s="1623">
        <v>723877.99999999988</v>
      </c>
    </row>
    <row r="171" spans="1:13" s="1622" customFormat="1">
      <c r="A171" s="1634"/>
      <c r="B171" s="2160" t="s">
        <v>1842</v>
      </c>
      <c r="C171" s="2188" t="s">
        <v>1780</v>
      </c>
      <c r="D171" s="1935" t="s">
        <v>51</v>
      </c>
      <c r="E171" s="1936">
        <f t="shared" si="15"/>
        <v>8.8000000000000007</v>
      </c>
      <c r="F171" s="1648"/>
      <c r="G171" s="1648"/>
      <c r="H171" s="2002">
        <f t="shared" si="12"/>
        <v>0</v>
      </c>
      <c r="I171" s="2002">
        <f t="shared" si="13"/>
        <v>0</v>
      </c>
      <c r="J171" s="1620"/>
      <c r="K171" s="1621">
        <v>8.8000000000000007</v>
      </c>
      <c r="M171" s="1623">
        <v>715478</v>
      </c>
    </row>
    <row r="172" spans="1:13" s="1622" customFormat="1">
      <c r="A172" s="1634"/>
      <c r="B172" s="2160" t="s">
        <v>1828</v>
      </c>
      <c r="C172" s="2195" t="s">
        <v>522</v>
      </c>
      <c r="D172" s="1962" t="s">
        <v>1140</v>
      </c>
      <c r="E172" s="1936">
        <f t="shared" si="15"/>
        <v>6877.81</v>
      </c>
      <c r="F172" s="1648"/>
      <c r="G172" s="1648"/>
      <c r="H172" s="2002">
        <f t="shared" si="12"/>
        <v>0</v>
      </c>
      <c r="I172" s="2002">
        <f t="shared" si="13"/>
        <v>0</v>
      </c>
      <c r="J172" s="1620"/>
      <c r="K172" s="1621">
        <v>6877.81</v>
      </c>
      <c r="M172" s="1623">
        <v>3584</v>
      </c>
    </row>
    <row r="173" spans="1:13" s="1622" customFormat="1">
      <c r="A173" s="1634"/>
      <c r="B173" s="2160" t="s">
        <v>1844</v>
      </c>
      <c r="C173" s="1973" t="s">
        <v>508</v>
      </c>
      <c r="D173" s="1962" t="s">
        <v>1141</v>
      </c>
      <c r="E173" s="1936">
        <f t="shared" si="15"/>
        <v>45.5</v>
      </c>
      <c r="F173" s="1648"/>
      <c r="G173" s="1648"/>
      <c r="H173" s="2002">
        <f t="shared" si="12"/>
        <v>0</v>
      </c>
      <c r="I173" s="2002">
        <f t="shared" si="13"/>
        <v>0</v>
      </c>
      <c r="J173" s="1620"/>
      <c r="K173" s="1621">
        <v>45.5</v>
      </c>
      <c r="M173" s="1623">
        <v>27799</v>
      </c>
    </row>
    <row r="174" spans="1:13" s="1622" customFormat="1">
      <c r="A174" s="1634"/>
      <c r="B174" s="2160"/>
      <c r="C174" s="2161"/>
      <c r="D174" s="2179"/>
      <c r="E174" s="2169"/>
      <c r="F174" s="2063"/>
      <c r="G174" s="1648"/>
      <c r="H174" s="2002"/>
      <c r="I174" s="2002"/>
      <c r="J174" s="1620"/>
      <c r="K174" s="1621"/>
      <c r="M174" s="1645"/>
    </row>
    <row r="175" spans="1:13" s="1622" customFormat="1">
      <c r="A175" s="1634"/>
      <c r="B175" s="2171"/>
      <c r="C175" s="2197"/>
      <c r="D175" s="2172"/>
      <c r="E175" s="2173"/>
      <c r="F175" s="2060" t="s">
        <v>969</v>
      </c>
      <c r="G175" s="2060">
        <f>SUM(G161:G174)</f>
        <v>0</v>
      </c>
      <c r="H175" s="2002"/>
      <c r="I175" s="2002"/>
      <c r="J175" s="1620"/>
      <c r="K175" s="1621"/>
      <c r="M175" s="2056" t="s">
        <v>969</v>
      </c>
    </row>
    <row r="176" spans="1:13" s="1622" customFormat="1">
      <c r="A176" s="1634"/>
      <c r="B176" s="2160"/>
      <c r="C176" s="2188"/>
      <c r="D176" s="2179"/>
      <c r="E176" s="2169"/>
      <c r="F176" s="2063"/>
      <c r="G176" s="1648"/>
      <c r="H176" s="2002"/>
      <c r="I176" s="2002"/>
      <c r="J176" s="1620"/>
      <c r="K176" s="1621"/>
      <c r="M176" s="1645"/>
    </row>
    <row r="177" spans="1:13" s="1622" customFormat="1">
      <c r="A177" s="1627"/>
      <c r="B177" s="2160"/>
      <c r="C177" s="2167" t="s">
        <v>2168</v>
      </c>
      <c r="D177" s="1935"/>
      <c r="E177" s="1936"/>
      <c r="F177" s="1648"/>
      <c r="G177" s="1648"/>
      <c r="H177" s="2002"/>
      <c r="I177" s="2002"/>
      <c r="J177" s="1620"/>
      <c r="K177" s="1621"/>
      <c r="M177" s="1623"/>
    </row>
    <row r="178" spans="1:13" s="1622" customFormat="1">
      <c r="A178" s="1634"/>
      <c r="B178" s="2180" t="s">
        <v>1896</v>
      </c>
      <c r="C178" s="2195" t="s">
        <v>904</v>
      </c>
      <c r="D178" s="1962" t="s">
        <v>579</v>
      </c>
      <c r="E178" s="1936">
        <f t="shared" ref="E178:E185" si="16">ROUND(K178,2)</f>
        <v>8</v>
      </c>
      <c r="F178" s="1648"/>
      <c r="G178" s="1648"/>
      <c r="H178" s="2002">
        <f t="shared" si="12"/>
        <v>0</v>
      </c>
      <c r="I178" s="2002">
        <f t="shared" si="13"/>
        <v>0</v>
      </c>
      <c r="J178" s="1620"/>
      <c r="K178" s="1621">
        <v>8</v>
      </c>
      <c r="M178" s="1623">
        <v>15064.98</v>
      </c>
    </row>
    <row r="179" spans="1:13" s="1622" customFormat="1">
      <c r="A179" s="1634"/>
      <c r="B179" s="2180" t="s">
        <v>1897</v>
      </c>
      <c r="C179" s="1973" t="s">
        <v>1765</v>
      </c>
      <c r="D179" s="1962" t="s">
        <v>579</v>
      </c>
      <c r="E179" s="1936">
        <f t="shared" si="16"/>
        <v>4</v>
      </c>
      <c r="F179" s="1648"/>
      <c r="G179" s="1648"/>
      <c r="H179" s="2002">
        <f t="shared" si="12"/>
        <v>0</v>
      </c>
      <c r="I179" s="2002">
        <f t="shared" si="13"/>
        <v>0</v>
      </c>
      <c r="J179" s="1620"/>
      <c r="K179" s="1621">
        <v>4</v>
      </c>
      <c r="M179" s="1623">
        <v>17282.36</v>
      </c>
    </row>
    <row r="180" spans="1:13" s="1622" customFormat="1">
      <c r="A180" s="1634"/>
      <c r="B180" s="2180" t="s">
        <v>1898</v>
      </c>
      <c r="C180" s="2195" t="s">
        <v>895</v>
      </c>
      <c r="D180" s="1962" t="s">
        <v>579</v>
      </c>
      <c r="E180" s="1936">
        <f t="shared" si="16"/>
        <v>4</v>
      </c>
      <c r="F180" s="1648"/>
      <c r="G180" s="1648"/>
      <c r="H180" s="2002">
        <f t="shared" ref="H180:H236" si="17">+ROUND(F180*0.9,0)</f>
        <v>0</v>
      </c>
      <c r="I180" s="2002">
        <f t="shared" ref="I180:I236" si="18">+ROUND(F180*1.1,0)</f>
        <v>0</v>
      </c>
      <c r="J180" s="1620"/>
      <c r="K180" s="1621">
        <v>4</v>
      </c>
      <c r="M180" s="1623">
        <v>20061.98</v>
      </c>
    </row>
    <row r="181" spans="1:13" s="1622" customFormat="1">
      <c r="A181" s="1634"/>
      <c r="B181" s="2180" t="s">
        <v>1899</v>
      </c>
      <c r="C181" s="1973" t="s">
        <v>1026</v>
      </c>
      <c r="D181" s="1962" t="s">
        <v>579</v>
      </c>
      <c r="E181" s="1936">
        <f t="shared" si="16"/>
        <v>2</v>
      </c>
      <c r="F181" s="1648"/>
      <c r="G181" s="1648"/>
      <c r="H181" s="2002">
        <f t="shared" si="17"/>
        <v>0</v>
      </c>
      <c r="I181" s="2002">
        <f t="shared" si="18"/>
        <v>0</v>
      </c>
      <c r="J181" s="1620"/>
      <c r="K181" s="1621">
        <v>2</v>
      </c>
      <c r="M181" s="1623">
        <v>1621796</v>
      </c>
    </row>
    <row r="182" spans="1:13" s="1622" customFormat="1">
      <c r="A182" s="1634"/>
      <c r="B182" s="2180" t="s">
        <v>1900</v>
      </c>
      <c r="C182" s="1973" t="s">
        <v>1027</v>
      </c>
      <c r="D182" s="1962" t="s">
        <v>579</v>
      </c>
      <c r="E182" s="1936">
        <f t="shared" si="16"/>
        <v>4</v>
      </c>
      <c r="F182" s="1648"/>
      <c r="G182" s="1648"/>
      <c r="H182" s="2002">
        <f t="shared" si="17"/>
        <v>0</v>
      </c>
      <c r="I182" s="2002">
        <f t="shared" si="18"/>
        <v>0</v>
      </c>
      <c r="J182" s="1620"/>
      <c r="K182" s="1621">
        <v>4</v>
      </c>
      <c r="M182" s="1623">
        <v>913628</v>
      </c>
    </row>
    <row r="183" spans="1:13" s="1622" customFormat="1">
      <c r="A183" s="1634"/>
      <c r="B183" s="2180" t="s">
        <v>1901</v>
      </c>
      <c r="C183" s="1973" t="s">
        <v>1007</v>
      </c>
      <c r="D183" s="1962" t="s">
        <v>2194</v>
      </c>
      <c r="E183" s="1936">
        <f t="shared" si="16"/>
        <v>1</v>
      </c>
      <c r="F183" s="1648"/>
      <c r="G183" s="1648"/>
      <c r="H183" s="2002">
        <f t="shared" si="17"/>
        <v>0</v>
      </c>
      <c r="I183" s="2002">
        <f t="shared" si="18"/>
        <v>0</v>
      </c>
      <c r="J183" s="1620"/>
      <c r="K183" s="1621">
        <v>1</v>
      </c>
      <c r="M183" s="1645">
        <v>628300</v>
      </c>
    </row>
    <row r="184" spans="1:13" s="1622" customFormat="1" ht="38.25">
      <c r="A184" s="1634"/>
      <c r="B184" s="2180" t="s">
        <v>1877</v>
      </c>
      <c r="C184" s="1973" t="s">
        <v>2184</v>
      </c>
      <c r="D184" s="1962" t="s">
        <v>579</v>
      </c>
      <c r="E184" s="1936">
        <f t="shared" si="16"/>
        <v>1</v>
      </c>
      <c r="F184" s="1648"/>
      <c r="G184" s="1648"/>
      <c r="H184" s="2002">
        <f t="shared" si="17"/>
        <v>0</v>
      </c>
      <c r="I184" s="2002">
        <f t="shared" si="18"/>
        <v>0</v>
      </c>
      <c r="J184" s="1620"/>
      <c r="K184" s="1621">
        <v>1</v>
      </c>
      <c r="M184" s="1645">
        <v>520091</v>
      </c>
    </row>
    <row r="185" spans="1:13" s="1622" customFormat="1" ht="38.25">
      <c r="A185" s="1630">
        <v>200314</v>
      </c>
      <c r="B185" s="2180" t="s">
        <v>1902</v>
      </c>
      <c r="C185" s="2198" t="s">
        <v>2187</v>
      </c>
      <c r="D185" s="1962" t="s">
        <v>579</v>
      </c>
      <c r="E185" s="1936">
        <f t="shared" si="16"/>
        <v>4</v>
      </c>
      <c r="F185" s="1648"/>
      <c r="G185" s="1648"/>
      <c r="H185" s="2002">
        <f t="shared" si="17"/>
        <v>0</v>
      </c>
      <c r="I185" s="2002">
        <f t="shared" si="18"/>
        <v>0</v>
      </c>
      <c r="J185" s="1620"/>
      <c r="K185" s="1621">
        <v>4</v>
      </c>
      <c r="M185" s="1645">
        <v>580991</v>
      </c>
    </row>
    <row r="186" spans="1:13" s="1622" customFormat="1">
      <c r="A186" s="1631">
        <v>140404</v>
      </c>
      <c r="B186" s="2166"/>
      <c r="C186" s="2166"/>
      <c r="D186" s="2175"/>
      <c r="E186" s="2176"/>
      <c r="F186" s="2061" t="s">
        <v>2166</v>
      </c>
      <c r="G186" s="2061">
        <f>SUM(G178:G185)</f>
        <v>0</v>
      </c>
      <c r="H186" s="2002"/>
      <c r="I186" s="2002"/>
      <c r="J186" s="1620"/>
      <c r="K186" s="1621"/>
      <c r="M186" s="2056" t="s">
        <v>2166</v>
      </c>
    </row>
    <row r="187" spans="1:13" s="1620" customFormat="1">
      <c r="A187" s="1635"/>
      <c r="B187" s="1973"/>
      <c r="C187" s="1973"/>
      <c r="D187" s="1956"/>
      <c r="E187" s="2165"/>
      <c r="F187" s="2059"/>
      <c r="G187" s="2059"/>
      <c r="H187" s="2002"/>
      <c r="I187" s="2002"/>
      <c r="K187" s="1636"/>
      <c r="M187" s="2056"/>
    </row>
    <row r="188" spans="1:13" s="1622" customFormat="1">
      <c r="A188" s="1634"/>
      <c r="B188" s="2189"/>
      <c r="C188" s="2166"/>
      <c r="D188" s="2175"/>
      <c r="E188" s="2176"/>
      <c r="F188" s="2061" t="s">
        <v>1519</v>
      </c>
      <c r="G188" s="2058">
        <f>+G186+G175</f>
        <v>0</v>
      </c>
      <c r="H188" s="2002"/>
      <c r="I188" s="2002"/>
      <c r="J188" s="1620"/>
      <c r="K188" s="1621"/>
      <c r="M188" s="2056" t="s">
        <v>1519</v>
      </c>
    </row>
    <row r="189" spans="1:13" s="1622" customFormat="1">
      <c r="A189" s="1634"/>
      <c r="B189" s="2160"/>
      <c r="C189" s="2161"/>
      <c r="D189" s="2179"/>
      <c r="E189" s="2169"/>
      <c r="F189" s="2063"/>
      <c r="G189" s="1648"/>
      <c r="H189" s="2002"/>
      <c r="I189" s="2002"/>
      <c r="J189" s="1620"/>
      <c r="K189" s="1621"/>
      <c r="M189" s="1645"/>
    </row>
    <row r="190" spans="1:13" s="1622" customFormat="1" ht="15.75" hidden="1" customHeight="1" thickBot="1">
      <c r="A190" s="1626" t="s">
        <v>40</v>
      </c>
      <c r="B190" s="2157"/>
      <c r="C190" s="1939" t="s">
        <v>478</v>
      </c>
      <c r="D190" s="1935"/>
      <c r="E190" s="1936"/>
      <c r="F190" s="1648"/>
      <c r="G190" s="1648"/>
      <c r="H190" s="2002"/>
      <c r="I190" s="2002"/>
      <c r="J190" s="1620"/>
      <c r="K190" s="1621"/>
      <c r="M190" s="1623"/>
    </row>
    <row r="191" spans="1:13" s="1622" customFormat="1">
      <c r="A191" s="1627"/>
      <c r="B191" s="2157">
        <v>7</v>
      </c>
      <c r="C191" s="1939" t="s">
        <v>478</v>
      </c>
      <c r="D191" s="2157"/>
      <c r="E191" s="2159"/>
      <c r="F191" s="2057"/>
      <c r="G191" s="2060"/>
      <c r="H191" s="2002"/>
      <c r="I191" s="2002"/>
      <c r="J191" s="1620"/>
      <c r="K191" s="1621"/>
      <c r="M191" s="2005"/>
    </row>
    <row r="192" spans="1:13" s="1622" customFormat="1">
      <c r="A192" s="1627"/>
      <c r="B192" s="2160"/>
      <c r="C192" s="2167" t="s">
        <v>947</v>
      </c>
      <c r="D192" s="1935"/>
      <c r="E192" s="1936"/>
      <c r="F192" s="1648"/>
      <c r="G192" s="1648"/>
      <c r="H192" s="2002"/>
      <c r="I192" s="2002"/>
      <c r="J192" s="1620"/>
      <c r="K192" s="1621"/>
      <c r="M192" s="1623"/>
    </row>
    <row r="193" spans="1:13" s="1622" customFormat="1" ht="25.5">
      <c r="A193" s="1627"/>
      <c r="B193" s="2160" t="s">
        <v>1834</v>
      </c>
      <c r="C193" s="1934" t="s">
        <v>1789</v>
      </c>
      <c r="D193" s="1956" t="s">
        <v>51</v>
      </c>
      <c r="E193" s="1936">
        <f t="shared" ref="E193:E208" si="19">ROUND(K193,2)</f>
        <v>1224.0899999999999</v>
      </c>
      <c r="F193" s="1648"/>
      <c r="G193" s="1648"/>
      <c r="H193" s="2002">
        <f t="shared" si="17"/>
        <v>0</v>
      </c>
      <c r="I193" s="2002">
        <f t="shared" si="18"/>
        <v>0</v>
      </c>
      <c r="J193" s="1620"/>
      <c r="K193" s="1621">
        <v>1224.0899999999999</v>
      </c>
      <c r="M193" s="1623">
        <v>3000.0000000000005</v>
      </c>
    </row>
    <row r="194" spans="1:13" s="1622" customFormat="1" ht="25.5">
      <c r="A194" s="1627"/>
      <c r="B194" s="2160" t="s">
        <v>1863</v>
      </c>
      <c r="C194" s="1934" t="s">
        <v>1790</v>
      </c>
      <c r="D194" s="1956" t="s">
        <v>51</v>
      </c>
      <c r="E194" s="1936">
        <f t="shared" si="19"/>
        <v>524.61</v>
      </c>
      <c r="F194" s="1648"/>
      <c r="G194" s="1648"/>
      <c r="H194" s="2002">
        <f t="shared" si="17"/>
        <v>0</v>
      </c>
      <c r="I194" s="2002">
        <f t="shared" si="18"/>
        <v>0</v>
      </c>
      <c r="J194" s="1620"/>
      <c r="K194" s="1621">
        <v>524.61</v>
      </c>
      <c r="M194" s="1623">
        <v>6160</v>
      </c>
    </row>
    <row r="195" spans="1:13" s="1622" customFormat="1">
      <c r="A195" s="1627"/>
      <c r="B195" s="2160" t="s">
        <v>1818</v>
      </c>
      <c r="C195" s="2161" t="s">
        <v>1776</v>
      </c>
      <c r="D195" s="1935" t="s">
        <v>51</v>
      </c>
      <c r="E195" s="1936">
        <f t="shared" si="19"/>
        <v>194.3</v>
      </c>
      <c r="F195" s="1648"/>
      <c r="G195" s="1648"/>
      <c r="H195" s="2002">
        <f t="shared" si="17"/>
        <v>0</v>
      </c>
      <c r="I195" s="2002">
        <f t="shared" si="18"/>
        <v>0</v>
      </c>
      <c r="J195" s="1620"/>
      <c r="K195" s="1621">
        <v>194.3</v>
      </c>
      <c r="M195" s="1623">
        <v>12390.2</v>
      </c>
    </row>
    <row r="196" spans="1:13" s="1622" customFormat="1">
      <c r="A196" s="1627"/>
      <c r="B196" s="2160" t="s">
        <v>1835</v>
      </c>
      <c r="C196" s="1973" t="s">
        <v>1101</v>
      </c>
      <c r="D196" s="1956" t="s">
        <v>51</v>
      </c>
      <c r="E196" s="1936">
        <f t="shared" si="19"/>
        <v>194.3</v>
      </c>
      <c r="F196" s="1648"/>
      <c r="G196" s="1648"/>
      <c r="H196" s="2002">
        <f t="shared" si="17"/>
        <v>0</v>
      </c>
      <c r="I196" s="2002">
        <f t="shared" si="18"/>
        <v>0</v>
      </c>
      <c r="J196" s="1620"/>
      <c r="K196" s="1621">
        <v>194.3</v>
      </c>
      <c r="M196" s="1623">
        <v>5190</v>
      </c>
    </row>
    <row r="197" spans="1:13" s="1622" customFormat="1">
      <c r="A197" s="1627"/>
      <c r="B197" s="2160" t="s">
        <v>1836</v>
      </c>
      <c r="C197" s="2161" t="s">
        <v>1777</v>
      </c>
      <c r="D197" s="1935" t="s">
        <v>51</v>
      </c>
      <c r="E197" s="1936">
        <f t="shared" si="19"/>
        <v>1748.7</v>
      </c>
      <c r="F197" s="1648"/>
      <c r="G197" s="1648"/>
      <c r="H197" s="2002">
        <f t="shared" si="17"/>
        <v>0</v>
      </c>
      <c r="I197" s="2002">
        <f t="shared" si="18"/>
        <v>0</v>
      </c>
      <c r="J197" s="1620"/>
      <c r="K197" s="1621">
        <v>1748.7</v>
      </c>
      <c r="M197" s="1623">
        <v>14640.2</v>
      </c>
    </row>
    <row r="198" spans="1:13" s="1622" customFormat="1">
      <c r="A198" s="1627"/>
      <c r="B198" s="2160" t="s">
        <v>1837</v>
      </c>
      <c r="C198" s="1973" t="s">
        <v>941</v>
      </c>
      <c r="D198" s="1962" t="s">
        <v>51</v>
      </c>
      <c r="E198" s="1936">
        <f t="shared" si="19"/>
        <v>10.3</v>
      </c>
      <c r="F198" s="1648"/>
      <c r="G198" s="1648"/>
      <c r="H198" s="2002">
        <f t="shared" si="17"/>
        <v>0</v>
      </c>
      <c r="I198" s="2002">
        <f t="shared" si="18"/>
        <v>0</v>
      </c>
      <c r="J198" s="1620"/>
      <c r="K198" s="1621">
        <v>10.3</v>
      </c>
      <c r="M198" s="1623">
        <v>10530</v>
      </c>
    </row>
    <row r="199" spans="1:13" s="1622" customFormat="1">
      <c r="A199" s="1627"/>
      <c r="B199" s="2160" t="s">
        <v>1838</v>
      </c>
      <c r="C199" s="1973" t="s">
        <v>2174</v>
      </c>
      <c r="D199" s="1962" t="s">
        <v>43</v>
      </c>
      <c r="E199" s="1936">
        <f t="shared" si="19"/>
        <v>645</v>
      </c>
      <c r="F199" s="1648"/>
      <c r="G199" s="1648"/>
      <c r="H199" s="2002">
        <f t="shared" si="17"/>
        <v>0</v>
      </c>
      <c r="I199" s="2002">
        <f t="shared" si="18"/>
        <v>0</v>
      </c>
      <c r="J199" s="1620"/>
      <c r="K199" s="1621">
        <v>645</v>
      </c>
      <c r="L199" s="1629"/>
      <c r="M199" s="1623">
        <v>19392</v>
      </c>
    </row>
    <row r="200" spans="1:13" s="1622" customFormat="1" ht="25.5">
      <c r="A200" s="1627"/>
      <c r="B200" s="2160" t="s">
        <v>1839</v>
      </c>
      <c r="C200" s="1941" t="s">
        <v>1792</v>
      </c>
      <c r="D200" s="1962" t="s">
        <v>51</v>
      </c>
      <c r="E200" s="1936">
        <f t="shared" si="19"/>
        <v>93.79</v>
      </c>
      <c r="F200" s="1648"/>
      <c r="G200" s="1648"/>
      <c r="H200" s="2002">
        <f t="shared" si="17"/>
        <v>0</v>
      </c>
      <c r="I200" s="2002">
        <f t="shared" si="18"/>
        <v>0</v>
      </c>
      <c r="J200" s="1620"/>
      <c r="K200" s="1621">
        <v>93.79</v>
      </c>
      <c r="M200" s="1623">
        <v>63050</v>
      </c>
    </row>
    <row r="201" spans="1:13" s="1622" customFormat="1" ht="25.5">
      <c r="A201" s="1633">
        <v>290304</v>
      </c>
      <c r="B201" s="2184" t="s">
        <v>1903</v>
      </c>
      <c r="C201" s="1973" t="s">
        <v>1783</v>
      </c>
      <c r="D201" s="1956" t="s">
        <v>51</v>
      </c>
      <c r="E201" s="1936">
        <f t="shared" si="19"/>
        <v>226.7</v>
      </c>
      <c r="F201" s="1648"/>
      <c r="G201" s="1648"/>
      <c r="H201" s="2002">
        <f t="shared" si="17"/>
        <v>0</v>
      </c>
      <c r="I201" s="2002">
        <f t="shared" si="18"/>
        <v>0</v>
      </c>
      <c r="J201" s="1620"/>
      <c r="K201" s="1621">
        <v>226.7</v>
      </c>
      <c r="M201" s="1623">
        <v>723878</v>
      </c>
    </row>
    <row r="202" spans="1:13" s="1622" customFormat="1">
      <c r="A202" s="1634"/>
      <c r="B202" s="2184" t="s">
        <v>1904</v>
      </c>
      <c r="C202" s="1973" t="s">
        <v>2177</v>
      </c>
      <c r="D202" s="1938" t="s">
        <v>2201</v>
      </c>
      <c r="E202" s="1936">
        <f t="shared" si="19"/>
        <v>922.12</v>
      </c>
      <c r="F202" s="1648"/>
      <c r="G202" s="1648"/>
      <c r="H202" s="2002">
        <f t="shared" si="17"/>
        <v>0</v>
      </c>
      <c r="I202" s="2002">
        <f t="shared" si="18"/>
        <v>0</v>
      </c>
      <c r="J202" s="1620"/>
      <c r="K202" s="1621">
        <v>922.12</v>
      </c>
      <c r="M202" s="1623">
        <v>30000</v>
      </c>
    </row>
    <row r="203" spans="1:13" s="1622" customFormat="1">
      <c r="A203" s="1631">
        <v>290430</v>
      </c>
      <c r="B203" s="2184" t="s">
        <v>1841</v>
      </c>
      <c r="C203" s="2161" t="s">
        <v>1779</v>
      </c>
      <c r="D203" s="1935" t="s">
        <v>51</v>
      </c>
      <c r="E203" s="1936">
        <f t="shared" si="19"/>
        <v>149</v>
      </c>
      <c r="F203" s="1648"/>
      <c r="G203" s="1648"/>
      <c r="H203" s="2002">
        <f t="shared" si="17"/>
        <v>0</v>
      </c>
      <c r="I203" s="2002">
        <f t="shared" si="18"/>
        <v>0</v>
      </c>
      <c r="J203" s="1620"/>
      <c r="K203" s="1621">
        <v>149</v>
      </c>
      <c r="M203" s="1623">
        <v>723877.99999999988</v>
      </c>
    </row>
    <row r="204" spans="1:13" s="1622" customFormat="1">
      <c r="A204" s="1634"/>
      <c r="B204" s="2184" t="s">
        <v>1905</v>
      </c>
      <c r="C204" s="2161" t="s">
        <v>2127</v>
      </c>
      <c r="D204" s="1935" t="s">
        <v>51</v>
      </c>
      <c r="E204" s="1936">
        <f t="shared" si="19"/>
        <v>90.2</v>
      </c>
      <c r="F204" s="1648"/>
      <c r="G204" s="1648"/>
      <c r="H204" s="2002">
        <f t="shared" si="17"/>
        <v>0</v>
      </c>
      <c r="I204" s="2002">
        <f t="shared" si="18"/>
        <v>0</v>
      </c>
      <c r="J204" s="1620"/>
      <c r="K204" s="1621">
        <v>90.2</v>
      </c>
      <c r="M204" s="1623">
        <v>715478</v>
      </c>
    </row>
    <row r="205" spans="1:13" s="1622" customFormat="1">
      <c r="A205" s="1634"/>
      <c r="B205" s="2184" t="s">
        <v>1906</v>
      </c>
      <c r="C205" s="2161" t="s">
        <v>1781</v>
      </c>
      <c r="D205" s="1935" t="s">
        <v>51</v>
      </c>
      <c r="E205" s="1936">
        <f t="shared" si="19"/>
        <v>3.6</v>
      </c>
      <c r="F205" s="1648"/>
      <c r="G205" s="1648"/>
      <c r="H205" s="2002">
        <f t="shared" si="17"/>
        <v>0</v>
      </c>
      <c r="I205" s="2002">
        <f t="shared" si="18"/>
        <v>0</v>
      </c>
      <c r="J205" s="1620"/>
      <c r="K205" s="1621">
        <v>3.6</v>
      </c>
      <c r="M205" s="1623">
        <v>715478</v>
      </c>
    </row>
    <row r="206" spans="1:13" s="1622" customFormat="1">
      <c r="A206" s="1634"/>
      <c r="B206" s="2184" t="s">
        <v>1907</v>
      </c>
      <c r="C206" s="2161" t="s">
        <v>1782</v>
      </c>
      <c r="D206" s="1935" t="s">
        <v>51</v>
      </c>
      <c r="E206" s="1936">
        <f t="shared" si="19"/>
        <v>40.31</v>
      </c>
      <c r="F206" s="1648"/>
      <c r="G206" s="1648"/>
      <c r="H206" s="2002">
        <f t="shared" si="17"/>
        <v>0</v>
      </c>
      <c r="I206" s="2002">
        <f t="shared" si="18"/>
        <v>0</v>
      </c>
      <c r="J206" s="1620"/>
      <c r="K206" s="1621">
        <v>40.31</v>
      </c>
      <c r="M206" s="1623">
        <v>715478</v>
      </c>
    </row>
    <row r="207" spans="1:13" s="1622" customFormat="1">
      <c r="A207" s="1634"/>
      <c r="B207" s="2184" t="s">
        <v>1843</v>
      </c>
      <c r="C207" s="1973" t="s">
        <v>522</v>
      </c>
      <c r="D207" s="1962" t="s">
        <v>1140</v>
      </c>
      <c r="E207" s="1936">
        <f t="shared" si="19"/>
        <v>65167.76</v>
      </c>
      <c r="F207" s="1648"/>
      <c r="G207" s="1648"/>
      <c r="H207" s="2002">
        <f t="shared" si="17"/>
        <v>0</v>
      </c>
      <c r="I207" s="2002">
        <f t="shared" si="18"/>
        <v>0</v>
      </c>
      <c r="J207" s="1620"/>
      <c r="K207" s="1621">
        <v>65167.76</v>
      </c>
      <c r="M207" s="1623">
        <v>3584</v>
      </c>
    </row>
    <row r="208" spans="1:13" s="1622" customFormat="1">
      <c r="A208" s="1634"/>
      <c r="B208" s="2184" t="s">
        <v>1844</v>
      </c>
      <c r="C208" s="1973" t="s">
        <v>508</v>
      </c>
      <c r="D208" s="1962" t="s">
        <v>1141</v>
      </c>
      <c r="E208" s="1936">
        <f t="shared" si="19"/>
        <v>123</v>
      </c>
      <c r="F208" s="1648"/>
      <c r="G208" s="1648"/>
      <c r="H208" s="2002">
        <f t="shared" si="17"/>
        <v>0</v>
      </c>
      <c r="I208" s="2002">
        <f t="shared" si="18"/>
        <v>0</v>
      </c>
      <c r="J208" s="1620"/>
      <c r="K208" s="1621">
        <v>123</v>
      </c>
      <c r="M208" s="1623">
        <v>27799</v>
      </c>
    </row>
    <row r="209" spans="1:13" s="1622" customFormat="1">
      <c r="A209" s="1634"/>
      <c r="B209" s="2160"/>
      <c r="C209" s="2161"/>
      <c r="D209" s="1935"/>
      <c r="E209" s="2199"/>
      <c r="F209" s="1648"/>
      <c r="G209" s="2007"/>
      <c r="H209" s="2002"/>
      <c r="I209" s="2002"/>
      <c r="J209" s="1620"/>
      <c r="K209" s="1621"/>
      <c r="M209" s="1623"/>
    </row>
    <row r="210" spans="1:13" s="1622" customFormat="1" ht="13.5" thickBot="1">
      <c r="A210" s="1637" t="s">
        <v>46</v>
      </c>
      <c r="B210" s="2170"/>
      <c r="C210" s="2171"/>
      <c r="D210" s="2172"/>
      <c r="E210" s="2173"/>
      <c r="F210" s="2060" t="s">
        <v>479</v>
      </c>
      <c r="G210" s="2060">
        <f>SUM(G193:G209)</f>
        <v>0</v>
      </c>
      <c r="H210" s="2002"/>
      <c r="I210" s="2002"/>
      <c r="J210" s="1620"/>
      <c r="K210" s="1621"/>
      <c r="M210" s="2056" t="s">
        <v>479</v>
      </c>
    </row>
    <row r="211" spans="1:13" s="1622" customFormat="1" ht="15" hidden="1" customHeight="1">
      <c r="A211" s="1626" t="s">
        <v>40</v>
      </c>
      <c r="B211" s="2180"/>
      <c r="C211" s="1973"/>
      <c r="D211" s="1962"/>
      <c r="E211" s="2165"/>
      <c r="F211" s="2002">
        <v>38550</v>
      </c>
      <c r="G211" s="1648">
        <f t="shared" ref="G211" si="20">E211*F211</f>
        <v>0</v>
      </c>
      <c r="H211" s="2002"/>
      <c r="I211" s="2002"/>
      <c r="J211" s="1620"/>
      <c r="K211" s="1621"/>
      <c r="M211" s="1645">
        <v>38550</v>
      </c>
    </row>
    <row r="212" spans="1:13" s="1622" customFormat="1">
      <c r="A212" s="1627"/>
      <c r="B212" s="2184"/>
      <c r="C212" s="1973"/>
      <c r="D212" s="1962"/>
      <c r="E212" s="2165"/>
      <c r="F212" s="1650"/>
      <c r="G212" s="2007"/>
      <c r="H212" s="2002"/>
      <c r="I212" s="2002"/>
      <c r="J212" s="1620"/>
      <c r="K212" s="1621"/>
      <c r="M212" s="1623"/>
    </row>
    <row r="213" spans="1:13" s="1622" customFormat="1">
      <c r="A213" s="1627"/>
      <c r="B213" s="2160" t="s">
        <v>1908</v>
      </c>
      <c r="C213" s="2200" t="s">
        <v>1029</v>
      </c>
      <c r="D213" s="1962" t="s">
        <v>579</v>
      </c>
      <c r="E213" s="1936">
        <f t="shared" ref="E213:E236" si="21">ROUND(K213,2)</f>
        <v>2</v>
      </c>
      <c r="F213" s="1648"/>
      <c r="G213" s="1648"/>
      <c r="H213" s="2002">
        <f t="shared" si="17"/>
        <v>0</v>
      </c>
      <c r="I213" s="2002">
        <f t="shared" si="18"/>
        <v>0</v>
      </c>
      <c r="J213" s="1620"/>
      <c r="K213" s="1621">
        <v>2</v>
      </c>
      <c r="M213" s="1623">
        <v>1096084</v>
      </c>
    </row>
    <row r="214" spans="1:13" s="1622" customFormat="1">
      <c r="A214" s="1627"/>
      <c r="B214" s="2160" t="s">
        <v>1909</v>
      </c>
      <c r="C214" s="1973" t="s">
        <v>1744</v>
      </c>
      <c r="D214" s="1962" t="s">
        <v>579</v>
      </c>
      <c r="E214" s="1936">
        <f t="shared" si="21"/>
        <v>2</v>
      </c>
      <c r="F214" s="1648"/>
      <c r="G214" s="1648"/>
      <c r="H214" s="2002">
        <f t="shared" si="17"/>
        <v>0</v>
      </c>
      <c r="I214" s="2002">
        <f t="shared" si="18"/>
        <v>0</v>
      </c>
      <c r="J214" s="1620"/>
      <c r="K214" s="1621">
        <v>2</v>
      </c>
      <c r="M214" s="1623">
        <v>568800</v>
      </c>
    </row>
    <row r="215" spans="1:13" s="1622" customFormat="1" ht="63.75">
      <c r="A215" s="1627"/>
      <c r="B215" s="2160" t="s">
        <v>1910</v>
      </c>
      <c r="C215" s="1941" t="s">
        <v>2195</v>
      </c>
      <c r="D215" s="1962" t="s">
        <v>579</v>
      </c>
      <c r="E215" s="1936">
        <f t="shared" si="21"/>
        <v>2</v>
      </c>
      <c r="F215" s="1648"/>
      <c r="G215" s="1648"/>
      <c r="H215" s="2002">
        <f t="shared" si="17"/>
        <v>0</v>
      </c>
      <c r="I215" s="2002">
        <f t="shared" si="18"/>
        <v>0</v>
      </c>
      <c r="J215" s="1620"/>
      <c r="K215" s="1621">
        <v>2</v>
      </c>
      <c r="M215" s="1623">
        <v>6935000</v>
      </c>
    </row>
    <row r="216" spans="1:13" s="1622" customFormat="1">
      <c r="A216" s="1627"/>
      <c r="B216" s="2160" t="s">
        <v>1911</v>
      </c>
      <c r="C216" s="1973" t="s">
        <v>1795</v>
      </c>
      <c r="D216" s="1962" t="s">
        <v>579</v>
      </c>
      <c r="E216" s="1936">
        <f t="shared" si="21"/>
        <v>2</v>
      </c>
      <c r="F216" s="1648"/>
      <c r="G216" s="1648"/>
      <c r="H216" s="2002">
        <f t="shared" si="17"/>
        <v>0</v>
      </c>
      <c r="I216" s="2002">
        <f t="shared" si="18"/>
        <v>0</v>
      </c>
      <c r="J216" s="1620"/>
      <c r="K216" s="1621">
        <v>2</v>
      </c>
      <c r="M216" s="1623">
        <v>823368</v>
      </c>
    </row>
    <row r="217" spans="1:13" s="1622" customFormat="1">
      <c r="A217" s="1627"/>
      <c r="B217" s="2160" t="s">
        <v>1912</v>
      </c>
      <c r="C217" s="2168" t="s">
        <v>1796</v>
      </c>
      <c r="D217" s="1962" t="s">
        <v>579</v>
      </c>
      <c r="E217" s="1936">
        <f t="shared" si="21"/>
        <v>2</v>
      </c>
      <c r="F217" s="1648"/>
      <c r="G217" s="1648"/>
      <c r="H217" s="2002">
        <f t="shared" si="17"/>
        <v>0</v>
      </c>
      <c r="I217" s="2002">
        <f t="shared" si="18"/>
        <v>0</v>
      </c>
      <c r="J217" s="1620"/>
      <c r="K217" s="1621">
        <v>2</v>
      </c>
      <c r="M217" s="1623">
        <v>104208.95999999999</v>
      </c>
    </row>
    <row r="218" spans="1:13" s="1622" customFormat="1">
      <c r="A218" s="1627"/>
      <c r="B218" s="2160" t="s">
        <v>1913</v>
      </c>
      <c r="C218" s="2168" t="s">
        <v>1797</v>
      </c>
      <c r="D218" s="1962" t="s">
        <v>579</v>
      </c>
      <c r="E218" s="1936">
        <f t="shared" si="21"/>
        <v>2</v>
      </c>
      <c r="F218" s="1648"/>
      <c r="G218" s="1648"/>
      <c r="H218" s="2002">
        <f t="shared" si="17"/>
        <v>0</v>
      </c>
      <c r="I218" s="2002">
        <f t="shared" si="18"/>
        <v>0</v>
      </c>
      <c r="J218" s="1620"/>
      <c r="K218" s="1621" t="s">
        <v>2131</v>
      </c>
      <c r="M218" s="1623">
        <v>1102312</v>
      </c>
    </row>
    <row r="219" spans="1:13" s="1622" customFormat="1">
      <c r="A219" s="1627"/>
      <c r="B219" s="2160" t="s">
        <v>1914</v>
      </c>
      <c r="C219" s="2168" t="s">
        <v>884</v>
      </c>
      <c r="D219" s="1962" t="s">
        <v>579</v>
      </c>
      <c r="E219" s="1936">
        <f t="shared" si="21"/>
        <v>2</v>
      </c>
      <c r="F219" s="1648"/>
      <c r="G219" s="1648"/>
      <c r="H219" s="2002">
        <f t="shared" si="17"/>
        <v>0</v>
      </c>
      <c r="I219" s="2002">
        <f t="shared" si="18"/>
        <v>0</v>
      </c>
      <c r="J219" s="1620"/>
      <c r="K219" s="1621">
        <v>2</v>
      </c>
      <c r="M219" s="1623">
        <v>1158872</v>
      </c>
    </row>
    <row r="220" spans="1:13" s="1622" customFormat="1">
      <c r="A220" s="1627"/>
      <c r="B220" s="2160" t="s">
        <v>1915</v>
      </c>
      <c r="C220" s="2168" t="s">
        <v>1798</v>
      </c>
      <c r="D220" s="1962" t="s">
        <v>579</v>
      </c>
      <c r="E220" s="1936">
        <f t="shared" si="21"/>
        <v>4</v>
      </c>
      <c r="F220" s="1648"/>
      <c r="G220" s="1648"/>
      <c r="H220" s="2002">
        <f t="shared" si="17"/>
        <v>0</v>
      </c>
      <c r="I220" s="2002">
        <f t="shared" si="18"/>
        <v>0</v>
      </c>
      <c r="J220" s="1620"/>
      <c r="K220" s="1621">
        <v>4</v>
      </c>
      <c r="M220" s="1623">
        <v>815600</v>
      </c>
    </row>
    <row r="221" spans="1:13" s="1622" customFormat="1">
      <c r="A221" s="1627"/>
      <c r="B221" s="2184" t="s">
        <v>1916</v>
      </c>
      <c r="C221" s="1973" t="s">
        <v>2155</v>
      </c>
      <c r="D221" s="1962" t="s">
        <v>579</v>
      </c>
      <c r="E221" s="1936">
        <f t="shared" si="21"/>
        <v>2</v>
      </c>
      <c r="F221" s="1648"/>
      <c r="G221" s="1648"/>
      <c r="H221" s="2002">
        <f t="shared" si="17"/>
        <v>0</v>
      </c>
      <c r="I221" s="2002">
        <f t="shared" si="18"/>
        <v>0</v>
      </c>
      <c r="J221" s="1620"/>
      <c r="K221" s="1621">
        <v>2</v>
      </c>
      <c r="M221" s="1623">
        <v>2640659</v>
      </c>
    </row>
    <row r="222" spans="1:13" s="1622" customFormat="1">
      <c r="A222" s="1627"/>
      <c r="B222" s="2160" t="s">
        <v>1917</v>
      </c>
      <c r="C222" s="2168" t="s">
        <v>999</v>
      </c>
      <c r="D222" s="1962" t="s">
        <v>579</v>
      </c>
      <c r="E222" s="1936">
        <f t="shared" si="21"/>
        <v>2</v>
      </c>
      <c r="F222" s="1648"/>
      <c r="G222" s="1648"/>
      <c r="H222" s="2002">
        <f t="shared" si="17"/>
        <v>0</v>
      </c>
      <c r="I222" s="2002">
        <f t="shared" si="18"/>
        <v>0</v>
      </c>
      <c r="J222" s="1620"/>
      <c r="K222" s="1621" t="s">
        <v>2131</v>
      </c>
      <c r="M222" s="1623">
        <v>1312432</v>
      </c>
    </row>
    <row r="223" spans="1:13" s="1622" customFormat="1">
      <c r="A223" s="1627"/>
      <c r="B223" s="2160" t="s">
        <v>1918</v>
      </c>
      <c r="C223" s="2200" t="s">
        <v>2156</v>
      </c>
      <c r="D223" s="1962" t="s">
        <v>579</v>
      </c>
      <c r="E223" s="1936">
        <f t="shared" si="21"/>
        <v>2</v>
      </c>
      <c r="F223" s="1648"/>
      <c r="G223" s="1648"/>
      <c r="H223" s="2002">
        <f t="shared" si="17"/>
        <v>0</v>
      </c>
      <c r="I223" s="2002">
        <f t="shared" si="18"/>
        <v>0</v>
      </c>
      <c r="J223" s="1620"/>
      <c r="K223" s="1621">
        <v>2</v>
      </c>
      <c r="M223" s="1623">
        <v>1621796</v>
      </c>
    </row>
    <row r="224" spans="1:13" s="1622" customFormat="1">
      <c r="A224" s="1627"/>
      <c r="B224" s="2160" t="s">
        <v>1919</v>
      </c>
      <c r="C224" s="1973" t="s">
        <v>1799</v>
      </c>
      <c r="D224" s="1962" t="s">
        <v>579</v>
      </c>
      <c r="E224" s="1936">
        <f t="shared" si="21"/>
        <v>2</v>
      </c>
      <c r="F224" s="1648"/>
      <c r="G224" s="1648"/>
      <c r="H224" s="2002">
        <f t="shared" si="17"/>
        <v>0</v>
      </c>
      <c r="I224" s="2002">
        <f t="shared" si="18"/>
        <v>0</v>
      </c>
      <c r="J224" s="1620"/>
      <c r="K224" s="1621">
        <v>2</v>
      </c>
      <c r="M224" s="1623">
        <v>1616432</v>
      </c>
    </row>
    <row r="225" spans="1:13" s="1622" customFormat="1">
      <c r="A225" s="1627"/>
      <c r="B225" s="2160" t="s">
        <v>1920</v>
      </c>
      <c r="C225" s="2168" t="s">
        <v>1423</v>
      </c>
      <c r="D225" s="1962" t="s">
        <v>579</v>
      </c>
      <c r="E225" s="1936">
        <f t="shared" si="21"/>
        <v>2</v>
      </c>
      <c r="F225" s="1648"/>
      <c r="G225" s="1648"/>
      <c r="H225" s="2002">
        <f t="shared" si="17"/>
        <v>0</v>
      </c>
      <c r="I225" s="2002">
        <f t="shared" si="18"/>
        <v>0</v>
      </c>
      <c r="J225" s="1620"/>
      <c r="K225" s="1621">
        <v>2</v>
      </c>
      <c r="M225" s="1623">
        <v>182000</v>
      </c>
    </row>
    <row r="226" spans="1:13" s="1622" customFormat="1">
      <c r="A226" s="1627"/>
      <c r="B226" s="2160" t="s">
        <v>1921</v>
      </c>
      <c r="C226" s="2168" t="s">
        <v>1429</v>
      </c>
      <c r="D226" s="1962" t="s">
        <v>579</v>
      </c>
      <c r="E226" s="1936">
        <f t="shared" si="21"/>
        <v>4</v>
      </c>
      <c r="F226" s="1648"/>
      <c r="G226" s="1648"/>
      <c r="H226" s="2002">
        <f t="shared" si="17"/>
        <v>0</v>
      </c>
      <c r="I226" s="2002">
        <f t="shared" si="18"/>
        <v>0</v>
      </c>
      <c r="J226" s="1620"/>
      <c r="K226" s="1621">
        <v>4</v>
      </c>
      <c r="M226" s="1623">
        <v>134806.90000000002</v>
      </c>
    </row>
    <row r="227" spans="1:13" s="1622" customFormat="1">
      <c r="A227" s="1627"/>
      <c r="B227" s="2160" t="s">
        <v>1922</v>
      </c>
      <c r="C227" s="2168" t="s">
        <v>1800</v>
      </c>
      <c r="D227" s="1962" t="s">
        <v>579</v>
      </c>
      <c r="E227" s="1936">
        <f t="shared" si="21"/>
        <v>2</v>
      </c>
      <c r="F227" s="1648"/>
      <c r="G227" s="1648"/>
      <c r="H227" s="2002">
        <f t="shared" si="17"/>
        <v>0</v>
      </c>
      <c r="I227" s="2002">
        <f t="shared" si="18"/>
        <v>0</v>
      </c>
      <c r="J227" s="1620"/>
      <c r="K227" s="1621">
        <v>2</v>
      </c>
      <c r="M227" s="1623">
        <v>87025.560000000012</v>
      </c>
    </row>
    <row r="228" spans="1:13" s="1622" customFormat="1">
      <c r="A228" s="1627"/>
      <c r="B228" s="2160" t="s">
        <v>1923</v>
      </c>
      <c r="C228" s="2168" t="s">
        <v>1766</v>
      </c>
      <c r="D228" s="1962" t="s">
        <v>1141</v>
      </c>
      <c r="E228" s="1936">
        <f t="shared" si="21"/>
        <v>6.4</v>
      </c>
      <c r="F228" s="1648"/>
      <c r="G228" s="1648"/>
      <c r="H228" s="2002">
        <f t="shared" si="17"/>
        <v>0</v>
      </c>
      <c r="I228" s="2002">
        <f t="shared" si="18"/>
        <v>0</v>
      </c>
      <c r="J228" s="1620"/>
      <c r="K228" s="1621">
        <v>6.4</v>
      </c>
      <c r="M228" s="1623">
        <v>91713.05</v>
      </c>
    </row>
    <row r="229" spans="1:13" s="1622" customFormat="1">
      <c r="A229" s="1627"/>
      <c r="B229" s="2160" t="s">
        <v>1924</v>
      </c>
      <c r="C229" s="2168" t="s">
        <v>1426</v>
      </c>
      <c r="D229" s="1962" t="s">
        <v>579</v>
      </c>
      <c r="E229" s="1936">
        <f t="shared" si="21"/>
        <v>1</v>
      </c>
      <c r="F229" s="1648"/>
      <c r="G229" s="1648"/>
      <c r="H229" s="2002">
        <f t="shared" si="17"/>
        <v>0</v>
      </c>
      <c r="I229" s="2002">
        <f t="shared" si="18"/>
        <v>0</v>
      </c>
      <c r="J229" s="1620"/>
      <c r="K229" s="1621">
        <v>1</v>
      </c>
      <c r="M229" s="1623">
        <v>175486</v>
      </c>
    </row>
    <row r="230" spans="1:13" s="1622" customFormat="1">
      <c r="A230" s="1627"/>
      <c r="B230" s="2160" t="s">
        <v>1925</v>
      </c>
      <c r="C230" s="2168" t="s">
        <v>1430</v>
      </c>
      <c r="D230" s="1962" t="s">
        <v>579</v>
      </c>
      <c r="E230" s="1936">
        <f t="shared" si="21"/>
        <v>3</v>
      </c>
      <c r="F230" s="1648"/>
      <c r="G230" s="1648"/>
      <c r="H230" s="2002">
        <f t="shared" si="17"/>
        <v>0</v>
      </c>
      <c r="I230" s="2002">
        <f t="shared" si="18"/>
        <v>0</v>
      </c>
      <c r="J230" s="1620"/>
      <c r="K230" s="1621">
        <v>3</v>
      </c>
      <c r="M230" s="1623">
        <v>165870</v>
      </c>
    </row>
    <row r="231" spans="1:13" s="1622" customFormat="1">
      <c r="A231" s="1627"/>
      <c r="B231" s="2160" t="s">
        <v>1926</v>
      </c>
      <c r="C231" s="2168" t="s">
        <v>1801</v>
      </c>
      <c r="D231" s="1962" t="s">
        <v>579</v>
      </c>
      <c r="E231" s="1936">
        <f t="shared" si="21"/>
        <v>12</v>
      </c>
      <c r="F231" s="1648"/>
      <c r="G231" s="1648"/>
      <c r="H231" s="2002">
        <f t="shared" si="17"/>
        <v>0</v>
      </c>
      <c r="I231" s="2002">
        <f t="shared" si="18"/>
        <v>0</v>
      </c>
      <c r="J231" s="1620"/>
      <c r="K231" s="1621">
        <v>12</v>
      </c>
      <c r="M231" s="1623">
        <v>13651.96</v>
      </c>
    </row>
    <row r="232" spans="1:13" s="1622" customFormat="1">
      <c r="A232" s="1627"/>
      <c r="B232" s="2160" t="s">
        <v>1896</v>
      </c>
      <c r="C232" s="2168" t="s">
        <v>904</v>
      </c>
      <c r="D232" s="1962" t="s">
        <v>579</v>
      </c>
      <c r="E232" s="1936">
        <f t="shared" si="21"/>
        <v>26</v>
      </c>
      <c r="F232" s="1648"/>
      <c r="G232" s="1648"/>
      <c r="H232" s="2002">
        <f t="shared" si="17"/>
        <v>0</v>
      </c>
      <c r="I232" s="2002">
        <f t="shared" si="18"/>
        <v>0</v>
      </c>
      <c r="J232" s="1620"/>
      <c r="K232" s="1621">
        <v>26</v>
      </c>
      <c r="M232" s="1623">
        <v>15064.98</v>
      </c>
    </row>
    <row r="233" spans="1:13" s="1622" customFormat="1">
      <c r="A233" s="1627"/>
      <c r="B233" s="2160" t="s">
        <v>1927</v>
      </c>
      <c r="C233" s="2168" t="s">
        <v>1432</v>
      </c>
      <c r="D233" s="1962" t="s">
        <v>579</v>
      </c>
      <c r="E233" s="1936">
        <f t="shared" si="21"/>
        <v>4</v>
      </c>
      <c r="F233" s="1648"/>
      <c r="G233" s="1648"/>
      <c r="H233" s="2002">
        <f t="shared" si="17"/>
        <v>0</v>
      </c>
      <c r="I233" s="2002">
        <f t="shared" si="18"/>
        <v>0</v>
      </c>
      <c r="J233" s="1620"/>
      <c r="K233" s="1621">
        <v>4</v>
      </c>
      <c r="M233" s="1623">
        <v>824876</v>
      </c>
    </row>
    <row r="234" spans="1:13" s="1622" customFormat="1">
      <c r="A234" s="1627"/>
      <c r="B234" s="2160" t="s">
        <v>1928</v>
      </c>
      <c r="C234" s="2168" t="s">
        <v>1433</v>
      </c>
      <c r="D234" s="1962" t="s">
        <v>579</v>
      </c>
      <c r="E234" s="1936">
        <f t="shared" si="21"/>
        <v>4</v>
      </c>
      <c r="F234" s="1648"/>
      <c r="G234" s="1648"/>
      <c r="H234" s="2002">
        <f t="shared" si="17"/>
        <v>0</v>
      </c>
      <c r="I234" s="2002">
        <f t="shared" si="18"/>
        <v>0</v>
      </c>
      <c r="J234" s="1620"/>
      <c r="K234" s="1621">
        <v>4</v>
      </c>
      <c r="M234" s="1623">
        <v>3649505.9999999995</v>
      </c>
    </row>
    <row r="235" spans="1:13" s="1622" customFormat="1" ht="25.5">
      <c r="A235" s="1627"/>
      <c r="B235" s="2160" t="s">
        <v>1871</v>
      </c>
      <c r="C235" s="2168" t="s">
        <v>1018</v>
      </c>
      <c r="D235" s="1962" t="s">
        <v>579</v>
      </c>
      <c r="E235" s="1936">
        <f t="shared" si="21"/>
        <v>42</v>
      </c>
      <c r="F235" s="1648"/>
      <c r="G235" s="1648"/>
      <c r="H235" s="2002">
        <f t="shared" si="17"/>
        <v>0</v>
      </c>
      <c r="I235" s="2002">
        <f t="shared" si="18"/>
        <v>0</v>
      </c>
      <c r="J235" s="1620"/>
      <c r="K235" s="1621">
        <v>42</v>
      </c>
      <c r="M235" s="1623">
        <v>30550</v>
      </c>
    </row>
    <row r="236" spans="1:13" s="1622" customFormat="1" ht="38.25">
      <c r="A236" s="1627"/>
      <c r="B236" s="2160" t="s">
        <v>1902</v>
      </c>
      <c r="C236" s="2200" t="s">
        <v>2178</v>
      </c>
      <c r="D236" s="1962" t="s">
        <v>579</v>
      </c>
      <c r="E236" s="1936">
        <f t="shared" si="21"/>
        <v>4</v>
      </c>
      <c r="F236" s="1648"/>
      <c r="G236" s="1648"/>
      <c r="H236" s="2002">
        <f t="shared" si="17"/>
        <v>0</v>
      </c>
      <c r="I236" s="2002">
        <f t="shared" si="18"/>
        <v>0</v>
      </c>
      <c r="J236" s="1620"/>
      <c r="K236" s="1621">
        <v>4</v>
      </c>
      <c r="M236" s="1623">
        <v>608400</v>
      </c>
    </row>
    <row r="237" spans="1:13" s="1622" customFormat="1">
      <c r="A237" s="1627"/>
      <c r="B237" s="2184"/>
      <c r="C237" s="1973"/>
      <c r="D237" s="1962"/>
      <c r="E237" s="2165"/>
      <c r="F237" s="1650"/>
      <c r="G237" s="2007"/>
      <c r="H237" s="2002"/>
      <c r="I237" s="2002"/>
      <c r="J237" s="1620"/>
      <c r="K237" s="1621"/>
      <c r="M237" s="1623"/>
    </row>
    <row r="238" spans="1:13" s="1622" customFormat="1">
      <c r="A238" s="1627"/>
      <c r="B238" s="2171"/>
      <c r="C238" s="2171"/>
      <c r="D238" s="2172"/>
      <c r="E238" s="2173"/>
      <c r="F238" s="2060" t="s">
        <v>2165</v>
      </c>
      <c r="G238" s="2060">
        <f>SUM(G213:G237)</f>
        <v>0</v>
      </c>
      <c r="H238" s="2002"/>
      <c r="I238" s="2002"/>
      <c r="J238" s="1620"/>
      <c r="K238" s="1621"/>
      <c r="M238" s="2056" t="s">
        <v>2165</v>
      </c>
    </row>
    <row r="239" spans="1:13" s="1622" customFormat="1">
      <c r="A239" s="1627"/>
      <c r="B239" s="2160"/>
      <c r="C239" s="2161"/>
      <c r="D239" s="1935"/>
      <c r="E239" s="2169"/>
      <c r="F239" s="1648"/>
      <c r="G239" s="2007"/>
      <c r="H239" s="2002"/>
      <c r="I239" s="2002"/>
      <c r="J239" s="1620"/>
      <c r="K239" s="1621"/>
      <c r="M239" s="1623"/>
    </row>
    <row r="240" spans="1:13" s="1622" customFormat="1">
      <c r="A240" s="1633" t="s">
        <v>82</v>
      </c>
      <c r="B240" s="2166"/>
      <c r="C240" s="2166"/>
      <c r="D240" s="2175"/>
      <c r="E240" s="2176"/>
      <c r="F240" s="2061" t="s">
        <v>971</v>
      </c>
      <c r="G240" s="2058">
        <f>+G238+G210</f>
        <v>0</v>
      </c>
      <c r="H240" s="2002"/>
      <c r="I240" s="2002"/>
      <c r="J240" s="1620"/>
      <c r="K240" s="1621"/>
      <c r="M240" s="2056" t="s">
        <v>971</v>
      </c>
    </row>
    <row r="241" spans="1:13" s="1622" customFormat="1">
      <c r="A241" s="1631">
        <v>210134</v>
      </c>
      <c r="B241" s="2179"/>
      <c r="C241" s="2161"/>
      <c r="D241" s="1946"/>
      <c r="E241" s="1951"/>
      <c r="F241" s="1648"/>
      <c r="G241" s="1648"/>
      <c r="H241" s="2002"/>
      <c r="I241" s="2002"/>
      <c r="J241" s="1620"/>
      <c r="K241" s="1621"/>
      <c r="M241" s="1623"/>
    </row>
    <row r="242" spans="1:13" s="1622" customFormat="1">
      <c r="A242" s="1634"/>
      <c r="B242" s="2157">
        <v>8</v>
      </c>
      <c r="C242" s="1942" t="s">
        <v>1023</v>
      </c>
      <c r="D242" s="2157"/>
      <c r="E242" s="2159"/>
      <c r="F242" s="2057"/>
      <c r="G242" s="2060"/>
      <c r="H242" s="2002"/>
      <c r="I242" s="2002"/>
      <c r="J242" s="1620"/>
      <c r="K242" s="1621"/>
      <c r="M242" s="2005"/>
    </row>
    <row r="243" spans="1:13" s="1622" customFormat="1">
      <c r="A243" s="1634"/>
      <c r="B243" s="2160"/>
      <c r="C243" s="2167" t="s">
        <v>947</v>
      </c>
      <c r="D243" s="1935"/>
      <c r="E243" s="1936"/>
      <c r="F243" s="1648"/>
      <c r="G243" s="1648"/>
      <c r="H243" s="2002"/>
      <c r="I243" s="2002"/>
      <c r="J243" s="1620"/>
      <c r="K243" s="1621"/>
      <c r="M243" s="1623"/>
    </row>
    <row r="244" spans="1:13" s="1622" customFormat="1" ht="25.5">
      <c r="A244" s="1634"/>
      <c r="B244" s="2160" t="s">
        <v>1834</v>
      </c>
      <c r="C244" s="1934" t="s">
        <v>1789</v>
      </c>
      <c r="D244" s="1935" t="s">
        <v>51</v>
      </c>
      <c r="E244" s="1936">
        <f t="shared" ref="E244:E249" si="22">ROUND(K244,2)</f>
        <v>184</v>
      </c>
      <c r="F244" s="1648"/>
      <c r="G244" s="1648"/>
      <c r="H244" s="2002">
        <f t="shared" ref="H244:H307" si="23">+ROUND(F244*0.9,0)</f>
        <v>0</v>
      </c>
      <c r="I244" s="2002">
        <f t="shared" ref="I244:I307" si="24">+ROUND(F244*1.1,0)</f>
        <v>0</v>
      </c>
      <c r="J244" s="1620"/>
      <c r="K244" s="1621">
        <v>184</v>
      </c>
      <c r="M244" s="1623">
        <v>3000.0000000000005</v>
      </c>
    </row>
    <row r="245" spans="1:13" s="1622" customFormat="1">
      <c r="A245" s="1634"/>
      <c r="B245" s="2160" t="s">
        <v>1837</v>
      </c>
      <c r="C245" s="1973" t="s">
        <v>941</v>
      </c>
      <c r="D245" s="1962" t="s">
        <v>51</v>
      </c>
      <c r="E245" s="1936">
        <f t="shared" si="22"/>
        <v>385</v>
      </c>
      <c r="F245" s="1648"/>
      <c r="G245" s="1648"/>
      <c r="H245" s="2002">
        <f t="shared" si="23"/>
        <v>0</v>
      </c>
      <c r="I245" s="2002">
        <f t="shared" si="24"/>
        <v>0</v>
      </c>
      <c r="J245" s="1620"/>
      <c r="K245" s="1621">
        <v>385</v>
      </c>
      <c r="L245" s="1620"/>
      <c r="M245" s="1623">
        <v>10530</v>
      </c>
    </row>
    <row r="246" spans="1:13" s="1622" customFormat="1">
      <c r="A246" s="1634"/>
      <c r="B246" s="2160" t="s">
        <v>1838</v>
      </c>
      <c r="C246" s="2161" t="s">
        <v>2174</v>
      </c>
      <c r="D246" s="2179" t="s">
        <v>43</v>
      </c>
      <c r="E246" s="1936">
        <f t="shared" si="22"/>
        <v>163</v>
      </c>
      <c r="F246" s="1648"/>
      <c r="G246" s="1648"/>
      <c r="H246" s="2002">
        <f t="shared" si="23"/>
        <v>0</v>
      </c>
      <c r="I246" s="2002">
        <f t="shared" si="24"/>
        <v>0</v>
      </c>
      <c r="J246" s="1620"/>
      <c r="K246" s="1621">
        <v>163</v>
      </c>
      <c r="L246" s="1639"/>
      <c r="M246" s="1623">
        <v>19392</v>
      </c>
    </row>
    <row r="247" spans="1:13" s="1622" customFormat="1" ht="25.5">
      <c r="A247" s="1634"/>
      <c r="B247" s="2160" t="s">
        <v>1839</v>
      </c>
      <c r="C247" s="1941" t="s">
        <v>1792</v>
      </c>
      <c r="D247" s="1962" t="s">
        <v>51</v>
      </c>
      <c r="E247" s="1936">
        <f t="shared" si="22"/>
        <v>24.45</v>
      </c>
      <c r="F247" s="1648"/>
      <c r="G247" s="1648"/>
      <c r="H247" s="2002">
        <f t="shared" si="23"/>
        <v>0</v>
      </c>
      <c r="I247" s="2002">
        <f t="shared" si="24"/>
        <v>0</v>
      </c>
      <c r="J247" s="1620"/>
      <c r="K247" s="1621">
        <v>24.45</v>
      </c>
      <c r="L247" s="1620"/>
      <c r="M247" s="1623">
        <v>63050</v>
      </c>
    </row>
    <row r="248" spans="1:13" s="1622" customFormat="1">
      <c r="A248" s="1634"/>
      <c r="B248" s="2160" t="s">
        <v>1929</v>
      </c>
      <c r="C248" s="2168" t="s">
        <v>2100</v>
      </c>
      <c r="D248" s="2190" t="s">
        <v>51</v>
      </c>
      <c r="E248" s="1936">
        <f t="shared" si="22"/>
        <v>44</v>
      </c>
      <c r="F248" s="1648"/>
      <c r="G248" s="1648"/>
      <c r="H248" s="2002">
        <f t="shared" si="23"/>
        <v>0</v>
      </c>
      <c r="I248" s="2002">
        <f t="shared" si="24"/>
        <v>0</v>
      </c>
      <c r="J248" s="1620"/>
      <c r="K248" s="1621">
        <v>44</v>
      </c>
      <c r="M248" s="1623">
        <v>715475</v>
      </c>
    </row>
    <row r="249" spans="1:13" s="1622" customFormat="1">
      <c r="A249" s="1634"/>
      <c r="B249" s="2160" t="s">
        <v>1841</v>
      </c>
      <c r="C249" s="2161" t="s">
        <v>1779</v>
      </c>
      <c r="D249" s="1935" t="s">
        <v>51</v>
      </c>
      <c r="E249" s="1936">
        <f t="shared" si="22"/>
        <v>15</v>
      </c>
      <c r="F249" s="1648"/>
      <c r="G249" s="1648"/>
      <c r="H249" s="2002">
        <f t="shared" si="23"/>
        <v>0</v>
      </c>
      <c r="I249" s="2002">
        <f t="shared" si="24"/>
        <v>0</v>
      </c>
      <c r="J249" s="1620"/>
      <c r="K249" s="1621">
        <v>15</v>
      </c>
      <c r="M249" s="1623">
        <v>723877.99999999988</v>
      </c>
    </row>
    <row r="250" spans="1:13" s="1622" customFormat="1">
      <c r="A250" s="1634"/>
      <c r="B250" s="2160"/>
      <c r="C250" s="2161"/>
      <c r="D250" s="1935"/>
      <c r="E250" s="2177"/>
      <c r="F250" s="1648"/>
      <c r="G250" s="1648"/>
      <c r="H250" s="2002"/>
      <c r="I250" s="2002"/>
      <c r="J250" s="1620"/>
      <c r="K250" s="1621"/>
      <c r="M250" s="1623"/>
    </row>
    <row r="251" spans="1:13" s="1622" customFormat="1">
      <c r="A251" s="1634"/>
      <c r="B251" s="2201"/>
      <c r="C251" s="2171"/>
      <c r="D251" s="2172"/>
      <c r="E251" s="2173"/>
      <c r="F251" s="2060" t="s">
        <v>1099</v>
      </c>
      <c r="G251" s="2060">
        <f>SUM(G244:G250)</f>
        <v>0</v>
      </c>
      <c r="H251" s="2002"/>
      <c r="I251" s="2002"/>
      <c r="J251" s="1620"/>
      <c r="K251" s="1621"/>
      <c r="M251" s="2056" t="s">
        <v>1099</v>
      </c>
    </row>
    <row r="252" spans="1:13" s="1622" customFormat="1">
      <c r="A252" s="1634"/>
      <c r="B252" s="2160"/>
      <c r="C252" s="2167" t="s">
        <v>2168</v>
      </c>
      <c r="D252" s="1935"/>
      <c r="E252" s="2177"/>
      <c r="F252" s="1648"/>
      <c r="G252" s="2007"/>
      <c r="H252" s="2002"/>
      <c r="I252" s="2002"/>
      <c r="J252" s="1620"/>
      <c r="K252" s="1621"/>
      <c r="M252" s="1623"/>
    </row>
    <row r="253" spans="1:13" s="1622" customFormat="1">
      <c r="A253" s="1634"/>
      <c r="B253" s="2160" t="s">
        <v>1828</v>
      </c>
      <c r="C253" s="2161" t="s">
        <v>522</v>
      </c>
      <c r="D253" s="2179" t="s">
        <v>1140</v>
      </c>
      <c r="E253" s="1936">
        <f t="shared" ref="E253:E260" si="25">ROUND(K253,2)</f>
        <v>5000</v>
      </c>
      <c r="F253" s="1648"/>
      <c r="G253" s="1648"/>
      <c r="H253" s="2002">
        <f t="shared" si="23"/>
        <v>0</v>
      </c>
      <c r="I253" s="2002">
        <f t="shared" si="24"/>
        <v>0</v>
      </c>
      <c r="J253" s="1620"/>
      <c r="K253" s="1621">
        <v>5000</v>
      </c>
      <c r="M253" s="1623">
        <v>3584</v>
      </c>
    </row>
    <row r="254" spans="1:13" s="1622" customFormat="1">
      <c r="A254" s="1634"/>
      <c r="B254" s="2160" t="s">
        <v>1844</v>
      </c>
      <c r="C254" s="2161" t="s">
        <v>1411</v>
      </c>
      <c r="D254" s="2179" t="s">
        <v>1141</v>
      </c>
      <c r="E254" s="1936">
        <f t="shared" si="25"/>
        <v>90</v>
      </c>
      <c r="F254" s="1648"/>
      <c r="G254" s="1648"/>
      <c r="H254" s="2002">
        <f t="shared" si="23"/>
        <v>0</v>
      </c>
      <c r="I254" s="2002">
        <f t="shared" si="24"/>
        <v>0</v>
      </c>
      <c r="J254" s="1620"/>
      <c r="K254" s="1621">
        <v>90</v>
      </c>
      <c r="M254" s="1623">
        <v>27799</v>
      </c>
    </row>
    <row r="255" spans="1:13" s="1622" customFormat="1" ht="29.25" customHeight="1">
      <c r="A255" s="1634"/>
      <c r="B255" s="2160" t="s">
        <v>1930</v>
      </c>
      <c r="C255" s="2168" t="s">
        <v>1102</v>
      </c>
      <c r="D255" s="1935" t="s">
        <v>579</v>
      </c>
      <c r="E255" s="1936">
        <f t="shared" si="25"/>
        <v>4</v>
      </c>
      <c r="F255" s="1648"/>
      <c r="G255" s="1648"/>
      <c r="H255" s="2002">
        <f t="shared" si="23"/>
        <v>0</v>
      </c>
      <c r="I255" s="2002">
        <f t="shared" si="24"/>
        <v>0</v>
      </c>
      <c r="J255" s="1620"/>
      <c r="K255" s="1621">
        <v>4</v>
      </c>
      <c r="M255" s="1623">
        <v>1302286</v>
      </c>
    </row>
    <row r="256" spans="1:13" s="1622" customFormat="1">
      <c r="A256" s="1634"/>
      <c r="B256" s="2160" t="s">
        <v>1931</v>
      </c>
      <c r="C256" s="2168" t="s">
        <v>1108</v>
      </c>
      <c r="D256" s="2179" t="s">
        <v>579</v>
      </c>
      <c r="E256" s="1936">
        <f t="shared" si="25"/>
        <v>12</v>
      </c>
      <c r="F256" s="1648"/>
      <c r="G256" s="1648"/>
      <c r="H256" s="2002">
        <f t="shared" si="23"/>
        <v>0</v>
      </c>
      <c r="I256" s="2002">
        <f t="shared" si="24"/>
        <v>0</v>
      </c>
      <c r="J256" s="1620"/>
      <c r="K256" s="1621">
        <v>12</v>
      </c>
      <c r="M256" s="1645">
        <v>42824</v>
      </c>
    </row>
    <row r="257" spans="1:13" s="1622" customFormat="1">
      <c r="A257" s="1634"/>
      <c r="B257" s="2160" t="s">
        <v>1932</v>
      </c>
      <c r="C257" s="2161" t="s">
        <v>1107</v>
      </c>
      <c r="D257" s="2191" t="s">
        <v>579</v>
      </c>
      <c r="E257" s="1936">
        <f t="shared" si="25"/>
        <v>28</v>
      </c>
      <c r="F257" s="1648"/>
      <c r="G257" s="1648"/>
      <c r="H257" s="2002">
        <f t="shared" si="23"/>
        <v>0</v>
      </c>
      <c r="I257" s="2002">
        <f t="shared" si="24"/>
        <v>0</v>
      </c>
      <c r="J257" s="1620"/>
      <c r="K257" s="1621">
        <v>28</v>
      </c>
      <c r="M257" s="1645">
        <v>20061.98</v>
      </c>
    </row>
    <row r="258" spans="1:13" s="1622" customFormat="1">
      <c r="A258" s="1634"/>
      <c r="B258" s="2160" t="s">
        <v>1933</v>
      </c>
      <c r="C258" s="2161" t="s">
        <v>1103</v>
      </c>
      <c r="D258" s="1946" t="s">
        <v>1141</v>
      </c>
      <c r="E258" s="1936">
        <f t="shared" si="25"/>
        <v>86</v>
      </c>
      <c r="F258" s="1648"/>
      <c r="G258" s="1648"/>
      <c r="H258" s="2002">
        <f t="shared" si="23"/>
        <v>0</v>
      </c>
      <c r="I258" s="2002">
        <f t="shared" si="24"/>
        <v>0</v>
      </c>
      <c r="J258" s="1620"/>
      <c r="K258" s="1621">
        <v>86</v>
      </c>
      <c r="M258" s="1623">
        <v>27722</v>
      </c>
    </row>
    <row r="259" spans="1:13" s="1622" customFormat="1">
      <c r="A259" s="1634"/>
      <c r="B259" s="2160" t="s">
        <v>1934</v>
      </c>
      <c r="C259" s="2168" t="s">
        <v>1106</v>
      </c>
      <c r="D259" s="2179" t="s">
        <v>51</v>
      </c>
      <c r="E259" s="1936">
        <f t="shared" si="25"/>
        <v>35</v>
      </c>
      <c r="F259" s="1648"/>
      <c r="G259" s="1648"/>
      <c r="H259" s="2002">
        <f t="shared" si="23"/>
        <v>0</v>
      </c>
      <c r="I259" s="2002">
        <f t="shared" si="24"/>
        <v>0</v>
      </c>
      <c r="J259" s="1620"/>
      <c r="K259" s="1621">
        <v>35</v>
      </c>
      <c r="M259" s="1645">
        <v>63050</v>
      </c>
    </row>
    <row r="260" spans="1:13" s="1622" customFormat="1">
      <c r="A260" s="1634"/>
      <c r="B260" s="2160" t="s">
        <v>1935</v>
      </c>
      <c r="C260" s="2168" t="s">
        <v>166</v>
      </c>
      <c r="D260" s="2179" t="s">
        <v>51</v>
      </c>
      <c r="E260" s="1936">
        <f t="shared" si="25"/>
        <v>30</v>
      </c>
      <c r="F260" s="1648"/>
      <c r="G260" s="1648"/>
      <c r="H260" s="2002">
        <f t="shared" si="23"/>
        <v>0</v>
      </c>
      <c r="I260" s="2002">
        <f t="shared" si="24"/>
        <v>0</v>
      </c>
      <c r="J260" s="1620"/>
      <c r="K260" s="1621">
        <v>30</v>
      </c>
      <c r="M260" s="1645">
        <v>63839.999999999985</v>
      </c>
    </row>
    <row r="261" spans="1:13" s="1622" customFormat="1" ht="12.75" customHeight="1">
      <c r="A261" s="1634"/>
      <c r="B261" s="1966"/>
      <c r="C261" s="2202" t="s">
        <v>2164</v>
      </c>
      <c r="D261" s="2202"/>
      <c r="E261" s="2202"/>
      <c r="F261" s="2115"/>
      <c r="G261" s="2057">
        <f>SUM(G253:G260)</f>
        <v>0</v>
      </c>
      <c r="H261" s="2002"/>
      <c r="I261" s="2002"/>
      <c r="J261" s="1620"/>
      <c r="K261" s="1621"/>
      <c r="M261" s="1625"/>
    </row>
    <row r="262" spans="1:13" s="1622" customFormat="1">
      <c r="A262" s="1634"/>
      <c r="B262" s="2179"/>
      <c r="C262" s="2161"/>
      <c r="D262" s="1946"/>
      <c r="E262" s="1951"/>
      <c r="F262" s="2007"/>
      <c r="G262" s="2007"/>
      <c r="H262" s="2002"/>
      <c r="I262" s="2002"/>
      <c r="J262" s="1620"/>
      <c r="K262" s="1621"/>
      <c r="M262" s="1645"/>
    </row>
    <row r="263" spans="1:13" s="1622" customFormat="1">
      <c r="A263" s="1634"/>
      <c r="B263" s="2203"/>
      <c r="C263" s="2204" t="s">
        <v>1024</v>
      </c>
      <c r="D263" s="2204"/>
      <c r="E263" s="2204"/>
      <c r="F263" s="2114"/>
      <c r="G263" s="2065">
        <f>+G261+G251</f>
        <v>0</v>
      </c>
      <c r="H263" s="2002"/>
      <c r="I263" s="2002"/>
      <c r="J263" s="1620"/>
      <c r="K263" s="1621"/>
      <c r="M263" s="1625"/>
    </row>
    <row r="264" spans="1:13" s="1622" customFormat="1">
      <c r="A264" s="1634"/>
      <c r="B264" s="2179"/>
      <c r="C264" s="2161"/>
      <c r="D264" s="1946"/>
      <c r="E264" s="1951"/>
      <c r="F264" s="2007"/>
      <c r="G264" s="2007"/>
      <c r="H264" s="2002"/>
      <c r="I264" s="2002"/>
      <c r="J264" s="1620"/>
      <c r="K264" s="1621"/>
      <c r="M264" s="1645"/>
    </row>
    <row r="265" spans="1:13" s="1622" customFormat="1" ht="14.25" customHeight="1">
      <c r="A265" s="1634"/>
      <c r="B265" s="2179">
        <v>9</v>
      </c>
      <c r="C265" s="1942" t="s">
        <v>2163</v>
      </c>
      <c r="D265" s="1942"/>
      <c r="E265" s="1942"/>
      <c r="F265" s="1638"/>
      <c r="G265" s="1638"/>
      <c r="H265" s="2002"/>
      <c r="I265" s="2002"/>
      <c r="J265" s="1620"/>
      <c r="K265" s="1621"/>
      <c r="M265" s="1625"/>
    </row>
    <row r="266" spans="1:13" s="1622" customFormat="1">
      <c r="A266" s="1634"/>
      <c r="B266" s="1943" t="s">
        <v>1936</v>
      </c>
      <c r="C266" s="1944" t="s">
        <v>1623</v>
      </c>
      <c r="D266" s="1943"/>
      <c r="E266" s="1945"/>
      <c r="F266" s="2003"/>
      <c r="G266" s="2004"/>
      <c r="H266" s="2002"/>
      <c r="I266" s="2002"/>
      <c r="J266" s="1620"/>
      <c r="K266" s="1621"/>
      <c r="M266" s="2005"/>
    </row>
    <row r="267" spans="1:13" s="1622" customFormat="1" ht="25.5">
      <c r="A267" s="1634"/>
      <c r="B267" s="1946" t="s">
        <v>692</v>
      </c>
      <c r="C267" s="1934" t="s">
        <v>1767</v>
      </c>
      <c r="D267" s="1946" t="s">
        <v>43</v>
      </c>
      <c r="E267" s="1936">
        <f>ROUND(K267,2)</f>
        <v>596.02</v>
      </c>
      <c r="F267" s="1648"/>
      <c r="G267" s="1648"/>
      <c r="H267" s="2002">
        <f t="shared" si="23"/>
        <v>0</v>
      </c>
      <c r="I267" s="2002">
        <f t="shared" si="24"/>
        <v>0</v>
      </c>
      <c r="J267" s="1620"/>
      <c r="K267" s="1621">
        <v>596.01700000000005</v>
      </c>
      <c r="M267" s="1645">
        <v>59721.94300000005</v>
      </c>
    </row>
    <row r="268" spans="1:13" s="1622" customFormat="1">
      <c r="A268" s="1634"/>
      <c r="B268" s="1946" t="s">
        <v>694</v>
      </c>
      <c r="C268" s="1934" t="s">
        <v>1625</v>
      </c>
      <c r="D268" s="1946" t="s">
        <v>43</v>
      </c>
      <c r="E268" s="1936">
        <f>ROUND(K268,2)</f>
        <v>2.4300000000000002</v>
      </c>
      <c r="F268" s="1648"/>
      <c r="G268" s="1648"/>
      <c r="H268" s="2002">
        <f t="shared" si="23"/>
        <v>0</v>
      </c>
      <c r="I268" s="2002">
        <f t="shared" si="24"/>
        <v>0</v>
      </c>
      <c r="J268" s="1620"/>
      <c r="K268" s="1621">
        <v>2.4299999999999997</v>
      </c>
      <c r="M268" s="1645">
        <v>94971.436000000016</v>
      </c>
    </row>
    <row r="269" spans="1:13" s="1622" customFormat="1">
      <c r="A269" s="1634"/>
      <c r="B269" s="1946" t="s">
        <v>696</v>
      </c>
      <c r="C269" s="1934" t="s">
        <v>2113</v>
      </c>
      <c r="D269" s="1946" t="s">
        <v>1141</v>
      </c>
      <c r="E269" s="1936">
        <f>ROUND(K269,2)</f>
        <v>0.94</v>
      </c>
      <c r="F269" s="1648"/>
      <c r="G269" s="1648"/>
      <c r="H269" s="2002">
        <f t="shared" si="23"/>
        <v>0</v>
      </c>
      <c r="I269" s="2002">
        <f t="shared" si="24"/>
        <v>0</v>
      </c>
      <c r="J269" s="1620"/>
      <c r="K269" s="1621">
        <v>0.94</v>
      </c>
      <c r="M269" s="1645">
        <v>41540</v>
      </c>
    </row>
    <row r="270" spans="1:13" s="1622" customFormat="1">
      <c r="A270" s="1634"/>
      <c r="B270" s="1946" t="s">
        <v>698</v>
      </c>
      <c r="C270" s="1934" t="s">
        <v>1632</v>
      </c>
      <c r="D270" s="1946" t="s">
        <v>43</v>
      </c>
      <c r="E270" s="1936">
        <f>ROUND(K270,2)</f>
        <v>4.26</v>
      </c>
      <c r="F270" s="1648"/>
      <c r="G270" s="1648"/>
      <c r="H270" s="2002">
        <f t="shared" si="23"/>
        <v>0</v>
      </c>
      <c r="I270" s="2002">
        <f t="shared" si="24"/>
        <v>0</v>
      </c>
      <c r="J270" s="1620"/>
      <c r="K270" s="1621">
        <v>4.26</v>
      </c>
      <c r="M270" s="1645">
        <v>46160</v>
      </c>
    </row>
    <row r="271" spans="1:13" s="1622" customFormat="1">
      <c r="A271" s="1634"/>
      <c r="B271" s="1946" t="s">
        <v>1937</v>
      </c>
      <c r="C271" s="1934" t="s">
        <v>1633</v>
      </c>
      <c r="D271" s="1946" t="s">
        <v>43</v>
      </c>
      <c r="E271" s="1936">
        <f>ROUND(K271,2)</f>
        <v>1649.12</v>
      </c>
      <c r="F271" s="1648"/>
      <c r="G271" s="1648"/>
      <c r="H271" s="2002">
        <f t="shared" si="23"/>
        <v>0</v>
      </c>
      <c r="I271" s="2002">
        <f t="shared" si="24"/>
        <v>0</v>
      </c>
      <c r="J271" s="1620"/>
      <c r="K271" s="1621">
        <v>1649.12</v>
      </c>
      <c r="M271" s="1645">
        <v>16820</v>
      </c>
    </row>
    <row r="272" spans="1:13" s="1622" customFormat="1">
      <c r="A272" s="1634"/>
      <c r="B272" s="1943" t="s">
        <v>1938</v>
      </c>
      <c r="C272" s="1944" t="s">
        <v>1626</v>
      </c>
      <c r="D272" s="1943"/>
      <c r="E272" s="1945"/>
      <c r="F272" s="2003"/>
      <c r="G272" s="2004"/>
      <c r="H272" s="2002"/>
      <c r="I272" s="2002"/>
      <c r="J272" s="1620"/>
      <c r="K272" s="1621"/>
      <c r="M272" s="2005"/>
    </row>
    <row r="273" spans="1:13" s="1622" customFormat="1">
      <c r="A273" s="1634"/>
      <c r="B273" s="1946" t="s">
        <v>701</v>
      </c>
      <c r="C273" s="1947" t="s">
        <v>1611</v>
      </c>
      <c r="D273" s="1946" t="s">
        <v>43</v>
      </c>
      <c r="E273" s="1936">
        <f t="shared" ref="E273:E280" si="26">ROUND(K273,2)</f>
        <v>171.91</v>
      </c>
      <c r="F273" s="1648"/>
      <c r="G273" s="1648"/>
      <c r="H273" s="2002">
        <f t="shared" si="23"/>
        <v>0</v>
      </c>
      <c r="I273" s="2002">
        <f t="shared" si="24"/>
        <v>0</v>
      </c>
      <c r="J273" s="1620"/>
      <c r="K273" s="1621">
        <v>171.91</v>
      </c>
      <c r="M273" s="1645">
        <v>21699.999999999996</v>
      </c>
    </row>
    <row r="274" spans="1:13" s="1622" customFormat="1">
      <c r="A274" s="1634"/>
      <c r="B274" s="1946" t="s">
        <v>703</v>
      </c>
      <c r="C274" s="1934" t="s">
        <v>1634</v>
      </c>
      <c r="D274" s="1946" t="s">
        <v>43</v>
      </c>
      <c r="E274" s="1936">
        <f t="shared" si="26"/>
        <v>205.61</v>
      </c>
      <c r="F274" s="1648"/>
      <c r="G274" s="1648"/>
      <c r="H274" s="2002">
        <f t="shared" si="23"/>
        <v>0</v>
      </c>
      <c r="I274" s="2002">
        <f t="shared" si="24"/>
        <v>0</v>
      </c>
      <c r="J274" s="1620"/>
      <c r="K274" s="1621">
        <v>205.61</v>
      </c>
      <c r="M274" s="1645">
        <v>51440</v>
      </c>
    </row>
    <row r="275" spans="1:13" s="1622" customFormat="1">
      <c r="A275" s="1634"/>
      <c r="B275" s="1946" t="s">
        <v>1939</v>
      </c>
      <c r="C275" s="1934" t="s">
        <v>1635</v>
      </c>
      <c r="D275" s="1946" t="s">
        <v>43</v>
      </c>
      <c r="E275" s="1936">
        <f t="shared" si="26"/>
        <v>5.13</v>
      </c>
      <c r="F275" s="1648"/>
      <c r="G275" s="1648"/>
      <c r="H275" s="2002">
        <f t="shared" si="23"/>
        <v>0</v>
      </c>
      <c r="I275" s="2002">
        <f t="shared" si="24"/>
        <v>0</v>
      </c>
      <c r="J275" s="1620"/>
      <c r="K275" s="1621">
        <v>5.13</v>
      </c>
      <c r="M275" s="1645">
        <v>77999</v>
      </c>
    </row>
    <row r="276" spans="1:13" s="1622" customFormat="1">
      <c r="A276" s="1634"/>
      <c r="B276" s="1946" t="s">
        <v>1940</v>
      </c>
      <c r="C276" s="1934" t="s">
        <v>1636</v>
      </c>
      <c r="D276" s="1946" t="s">
        <v>43</v>
      </c>
      <c r="E276" s="1936">
        <f t="shared" si="26"/>
        <v>39.15</v>
      </c>
      <c r="F276" s="1648"/>
      <c r="G276" s="1648"/>
      <c r="H276" s="2002">
        <f t="shared" si="23"/>
        <v>0</v>
      </c>
      <c r="I276" s="2002">
        <f t="shared" si="24"/>
        <v>0</v>
      </c>
      <c r="J276" s="1620"/>
      <c r="K276" s="1621">
        <v>39.15</v>
      </c>
      <c r="M276" s="1645">
        <v>40960</v>
      </c>
    </row>
    <row r="277" spans="1:13" s="1622" customFormat="1">
      <c r="A277" s="1634"/>
      <c r="B277" s="1946" t="s">
        <v>1941</v>
      </c>
      <c r="C277" s="1934" t="s">
        <v>2114</v>
      </c>
      <c r="D277" s="1946" t="s">
        <v>43</v>
      </c>
      <c r="E277" s="1936">
        <f t="shared" si="26"/>
        <v>68.400000000000006</v>
      </c>
      <c r="F277" s="1648"/>
      <c r="G277" s="1648"/>
      <c r="H277" s="2002">
        <f t="shared" si="23"/>
        <v>0</v>
      </c>
      <c r="I277" s="2002">
        <f t="shared" si="24"/>
        <v>0</v>
      </c>
      <c r="J277" s="1620"/>
      <c r="K277" s="1621">
        <v>68.399999999999991</v>
      </c>
      <c r="M277" s="1645">
        <v>35930</v>
      </c>
    </row>
    <row r="278" spans="1:13" s="1622" customFormat="1">
      <c r="A278" s="1634"/>
      <c r="B278" s="1946" t="s">
        <v>1942</v>
      </c>
      <c r="C278" s="1934" t="s">
        <v>2133</v>
      </c>
      <c r="D278" s="1946" t="s">
        <v>43</v>
      </c>
      <c r="E278" s="1936">
        <f t="shared" si="26"/>
        <v>140.41</v>
      </c>
      <c r="F278" s="1648"/>
      <c r="G278" s="1648"/>
      <c r="H278" s="2002">
        <f t="shared" si="23"/>
        <v>0</v>
      </c>
      <c r="I278" s="2002">
        <f t="shared" si="24"/>
        <v>0</v>
      </c>
      <c r="J278" s="1620"/>
      <c r="K278" s="1621">
        <v>140.41</v>
      </c>
      <c r="M278" s="1645">
        <v>6439</v>
      </c>
    </row>
    <row r="279" spans="1:13" s="1622" customFormat="1">
      <c r="A279" s="1634"/>
      <c r="B279" s="1946" t="s">
        <v>1943</v>
      </c>
      <c r="C279" s="1934" t="s">
        <v>1607</v>
      </c>
      <c r="D279" s="1946" t="s">
        <v>51</v>
      </c>
      <c r="E279" s="1936">
        <f t="shared" si="26"/>
        <v>71.98</v>
      </c>
      <c r="F279" s="1648"/>
      <c r="G279" s="1648"/>
      <c r="H279" s="2002">
        <f t="shared" si="23"/>
        <v>0</v>
      </c>
      <c r="I279" s="2002">
        <f t="shared" si="24"/>
        <v>0</v>
      </c>
      <c r="J279" s="1620"/>
      <c r="K279" s="1621">
        <v>71.98</v>
      </c>
      <c r="M279" s="1645">
        <v>76529.999999999956</v>
      </c>
    </row>
    <row r="280" spans="1:13" s="1622" customFormat="1">
      <c r="A280" s="1634"/>
      <c r="B280" s="1946" t="s">
        <v>1944</v>
      </c>
      <c r="C280" s="1934" t="s">
        <v>1643</v>
      </c>
      <c r="D280" s="1946" t="s">
        <v>43</v>
      </c>
      <c r="E280" s="1936">
        <f t="shared" si="26"/>
        <v>30</v>
      </c>
      <c r="F280" s="1648"/>
      <c r="G280" s="1648"/>
      <c r="H280" s="2002">
        <f t="shared" si="23"/>
        <v>0</v>
      </c>
      <c r="I280" s="2002">
        <f t="shared" si="24"/>
        <v>0</v>
      </c>
      <c r="J280" s="1620"/>
      <c r="K280" s="1621">
        <v>30</v>
      </c>
      <c r="M280" s="1645">
        <v>41270</v>
      </c>
    </row>
    <row r="281" spans="1:13" s="1622" customFormat="1">
      <c r="A281" s="1634"/>
      <c r="B281" s="1943" t="s">
        <v>1945</v>
      </c>
      <c r="C281" s="1944" t="s">
        <v>1071</v>
      </c>
      <c r="D281" s="1943"/>
      <c r="E281" s="1945"/>
      <c r="F281" s="2003"/>
      <c r="G281" s="2004"/>
      <c r="H281" s="2002"/>
      <c r="I281" s="2002"/>
      <c r="J281" s="1620"/>
      <c r="K281" s="1621"/>
      <c r="M281" s="2005"/>
    </row>
    <row r="282" spans="1:13" s="1622" customFormat="1">
      <c r="A282" s="1634"/>
      <c r="B282" s="1946" t="s">
        <v>706</v>
      </c>
      <c r="C282" s="1947" t="s">
        <v>1768</v>
      </c>
      <c r="D282" s="1948" t="s">
        <v>579</v>
      </c>
      <c r="E282" s="1936">
        <f t="shared" ref="E282:E289" si="27">ROUND(K282,2)</f>
        <v>6</v>
      </c>
      <c r="F282" s="1648"/>
      <c r="G282" s="1648"/>
      <c r="H282" s="2002">
        <f t="shared" si="23"/>
        <v>0</v>
      </c>
      <c r="I282" s="2002">
        <f t="shared" si="24"/>
        <v>0</v>
      </c>
      <c r="J282" s="1620"/>
      <c r="K282" s="1621">
        <v>6</v>
      </c>
      <c r="M282" s="1645">
        <v>112978</v>
      </c>
    </row>
    <row r="283" spans="1:13" s="1622" customFormat="1">
      <c r="A283" s="1634"/>
      <c r="B283" s="1946" t="s">
        <v>708</v>
      </c>
      <c r="C283" s="1947" t="s">
        <v>1769</v>
      </c>
      <c r="D283" s="1948" t="s">
        <v>579</v>
      </c>
      <c r="E283" s="1936">
        <f t="shared" si="27"/>
        <v>4</v>
      </c>
      <c r="F283" s="1648"/>
      <c r="G283" s="1648"/>
      <c r="H283" s="2002">
        <f t="shared" si="23"/>
        <v>0</v>
      </c>
      <c r="I283" s="2002">
        <f t="shared" si="24"/>
        <v>0</v>
      </c>
      <c r="J283" s="1620"/>
      <c r="K283" s="1621">
        <v>4</v>
      </c>
      <c r="M283" s="1645">
        <v>227707</v>
      </c>
    </row>
    <row r="284" spans="1:13" s="1622" customFormat="1">
      <c r="A284" s="1634"/>
      <c r="B284" s="1946" t="s">
        <v>710</v>
      </c>
      <c r="C284" s="1947" t="s">
        <v>1771</v>
      </c>
      <c r="D284" s="1948" t="s">
        <v>579</v>
      </c>
      <c r="E284" s="1936">
        <f t="shared" si="27"/>
        <v>8</v>
      </c>
      <c r="F284" s="1648"/>
      <c r="G284" s="1648"/>
      <c r="H284" s="2002">
        <f t="shared" si="23"/>
        <v>0</v>
      </c>
      <c r="I284" s="2002">
        <f t="shared" si="24"/>
        <v>0</v>
      </c>
      <c r="J284" s="1620"/>
      <c r="K284" s="1621">
        <v>8</v>
      </c>
      <c r="M284" s="1645">
        <v>112978</v>
      </c>
    </row>
    <row r="285" spans="1:13" s="1622" customFormat="1">
      <c r="A285" s="1634"/>
      <c r="B285" s="1946" t="s">
        <v>1946</v>
      </c>
      <c r="C285" s="1947" t="s">
        <v>1770</v>
      </c>
      <c r="D285" s="1948" t="s">
        <v>579</v>
      </c>
      <c r="E285" s="1936">
        <f t="shared" si="27"/>
        <v>1</v>
      </c>
      <c r="F285" s="1648"/>
      <c r="G285" s="1648"/>
      <c r="H285" s="2002">
        <f t="shared" si="23"/>
        <v>0</v>
      </c>
      <c r="I285" s="2002">
        <f t="shared" si="24"/>
        <v>0</v>
      </c>
      <c r="J285" s="1620"/>
      <c r="K285" s="1621">
        <v>1</v>
      </c>
      <c r="M285" s="1645">
        <v>563214</v>
      </c>
    </row>
    <row r="286" spans="1:13" s="1622" customFormat="1">
      <c r="A286" s="1634"/>
      <c r="B286" s="1946" t="s">
        <v>1947</v>
      </c>
      <c r="C286" s="1947" t="s">
        <v>1772</v>
      </c>
      <c r="D286" s="1948" t="s">
        <v>579</v>
      </c>
      <c r="E286" s="1936">
        <f t="shared" si="27"/>
        <v>1</v>
      </c>
      <c r="F286" s="1648"/>
      <c r="G286" s="1648"/>
      <c r="H286" s="2002">
        <f t="shared" si="23"/>
        <v>0</v>
      </c>
      <c r="I286" s="2002">
        <f t="shared" si="24"/>
        <v>0</v>
      </c>
      <c r="J286" s="1620"/>
      <c r="K286" s="1621">
        <v>1</v>
      </c>
      <c r="M286" s="1645">
        <v>860000</v>
      </c>
    </row>
    <row r="287" spans="1:13" s="1622" customFormat="1">
      <c r="A287" s="1634"/>
      <c r="B287" s="1946" t="s">
        <v>1948</v>
      </c>
      <c r="C287" s="1947" t="s">
        <v>1773</v>
      </c>
      <c r="D287" s="1948" t="s">
        <v>579</v>
      </c>
      <c r="E287" s="1936">
        <f t="shared" si="27"/>
        <v>1</v>
      </c>
      <c r="F287" s="1648"/>
      <c r="G287" s="1648"/>
      <c r="H287" s="2002">
        <f t="shared" si="23"/>
        <v>0</v>
      </c>
      <c r="I287" s="2002">
        <f t="shared" si="24"/>
        <v>0</v>
      </c>
      <c r="J287" s="1620"/>
      <c r="K287" s="1621">
        <v>1</v>
      </c>
      <c r="M287" s="1645">
        <v>900000</v>
      </c>
    </row>
    <row r="288" spans="1:13" s="1622" customFormat="1">
      <c r="A288" s="1634"/>
      <c r="B288" s="1946" t="s">
        <v>1949</v>
      </c>
      <c r="C288" s="1947" t="s">
        <v>1775</v>
      </c>
      <c r="D288" s="1948" t="s">
        <v>579</v>
      </c>
      <c r="E288" s="1936">
        <f t="shared" si="27"/>
        <v>4</v>
      </c>
      <c r="F288" s="1648"/>
      <c r="G288" s="1648"/>
      <c r="H288" s="2002">
        <f t="shared" si="23"/>
        <v>0</v>
      </c>
      <c r="I288" s="2002">
        <f t="shared" si="24"/>
        <v>0</v>
      </c>
      <c r="J288" s="1620"/>
      <c r="K288" s="1621">
        <v>4</v>
      </c>
      <c r="M288" s="1623">
        <v>413967</v>
      </c>
    </row>
    <row r="289" spans="1:14" s="1622" customFormat="1">
      <c r="A289" s="1634"/>
      <c r="B289" s="1946" t="s">
        <v>1950</v>
      </c>
      <c r="C289" s="1947" t="s">
        <v>1774</v>
      </c>
      <c r="D289" s="1948" t="s">
        <v>579</v>
      </c>
      <c r="E289" s="1936">
        <f t="shared" si="27"/>
        <v>7</v>
      </c>
      <c r="F289" s="1648"/>
      <c r="G289" s="1648"/>
      <c r="H289" s="2002">
        <f t="shared" si="23"/>
        <v>0</v>
      </c>
      <c r="I289" s="2002">
        <f t="shared" si="24"/>
        <v>0</v>
      </c>
      <c r="J289" s="1620"/>
      <c r="K289" s="1621">
        <v>7</v>
      </c>
      <c r="M289" s="1645">
        <v>235588</v>
      </c>
    </row>
    <row r="290" spans="1:14" s="1622" customFormat="1">
      <c r="A290" s="1634"/>
      <c r="B290" s="1943" t="s">
        <v>1951</v>
      </c>
      <c r="C290" s="1944" t="s">
        <v>64</v>
      </c>
      <c r="D290" s="1943"/>
      <c r="E290" s="1945"/>
      <c r="F290" s="2003"/>
      <c r="G290" s="2004"/>
      <c r="H290" s="2002"/>
      <c r="I290" s="2002"/>
      <c r="J290" s="1620"/>
      <c r="K290" s="1621"/>
      <c r="M290" s="2005"/>
    </row>
    <row r="291" spans="1:14" s="1622" customFormat="1">
      <c r="A291" s="1634"/>
      <c r="B291" s="1946" t="s">
        <v>713</v>
      </c>
      <c r="C291" s="1934" t="s">
        <v>1630</v>
      </c>
      <c r="D291" s="1946" t="s">
        <v>43</v>
      </c>
      <c r="E291" s="1936">
        <f>ROUND(K291,2)</f>
        <v>123.35</v>
      </c>
      <c r="F291" s="1648"/>
      <c r="G291" s="1648"/>
      <c r="H291" s="2002">
        <f t="shared" si="23"/>
        <v>0</v>
      </c>
      <c r="I291" s="2002">
        <f t="shared" si="24"/>
        <v>0</v>
      </c>
      <c r="J291" s="1620"/>
      <c r="K291" s="1621">
        <v>123.35</v>
      </c>
      <c r="M291" s="1623">
        <v>52958</v>
      </c>
    </row>
    <row r="292" spans="1:14" s="1622" customFormat="1">
      <c r="A292" s="1634"/>
      <c r="B292" s="1946" t="s">
        <v>715</v>
      </c>
      <c r="C292" s="1947" t="s">
        <v>2173</v>
      </c>
      <c r="D292" s="1948" t="s">
        <v>1141</v>
      </c>
      <c r="E292" s="1936">
        <f>ROUND(K292,2)</f>
        <v>9</v>
      </c>
      <c r="F292" s="1648"/>
      <c r="G292" s="1648"/>
      <c r="H292" s="2002">
        <f t="shared" si="23"/>
        <v>0</v>
      </c>
      <c r="I292" s="2002">
        <f t="shared" si="24"/>
        <v>0</v>
      </c>
      <c r="J292" s="1620"/>
      <c r="K292" s="1621">
        <v>9</v>
      </c>
      <c r="M292" s="1645">
        <v>34477</v>
      </c>
    </row>
    <row r="293" spans="1:14" s="1622" customFormat="1">
      <c r="A293" s="1634"/>
      <c r="B293" s="1946" t="s">
        <v>1952</v>
      </c>
      <c r="C293" s="1934" t="s">
        <v>1631</v>
      </c>
      <c r="D293" s="1946" t="s">
        <v>1141</v>
      </c>
      <c r="E293" s="1936">
        <f>ROUND(K293,2)</f>
        <v>16.8</v>
      </c>
      <c r="F293" s="1648"/>
      <c r="G293" s="1648"/>
      <c r="H293" s="2002">
        <f t="shared" si="23"/>
        <v>0</v>
      </c>
      <c r="I293" s="2002">
        <f t="shared" si="24"/>
        <v>0</v>
      </c>
      <c r="J293" s="1620"/>
      <c r="K293" s="1621">
        <v>16.8</v>
      </c>
      <c r="M293" s="1645">
        <v>65858</v>
      </c>
    </row>
    <row r="294" spans="1:14" s="1622" customFormat="1">
      <c r="A294" s="1634"/>
      <c r="B294" s="1946" t="s">
        <v>1953</v>
      </c>
      <c r="C294" s="1934" t="s">
        <v>1608</v>
      </c>
      <c r="D294" s="1946" t="s">
        <v>43</v>
      </c>
      <c r="E294" s="1936">
        <f>ROUND(K294,2)</f>
        <v>196.26</v>
      </c>
      <c r="F294" s="1648"/>
      <c r="G294" s="1648"/>
      <c r="H294" s="2002">
        <f t="shared" si="23"/>
        <v>0</v>
      </c>
      <c r="I294" s="2002">
        <f t="shared" si="24"/>
        <v>0</v>
      </c>
      <c r="J294" s="1620"/>
      <c r="K294" s="1636">
        <v>196.26</v>
      </c>
      <c r="L294" s="1620"/>
      <c r="M294" s="1645">
        <v>35149.999999999993</v>
      </c>
      <c r="N294" s="1620"/>
    </row>
    <row r="295" spans="1:14" s="1622" customFormat="1">
      <c r="A295" s="1634"/>
      <c r="B295" s="1946" t="s">
        <v>1954</v>
      </c>
      <c r="C295" s="1934" t="s">
        <v>1609</v>
      </c>
      <c r="D295" s="1946" t="s">
        <v>1141</v>
      </c>
      <c r="E295" s="1936">
        <v>278.3</v>
      </c>
      <c r="F295" s="1648"/>
      <c r="G295" s="1648"/>
      <c r="H295" s="2002">
        <f t="shared" si="23"/>
        <v>0</v>
      </c>
      <c r="I295" s="2002">
        <f t="shared" si="24"/>
        <v>0</v>
      </c>
      <c r="J295" s="1620"/>
      <c r="K295" s="1636">
        <v>89.08</v>
      </c>
      <c r="L295" s="1620"/>
      <c r="M295" s="1645">
        <v>21807.258333333335</v>
      </c>
      <c r="N295" s="1620"/>
    </row>
    <row r="296" spans="1:14" s="1622" customFormat="1">
      <c r="A296" s="1634"/>
      <c r="B296" s="1946" t="s">
        <v>1955</v>
      </c>
      <c r="C296" s="1934" t="s">
        <v>1641</v>
      </c>
      <c r="D296" s="1946" t="s">
        <v>43</v>
      </c>
      <c r="E296" s="1936">
        <f>ROUND(K296,2)</f>
        <v>27.3</v>
      </c>
      <c r="F296" s="1648"/>
      <c r="G296" s="1648"/>
      <c r="H296" s="2002">
        <f t="shared" si="23"/>
        <v>0</v>
      </c>
      <c r="I296" s="2002">
        <f t="shared" si="24"/>
        <v>0</v>
      </c>
      <c r="J296" s="1620"/>
      <c r="K296" s="1621">
        <v>27.3</v>
      </c>
      <c r="M296" s="1645">
        <v>32630</v>
      </c>
    </row>
    <row r="297" spans="1:14" s="1622" customFormat="1" ht="15.75" customHeight="1">
      <c r="A297" s="1634"/>
      <c r="B297" s="1946" t="s">
        <v>1956</v>
      </c>
      <c r="C297" s="1947" t="s">
        <v>1642</v>
      </c>
      <c r="D297" s="1948" t="s">
        <v>43</v>
      </c>
      <c r="E297" s="1949">
        <v>11</v>
      </c>
      <c r="F297" s="2006"/>
      <c r="G297" s="1648"/>
      <c r="H297" s="2002">
        <f t="shared" si="23"/>
        <v>0</v>
      </c>
      <c r="I297" s="2002">
        <f t="shared" si="24"/>
        <v>0</v>
      </c>
      <c r="J297" s="1620"/>
      <c r="K297" s="1621"/>
      <c r="M297" s="1645">
        <v>84690</v>
      </c>
    </row>
    <row r="298" spans="1:14" s="1622" customFormat="1" ht="17.25" customHeight="1">
      <c r="A298" s="1634"/>
      <c r="B298" s="1946" t="s">
        <v>1957</v>
      </c>
      <c r="C298" s="1947" t="s">
        <v>1653</v>
      </c>
      <c r="D298" s="1948" t="s">
        <v>1141</v>
      </c>
      <c r="E298" s="1949">
        <v>6</v>
      </c>
      <c r="F298" s="2006"/>
      <c r="G298" s="1648"/>
      <c r="H298" s="2002">
        <f t="shared" si="23"/>
        <v>0</v>
      </c>
      <c r="I298" s="2002">
        <f t="shared" si="24"/>
        <v>0</v>
      </c>
      <c r="J298" s="1620"/>
      <c r="K298" s="1621"/>
      <c r="M298" s="1645">
        <v>41540</v>
      </c>
    </row>
    <row r="299" spans="1:14" s="1622" customFormat="1" ht="16.5" customHeight="1">
      <c r="A299" s="1634"/>
      <c r="B299" s="1946" t="s">
        <v>1958</v>
      </c>
      <c r="C299" s="1947" t="s">
        <v>1613</v>
      </c>
      <c r="D299" s="1948" t="s">
        <v>43</v>
      </c>
      <c r="E299" s="1949">
        <v>27.3</v>
      </c>
      <c r="F299" s="2006"/>
      <c r="G299" s="1648"/>
      <c r="H299" s="2002">
        <f t="shared" si="23"/>
        <v>0</v>
      </c>
      <c r="I299" s="2002">
        <f t="shared" si="24"/>
        <v>0</v>
      </c>
      <c r="J299" s="1620"/>
      <c r="K299" s="1621"/>
      <c r="M299" s="1645">
        <v>51720</v>
      </c>
    </row>
    <row r="300" spans="1:14" s="1622" customFormat="1">
      <c r="A300" s="1634"/>
      <c r="B300" s="1943" t="s">
        <v>1959</v>
      </c>
      <c r="C300" s="1944" t="s">
        <v>1646</v>
      </c>
      <c r="D300" s="1943"/>
      <c r="E300" s="1945"/>
      <c r="F300" s="2003"/>
      <c r="G300" s="2004"/>
      <c r="H300" s="2002"/>
      <c r="I300" s="2002"/>
      <c r="J300" s="1620"/>
      <c r="K300" s="1621"/>
      <c r="M300" s="2005"/>
    </row>
    <row r="301" spans="1:14" s="1622" customFormat="1">
      <c r="A301" s="1634"/>
      <c r="B301" s="1946" t="s">
        <v>1960</v>
      </c>
      <c r="C301" s="1933" t="s">
        <v>2134</v>
      </c>
      <c r="D301" s="1946" t="s">
        <v>579</v>
      </c>
      <c r="E301" s="1936">
        <f t="shared" ref="E301:E308" si="28">ROUND(K301,2)</f>
        <v>3</v>
      </c>
      <c r="F301" s="1648"/>
      <c r="G301" s="1648"/>
      <c r="H301" s="2002">
        <f t="shared" si="23"/>
        <v>0</v>
      </c>
      <c r="I301" s="2002">
        <f t="shared" si="24"/>
        <v>0</v>
      </c>
      <c r="J301" s="1620"/>
      <c r="K301" s="1621">
        <v>3</v>
      </c>
      <c r="M301" s="1623">
        <v>239324</v>
      </c>
    </row>
    <row r="302" spans="1:14" s="1622" customFormat="1">
      <c r="A302" s="1634"/>
      <c r="B302" s="1946" t="s">
        <v>1961</v>
      </c>
      <c r="C302" s="1947" t="s">
        <v>2171</v>
      </c>
      <c r="D302" s="1946" t="s">
        <v>2200</v>
      </c>
      <c r="E302" s="1936">
        <f t="shared" si="28"/>
        <v>3</v>
      </c>
      <c r="F302" s="1648"/>
      <c r="G302" s="1648"/>
      <c r="H302" s="2002">
        <f t="shared" si="23"/>
        <v>0</v>
      </c>
      <c r="I302" s="2002">
        <f t="shared" si="24"/>
        <v>0</v>
      </c>
      <c r="J302" s="1620"/>
      <c r="K302" s="1621">
        <v>3</v>
      </c>
      <c r="M302" s="1645">
        <v>62770</v>
      </c>
    </row>
    <row r="303" spans="1:14" s="1622" customFormat="1">
      <c r="A303" s="1634"/>
      <c r="B303" s="1946" t="s">
        <v>1962</v>
      </c>
      <c r="C303" s="1947" t="s">
        <v>2175</v>
      </c>
      <c r="D303" s="1946" t="s">
        <v>43</v>
      </c>
      <c r="E303" s="1936">
        <f t="shared" si="28"/>
        <v>25.6</v>
      </c>
      <c r="F303" s="1648"/>
      <c r="G303" s="1648"/>
      <c r="H303" s="2002">
        <f t="shared" si="23"/>
        <v>0</v>
      </c>
      <c r="I303" s="2002">
        <f t="shared" si="24"/>
        <v>0</v>
      </c>
      <c r="J303" s="1620"/>
      <c r="K303" s="1640">
        <v>25.6</v>
      </c>
      <c r="L303" s="1619"/>
      <c r="M303" s="1645">
        <v>40960</v>
      </c>
    </row>
    <row r="304" spans="1:14" s="1622" customFormat="1">
      <c r="A304" s="1634"/>
      <c r="B304" s="1946" t="s">
        <v>1963</v>
      </c>
      <c r="C304" s="1947" t="s">
        <v>1747</v>
      </c>
      <c r="D304" s="1946" t="s">
        <v>43</v>
      </c>
      <c r="E304" s="1936">
        <f t="shared" si="28"/>
        <v>196.26</v>
      </c>
      <c r="F304" s="1648"/>
      <c r="G304" s="1648"/>
      <c r="H304" s="2002">
        <f t="shared" si="23"/>
        <v>0</v>
      </c>
      <c r="I304" s="2002">
        <f t="shared" si="24"/>
        <v>0</v>
      </c>
      <c r="J304" s="1620"/>
      <c r="K304" s="1640">
        <v>196.26</v>
      </c>
      <c r="L304" s="1619"/>
      <c r="M304" s="1645">
        <v>106033.32051282052</v>
      </c>
    </row>
    <row r="305" spans="1:13" s="1622" customFormat="1">
      <c r="A305" s="1634"/>
      <c r="B305" s="1946" t="s">
        <v>1964</v>
      </c>
      <c r="C305" s="1947" t="s">
        <v>1652</v>
      </c>
      <c r="D305" s="1946" t="s">
        <v>579</v>
      </c>
      <c r="E305" s="1936">
        <f t="shared" si="28"/>
        <v>1</v>
      </c>
      <c r="F305" s="1648"/>
      <c r="G305" s="1648"/>
      <c r="H305" s="2002">
        <f t="shared" si="23"/>
        <v>0</v>
      </c>
      <c r="I305" s="2002">
        <f t="shared" si="24"/>
        <v>0</v>
      </c>
      <c r="J305" s="1620"/>
      <c r="K305" s="1640">
        <v>1</v>
      </c>
      <c r="L305" s="1619"/>
      <c r="M305" s="1645">
        <v>250000</v>
      </c>
    </row>
    <row r="306" spans="1:13" s="1622" customFormat="1">
      <c r="A306" s="1634"/>
      <c r="B306" s="1946" t="s">
        <v>1965</v>
      </c>
      <c r="C306" s="1947" t="s">
        <v>1655</v>
      </c>
      <c r="D306" s="1946" t="s">
        <v>579</v>
      </c>
      <c r="E306" s="1936">
        <f t="shared" si="28"/>
        <v>1</v>
      </c>
      <c r="F306" s="1648"/>
      <c r="G306" s="1648"/>
      <c r="H306" s="2002">
        <f t="shared" si="23"/>
        <v>0</v>
      </c>
      <c r="I306" s="2002">
        <f t="shared" si="24"/>
        <v>0</v>
      </c>
      <c r="J306" s="1620"/>
      <c r="K306" s="1621">
        <v>1</v>
      </c>
      <c r="M306" s="1645">
        <v>280000</v>
      </c>
    </row>
    <row r="307" spans="1:13" s="1622" customFormat="1">
      <c r="A307" s="1634"/>
      <c r="B307" s="1946" t="s">
        <v>1966</v>
      </c>
      <c r="C307" s="1947" t="s">
        <v>1656</v>
      </c>
      <c r="D307" s="1946" t="s">
        <v>579</v>
      </c>
      <c r="E307" s="1936">
        <f t="shared" si="28"/>
        <v>1</v>
      </c>
      <c r="F307" s="1648"/>
      <c r="G307" s="1648"/>
      <c r="H307" s="2002">
        <f t="shared" si="23"/>
        <v>0</v>
      </c>
      <c r="I307" s="2002">
        <f t="shared" si="24"/>
        <v>0</v>
      </c>
      <c r="J307" s="1620"/>
      <c r="K307" s="1621">
        <v>1</v>
      </c>
      <c r="M307" s="1645">
        <v>111300</v>
      </c>
    </row>
    <row r="308" spans="1:13" s="1622" customFormat="1">
      <c r="A308" s="1634"/>
      <c r="B308" s="1946" t="s">
        <v>1967</v>
      </c>
      <c r="C308" s="1947" t="s">
        <v>1638</v>
      </c>
      <c r="D308" s="1946" t="s">
        <v>579</v>
      </c>
      <c r="E308" s="1936">
        <f t="shared" si="28"/>
        <v>1</v>
      </c>
      <c r="F308" s="1648"/>
      <c r="G308" s="1648"/>
      <c r="H308" s="2002">
        <f t="shared" ref="H308:H371" si="29">+ROUND(F308*0.9,0)</f>
        <v>0</v>
      </c>
      <c r="I308" s="2002">
        <f t="shared" ref="I308:I371" si="30">+ROUND(F308*1.1,0)</f>
        <v>0</v>
      </c>
      <c r="J308" s="1620"/>
      <c r="K308" s="1621">
        <v>1</v>
      </c>
      <c r="M308" s="1645">
        <v>207750</v>
      </c>
    </row>
    <row r="309" spans="1:13" s="1622" customFormat="1">
      <c r="A309" s="1634"/>
      <c r="B309" s="1943" t="s">
        <v>1968</v>
      </c>
      <c r="C309" s="1944" t="s">
        <v>1615</v>
      </c>
      <c r="D309" s="1943"/>
      <c r="E309" s="1945"/>
      <c r="F309" s="2003"/>
      <c r="G309" s="2004"/>
      <c r="H309" s="2002"/>
      <c r="I309" s="2002"/>
      <c r="J309" s="1620"/>
      <c r="K309" s="1621"/>
      <c r="M309" s="2005"/>
    </row>
    <row r="310" spans="1:13" s="1622" customFormat="1">
      <c r="A310" s="1634"/>
      <c r="B310" s="1946" t="s">
        <v>1969</v>
      </c>
      <c r="C310" s="1934" t="s">
        <v>2135</v>
      </c>
      <c r="D310" s="1946" t="s">
        <v>1141</v>
      </c>
      <c r="E310" s="1936">
        <f>ROUND(K310,2)</f>
        <v>3</v>
      </c>
      <c r="F310" s="1648"/>
      <c r="G310" s="1648"/>
      <c r="H310" s="2002">
        <f t="shared" si="29"/>
        <v>0</v>
      </c>
      <c r="I310" s="2002">
        <f t="shared" si="30"/>
        <v>0</v>
      </c>
      <c r="J310" s="1620"/>
      <c r="K310" s="1621">
        <v>3</v>
      </c>
      <c r="M310" s="1645">
        <v>60140</v>
      </c>
    </row>
    <row r="311" spans="1:13" s="1622" customFormat="1">
      <c r="A311" s="1634"/>
      <c r="B311" s="1946" t="s">
        <v>1970</v>
      </c>
      <c r="C311" s="1934" t="s">
        <v>2108</v>
      </c>
      <c r="D311" s="1946" t="s">
        <v>579</v>
      </c>
      <c r="E311" s="1936">
        <f>ROUND(K311,2)</f>
        <v>17</v>
      </c>
      <c r="F311" s="1648"/>
      <c r="G311" s="1648"/>
      <c r="H311" s="2002">
        <f t="shared" si="29"/>
        <v>0</v>
      </c>
      <c r="I311" s="2002">
        <f t="shared" si="30"/>
        <v>0</v>
      </c>
      <c r="J311" s="1620"/>
      <c r="K311" s="1621">
        <v>17</v>
      </c>
      <c r="M311" s="1645">
        <v>48662</v>
      </c>
    </row>
    <row r="312" spans="1:13" s="1622" customFormat="1">
      <c r="A312" s="1634"/>
      <c r="B312" s="1946" t="s">
        <v>1971</v>
      </c>
      <c r="C312" s="1950" t="s">
        <v>2109</v>
      </c>
      <c r="D312" s="1946" t="s">
        <v>579</v>
      </c>
      <c r="E312" s="1936">
        <f>ROUND(K312,2)</f>
        <v>10</v>
      </c>
      <c r="F312" s="1648"/>
      <c r="G312" s="1648"/>
      <c r="H312" s="2002">
        <f t="shared" si="29"/>
        <v>0</v>
      </c>
      <c r="I312" s="2002">
        <f t="shared" si="30"/>
        <v>0</v>
      </c>
      <c r="J312" s="1620"/>
      <c r="K312" s="1621">
        <v>10</v>
      </c>
      <c r="M312" s="1645">
        <v>2068</v>
      </c>
    </row>
    <row r="313" spans="1:13" s="1622" customFormat="1">
      <c r="A313" s="1634"/>
      <c r="B313" s="1943" t="s">
        <v>1972</v>
      </c>
      <c r="C313" s="1944" t="s">
        <v>1620</v>
      </c>
      <c r="D313" s="1943"/>
      <c r="E313" s="1945"/>
      <c r="F313" s="2003"/>
      <c r="G313" s="2004"/>
      <c r="H313" s="2002"/>
      <c r="I313" s="2002"/>
      <c r="J313" s="1620"/>
      <c r="K313" s="1621"/>
      <c r="M313" s="2005"/>
    </row>
    <row r="314" spans="1:13" s="1622" customFormat="1">
      <c r="A314" s="1634"/>
      <c r="B314" s="1946" t="s">
        <v>1973</v>
      </c>
      <c r="C314" s="1934" t="s">
        <v>1621</v>
      </c>
      <c r="D314" s="1946" t="s">
        <v>43</v>
      </c>
      <c r="E314" s="1936">
        <f>ROUND(K314,2)</f>
        <v>2.8</v>
      </c>
      <c r="F314" s="1648"/>
      <c r="G314" s="1648"/>
      <c r="H314" s="2002">
        <f t="shared" si="29"/>
        <v>0</v>
      </c>
      <c r="I314" s="2002">
        <f t="shared" si="30"/>
        <v>0</v>
      </c>
      <c r="J314" s="1620"/>
      <c r="K314" s="1621">
        <v>2.8</v>
      </c>
      <c r="M314" s="1645">
        <v>48000</v>
      </c>
    </row>
    <row r="315" spans="1:13" s="1622" customFormat="1" ht="25.5">
      <c r="A315" s="1634"/>
      <c r="B315" s="1946" t="s">
        <v>1974</v>
      </c>
      <c r="C315" s="1934" t="s">
        <v>1622</v>
      </c>
      <c r="D315" s="1946" t="s">
        <v>43</v>
      </c>
      <c r="E315" s="1936">
        <f>ROUND(K315,2)</f>
        <v>2</v>
      </c>
      <c r="F315" s="1648"/>
      <c r="G315" s="1648"/>
      <c r="H315" s="2002">
        <f t="shared" si="29"/>
        <v>0</v>
      </c>
      <c r="I315" s="2002">
        <f t="shared" si="30"/>
        <v>0</v>
      </c>
      <c r="J315" s="1620"/>
      <c r="K315" s="1621">
        <v>2</v>
      </c>
      <c r="M315" s="1645">
        <v>68850</v>
      </c>
    </row>
    <row r="316" spans="1:13" s="1622" customFormat="1">
      <c r="A316" s="1634"/>
      <c r="B316" s="1947"/>
      <c r="C316" s="1934"/>
      <c r="D316" s="1946"/>
      <c r="E316" s="1951"/>
      <c r="F316" s="2007"/>
      <c r="G316" s="2008"/>
      <c r="H316" s="2002"/>
      <c r="I316" s="2002"/>
      <c r="J316" s="1620"/>
      <c r="K316" s="1621"/>
      <c r="M316" s="1645"/>
    </row>
    <row r="317" spans="1:13" s="1622" customFormat="1">
      <c r="A317" s="1634"/>
      <c r="B317" s="1952" t="s">
        <v>1975</v>
      </c>
      <c r="C317" s="1953" t="s">
        <v>1785</v>
      </c>
      <c r="D317" s="1952"/>
      <c r="E317" s="1954"/>
      <c r="F317" s="2009"/>
      <c r="G317" s="2010"/>
      <c r="H317" s="2002"/>
      <c r="I317" s="2002"/>
      <c r="J317" s="1620"/>
      <c r="K317" s="1621"/>
      <c r="M317" s="1645"/>
    </row>
    <row r="318" spans="1:13" s="1622" customFormat="1">
      <c r="A318" s="1634"/>
      <c r="B318" s="1946"/>
      <c r="C318" s="1955" t="s">
        <v>1786</v>
      </c>
      <c r="D318" s="1946"/>
      <c r="E318" s="1951"/>
      <c r="F318" s="2007"/>
      <c r="G318" s="2008"/>
      <c r="H318" s="2002"/>
      <c r="I318" s="2002"/>
      <c r="J318" s="1620"/>
      <c r="K318" s="1621"/>
      <c r="M318" s="1645"/>
    </row>
    <row r="319" spans="1:13" s="1622" customFormat="1" ht="34.5" customHeight="1">
      <c r="A319" s="1634"/>
      <c r="B319" s="1946" t="s">
        <v>1840</v>
      </c>
      <c r="C319" s="1934" t="s">
        <v>2136</v>
      </c>
      <c r="D319" s="1946" t="s">
        <v>51</v>
      </c>
      <c r="E319" s="1936">
        <f>ROUND(K319,2)</f>
        <v>0.81</v>
      </c>
      <c r="F319" s="1648"/>
      <c r="G319" s="1648"/>
      <c r="H319" s="2002">
        <f t="shared" si="29"/>
        <v>0</v>
      </c>
      <c r="I319" s="2002">
        <f t="shared" si="30"/>
        <v>0</v>
      </c>
      <c r="J319" s="1620"/>
      <c r="K319" s="1621">
        <v>0.80999999999999994</v>
      </c>
      <c r="M319" s="1645">
        <v>715478</v>
      </c>
    </row>
    <row r="320" spans="1:13" s="1622" customFormat="1" ht="46.5" customHeight="1">
      <c r="A320" s="1634"/>
      <c r="B320" s="1946" t="s">
        <v>1976</v>
      </c>
      <c r="C320" s="1947" t="s">
        <v>2197</v>
      </c>
      <c r="D320" s="1946" t="s">
        <v>579</v>
      </c>
      <c r="E320" s="1936">
        <f>ROUND(K320,2)</f>
        <v>60</v>
      </c>
      <c r="F320" s="1648"/>
      <c r="G320" s="1648"/>
      <c r="H320" s="2002">
        <f t="shared" si="29"/>
        <v>0</v>
      </c>
      <c r="I320" s="2002">
        <f t="shared" si="30"/>
        <v>0</v>
      </c>
      <c r="J320" s="1620"/>
      <c r="K320" s="1621">
        <v>60</v>
      </c>
      <c r="M320" s="1645">
        <v>123642.5</v>
      </c>
    </row>
    <row r="321" spans="1:13" s="1622" customFormat="1">
      <c r="A321" s="1641"/>
      <c r="B321" s="1947"/>
      <c r="C321" s="1934"/>
      <c r="D321" s="1946"/>
      <c r="E321" s="1951"/>
      <c r="F321" s="2007"/>
      <c r="G321" s="2011"/>
      <c r="H321" s="2002"/>
      <c r="I321" s="2002"/>
      <c r="J321" s="1620"/>
      <c r="K321" s="1621"/>
      <c r="M321" s="1645"/>
    </row>
    <row r="322" spans="1:13" s="1622" customFormat="1">
      <c r="A322" s="1641"/>
      <c r="B322" s="1952" t="s">
        <v>1977</v>
      </c>
      <c r="C322" s="1953" t="s">
        <v>1682</v>
      </c>
      <c r="D322" s="1952"/>
      <c r="E322" s="1954"/>
      <c r="F322" s="2009"/>
      <c r="G322" s="2010"/>
      <c r="H322" s="2002"/>
      <c r="I322" s="2002"/>
      <c r="J322" s="1620"/>
      <c r="K322" s="1621"/>
      <c r="M322" s="1645"/>
    </row>
    <row r="323" spans="1:13" s="1622" customFormat="1" ht="13.5" customHeight="1">
      <c r="A323" s="1641"/>
      <c r="B323" s="1946" t="s">
        <v>1828</v>
      </c>
      <c r="C323" s="1956" t="s">
        <v>1665</v>
      </c>
      <c r="D323" s="1946" t="s">
        <v>1140</v>
      </c>
      <c r="E323" s="1936">
        <f>ROUND(K323,2)</f>
        <v>2253.41</v>
      </c>
      <c r="F323" s="1648"/>
      <c r="G323" s="1648"/>
      <c r="H323" s="2002">
        <f t="shared" si="29"/>
        <v>0</v>
      </c>
      <c r="I323" s="2002">
        <f t="shared" si="30"/>
        <v>0</v>
      </c>
      <c r="J323" s="1620"/>
      <c r="K323" s="1621">
        <v>2253.41</v>
      </c>
      <c r="M323" s="1645">
        <v>3584</v>
      </c>
    </row>
    <row r="324" spans="1:13" s="1622" customFormat="1">
      <c r="A324" s="1641"/>
      <c r="B324" s="1946" t="s">
        <v>1818</v>
      </c>
      <c r="C324" s="1947" t="s">
        <v>1666</v>
      </c>
      <c r="D324" s="1946" t="s">
        <v>51</v>
      </c>
      <c r="E324" s="1936">
        <f>ROUND(K324,2)</f>
        <v>135</v>
      </c>
      <c r="F324" s="1648"/>
      <c r="G324" s="1648"/>
      <c r="H324" s="2002">
        <f t="shared" si="29"/>
        <v>0</v>
      </c>
      <c r="I324" s="2002">
        <f t="shared" si="30"/>
        <v>0</v>
      </c>
      <c r="J324" s="1620"/>
      <c r="K324" s="1621">
        <v>135</v>
      </c>
      <c r="M324" s="1645">
        <v>12390</v>
      </c>
    </row>
    <row r="325" spans="1:13" s="1622" customFormat="1">
      <c r="A325" s="1641"/>
      <c r="B325" s="1946" t="s">
        <v>1978</v>
      </c>
      <c r="C325" s="1947" t="s">
        <v>1746</v>
      </c>
      <c r="D325" s="1948" t="s">
        <v>1141</v>
      </c>
      <c r="E325" s="1936">
        <f>ROUND(K325,2)</f>
        <v>0.79</v>
      </c>
      <c r="F325" s="1648"/>
      <c r="G325" s="1648"/>
      <c r="H325" s="2002">
        <f t="shared" si="29"/>
        <v>0</v>
      </c>
      <c r="I325" s="2002">
        <f t="shared" si="30"/>
        <v>0</v>
      </c>
      <c r="J325" s="1620"/>
      <c r="K325" s="1621">
        <v>0.79</v>
      </c>
      <c r="M325" s="1645">
        <v>30985</v>
      </c>
    </row>
    <row r="326" spans="1:13" s="1622" customFormat="1">
      <c r="A326" s="1641"/>
      <c r="B326" s="1946" t="s">
        <v>1979</v>
      </c>
      <c r="C326" s="1947" t="s">
        <v>2101</v>
      </c>
      <c r="D326" s="1946" t="s">
        <v>51</v>
      </c>
      <c r="E326" s="1936">
        <v>0.2</v>
      </c>
      <c r="F326" s="1648"/>
      <c r="G326" s="1648"/>
      <c r="H326" s="2002">
        <f t="shared" si="29"/>
        <v>0</v>
      </c>
      <c r="I326" s="2002">
        <f t="shared" si="30"/>
        <v>0</v>
      </c>
      <c r="J326" s="1620"/>
      <c r="K326" s="1621">
        <v>2.2000000000000002</v>
      </c>
      <c r="M326" s="1645">
        <v>645222</v>
      </c>
    </row>
    <row r="327" spans="1:13" s="1622" customFormat="1">
      <c r="A327" s="1641"/>
      <c r="B327" s="1946" t="s">
        <v>1980</v>
      </c>
      <c r="C327" s="1934" t="s">
        <v>2102</v>
      </c>
      <c r="D327" s="1946" t="s">
        <v>51</v>
      </c>
      <c r="E327" s="1936">
        <v>3.58</v>
      </c>
      <c r="F327" s="1648"/>
      <c r="G327" s="1648"/>
      <c r="H327" s="2002">
        <f t="shared" si="29"/>
        <v>0</v>
      </c>
      <c r="I327" s="2002">
        <f t="shared" si="30"/>
        <v>0</v>
      </c>
      <c r="J327" s="1620"/>
      <c r="K327" s="1621">
        <v>3.5</v>
      </c>
      <c r="M327" s="1645">
        <v>645222</v>
      </c>
    </row>
    <row r="328" spans="1:13" s="1622" customFormat="1">
      <c r="A328" s="1641"/>
      <c r="B328" s="1946" t="s">
        <v>1981</v>
      </c>
      <c r="C328" s="1934" t="s">
        <v>2103</v>
      </c>
      <c r="D328" s="1946" t="s">
        <v>51</v>
      </c>
      <c r="E328" s="1936">
        <v>1.42</v>
      </c>
      <c r="F328" s="1648"/>
      <c r="G328" s="1648"/>
      <c r="H328" s="2002">
        <f t="shared" si="29"/>
        <v>0</v>
      </c>
      <c r="I328" s="2002">
        <f t="shared" si="30"/>
        <v>0</v>
      </c>
      <c r="J328" s="1620"/>
      <c r="K328" s="1621">
        <v>1.8</v>
      </c>
      <c r="M328" s="1645">
        <v>645222</v>
      </c>
    </row>
    <row r="329" spans="1:13" s="1622" customFormat="1">
      <c r="A329" s="1641"/>
      <c r="B329" s="1946" t="s">
        <v>1982</v>
      </c>
      <c r="C329" s="1934" t="s">
        <v>2104</v>
      </c>
      <c r="D329" s="1946" t="s">
        <v>51</v>
      </c>
      <c r="E329" s="1936">
        <v>14.14</v>
      </c>
      <c r="F329" s="1648"/>
      <c r="G329" s="1648"/>
      <c r="H329" s="2002">
        <f t="shared" si="29"/>
        <v>0</v>
      </c>
      <c r="I329" s="2002">
        <f t="shared" si="30"/>
        <v>0</v>
      </c>
      <c r="J329" s="1620"/>
      <c r="K329" s="1621">
        <v>13.9</v>
      </c>
      <c r="M329" s="1645">
        <v>645222</v>
      </c>
    </row>
    <row r="330" spans="1:13" s="1622" customFormat="1">
      <c r="A330" s="1641"/>
      <c r="B330" s="1946" t="s">
        <v>1983</v>
      </c>
      <c r="C330" s="1934" t="s">
        <v>1680</v>
      </c>
      <c r="D330" s="1946" t="s">
        <v>51</v>
      </c>
      <c r="E330" s="1936">
        <v>44.93</v>
      </c>
      <c r="F330" s="1648"/>
      <c r="G330" s="1648"/>
      <c r="H330" s="2002">
        <f t="shared" si="29"/>
        <v>0</v>
      </c>
      <c r="I330" s="2002">
        <f t="shared" si="30"/>
        <v>0</v>
      </c>
      <c r="J330" s="1620"/>
      <c r="K330" s="1621">
        <v>44.11</v>
      </c>
      <c r="M330" s="1645">
        <v>347203</v>
      </c>
    </row>
    <row r="331" spans="1:13" s="1622" customFormat="1">
      <c r="A331" s="1641"/>
      <c r="B331" s="1946" t="s">
        <v>1984</v>
      </c>
      <c r="C331" s="1934" t="s">
        <v>2137</v>
      </c>
      <c r="D331" s="1946" t="s">
        <v>51</v>
      </c>
      <c r="E331" s="1936">
        <f>ROUND(K331,2)</f>
        <v>39.1</v>
      </c>
      <c r="F331" s="1648"/>
      <c r="G331" s="1648"/>
      <c r="H331" s="2002">
        <f t="shared" si="29"/>
        <v>0</v>
      </c>
      <c r="I331" s="2002">
        <f t="shared" si="30"/>
        <v>0</v>
      </c>
      <c r="J331" s="1620"/>
      <c r="K331" s="1621">
        <v>39.1</v>
      </c>
      <c r="M331" s="1645">
        <v>645222</v>
      </c>
    </row>
    <row r="332" spans="1:13" s="1622" customFormat="1">
      <c r="A332" s="1641"/>
      <c r="B332" s="1946" t="s">
        <v>1985</v>
      </c>
      <c r="C332" s="1957" t="s">
        <v>570</v>
      </c>
      <c r="D332" s="1958"/>
      <c r="E332" s="1959"/>
      <c r="F332" s="2012"/>
      <c r="G332" s="2010">
        <f>SUM(G267:G331)</f>
        <v>0</v>
      </c>
      <c r="H332" s="2002"/>
      <c r="I332" s="2002"/>
      <c r="J332" s="1620"/>
      <c r="K332" s="1621"/>
      <c r="M332" s="2005"/>
    </row>
    <row r="333" spans="1:13" s="1622" customFormat="1">
      <c r="A333" s="2013"/>
      <c r="B333" s="2205" t="s">
        <v>1658</v>
      </c>
      <c r="C333" s="2205"/>
      <c r="D333" s="1960"/>
      <c r="E333" s="1961"/>
      <c r="F333" s="2014"/>
      <c r="G333" s="2015"/>
      <c r="H333" s="2002"/>
      <c r="I333" s="2002"/>
      <c r="J333" s="1620"/>
      <c r="K333" s="1621"/>
      <c r="M333" s="2005"/>
    </row>
    <row r="334" spans="1:13" s="1622" customFormat="1">
      <c r="A334" s="2013"/>
      <c r="B334" s="2206" t="s">
        <v>1986</v>
      </c>
      <c r="C334" s="2161" t="s">
        <v>1109</v>
      </c>
      <c r="D334" s="1946"/>
      <c r="E334" s="1951"/>
      <c r="F334" s="2007"/>
      <c r="G334" s="2007"/>
      <c r="H334" s="2002"/>
      <c r="I334" s="2002"/>
      <c r="J334" s="1620"/>
      <c r="K334" s="1621"/>
      <c r="M334" s="1645"/>
    </row>
    <row r="335" spans="1:13" s="1622" customFormat="1" ht="51">
      <c r="A335" s="2013"/>
      <c r="B335" s="2206"/>
      <c r="C335" s="1941" t="s">
        <v>1111</v>
      </c>
      <c r="D335" s="1946" t="s">
        <v>579</v>
      </c>
      <c r="E335" s="2207">
        <f>ROUND(K335,2)</f>
        <v>1</v>
      </c>
      <c r="F335" s="1648"/>
      <c r="G335" s="1648"/>
      <c r="H335" s="2002">
        <f t="shared" si="29"/>
        <v>0</v>
      </c>
      <c r="I335" s="2002">
        <f t="shared" si="30"/>
        <v>0</v>
      </c>
      <c r="J335" s="1620"/>
      <c r="K335" s="1621">
        <v>1</v>
      </c>
      <c r="M335" s="1645">
        <v>3698865.0000000005</v>
      </c>
    </row>
    <row r="336" spans="1:13" s="1622" customFormat="1" ht="15.75" customHeight="1">
      <c r="A336" s="2013"/>
      <c r="B336" s="2206"/>
      <c r="C336" s="1941"/>
      <c r="D336" s="1946"/>
      <c r="E336" s="1951"/>
      <c r="F336" s="2007"/>
      <c r="G336" s="2016">
        <f>SUM(G334:G335)</f>
        <v>0</v>
      </c>
      <c r="H336" s="2002"/>
      <c r="I336" s="2002"/>
      <c r="J336" s="1620"/>
      <c r="K336" s="1621"/>
      <c r="M336" s="1645"/>
    </row>
    <row r="337" spans="1:13" s="1622" customFormat="1" ht="12.75" customHeight="1">
      <c r="A337" s="2013"/>
      <c r="B337" s="2208"/>
      <c r="C337" s="2204" t="s">
        <v>2162</v>
      </c>
      <c r="D337" s="2204"/>
      <c r="E337" s="2204"/>
      <c r="F337" s="2114"/>
      <c r="G337" s="2065">
        <f>+G336+G332</f>
        <v>0</v>
      </c>
      <c r="H337" s="2002"/>
      <c r="I337" s="2002"/>
      <c r="J337" s="1620"/>
      <c r="K337" s="1621"/>
      <c r="M337" s="1625"/>
    </row>
    <row r="338" spans="1:13" s="1622" customFormat="1">
      <c r="A338" s="2013"/>
      <c r="B338" s="2209"/>
      <c r="C338" s="2161"/>
      <c r="D338" s="1946"/>
      <c r="E338" s="1951"/>
      <c r="F338" s="2007"/>
      <c r="G338" s="2007"/>
      <c r="H338" s="2002"/>
      <c r="I338" s="2002"/>
      <c r="J338" s="1620"/>
      <c r="K338" s="1621"/>
      <c r="M338" s="1645"/>
    </row>
    <row r="339" spans="1:13" s="1622" customFormat="1" ht="15" customHeight="1">
      <c r="A339" s="2013"/>
      <c r="B339" s="2210">
        <v>10</v>
      </c>
      <c r="C339" s="1942" t="s">
        <v>1136</v>
      </c>
      <c r="D339" s="2157"/>
      <c r="E339" s="2159"/>
      <c r="F339" s="2057"/>
      <c r="G339" s="2057"/>
      <c r="H339" s="2002"/>
      <c r="I339" s="2002"/>
      <c r="J339" s="1620"/>
      <c r="K339" s="1621"/>
      <c r="M339" s="2005"/>
    </row>
    <row r="340" spans="1:13" s="1622" customFormat="1" ht="23.25" customHeight="1">
      <c r="A340" s="2013"/>
      <c r="B340" s="2206"/>
      <c r="C340" s="1974" t="s">
        <v>2160</v>
      </c>
      <c r="D340" s="1974"/>
      <c r="E340" s="1974"/>
      <c r="F340" s="1642"/>
      <c r="G340" s="1642"/>
      <c r="H340" s="2002"/>
      <c r="I340" s="2002"/>
      <c r="J340" s="1620"/>
      <c r="K340" s="1621"/>
      <c r="M340" s="1625"/>
    </row>
    <row r="341" spans="1:13" s="1622" customFormat="1">
      <c r="A341" s="2013"/>
      <c r="B341" s="2206" t="s">
        <v>1987</v>
      </c>
      <c r="C341" s="1957" t="s">
        <v>1705</v>
      </c>
      <c r="D341" s="2211"/>
      <c r="E341" s="2212"/>
      <c r="F341" s="2066"/>
      <c r="G341" s="2066"/>
      <c r="H341" s="2002"/>
      <c r="I341" s="2002"/>
      <c r="J341" s="1620"/>
      <c r="K341" s="1621"/>
      <c r="M341" s="2005"/>
    </row>
    <row r="342" spans="1:13" s="1622" customFormat="1">
      <c r="A342" s="2013"/>
      <c r="B342" s="2210" t="s">
        <v>1142</v>
      </c>
      <c r="C342" s="1934" t="s">
        <v>1699</v>
      </c>
      <c r="D342" s="1962" t="s">
        <v>1242</v>
      </c>
      <c r="E342" s="1936">
        <f>ROUND(K342,2)</f>
        <v>1</v>
      </c>
      <c r="F342" s="1648"/>
      <c r="G342" s="1648"/>
      <c r="H342" s="2002">
        <f t="shared" si="29"/>
        <v>0</v>
      </c>
      <c r="I342" s="2002">
        <f t="shared" si="30"/>
        <v>0</v>
      </c>
      <c r="J342" s="1620"/>
      <c r="K342" s="1621">
        <v>1</v>
      </c>
      <c r="M342" s="1645">
        <v>564000</v>
      </c>
    </row>
    <row r="343" spans="1:13" s="1622" customFormat="1">
      <c r="A343" s="2013"/>
      <c r="B343" s="2206" t="s">
        <v>1988</v>
      </c>
      <c r="C343" s="1957" t="s">
        <v>1704</v>
      </c>
      <c r="D343" s="2211"/>
      <c r="E343" s="2212"/>
      <c r="F343" s="2066"/>
      <c r="G343" s="2017"/>
      <c r="H343" s="2002"/>
      <c r="I343" s="2002"/>
      <c r="J343" s="1620"/>
      <c r="K343" s="1621"/>
      <c r="M343" s="2005"/>
    </row>
    <row r="344" spans="1:13" s="1622" customFormat="1">
      <c r="A344" s="2013"/>
      <c r="B344" s="2206" t="s">
        <v>1749</v>
      </c>
      <c r="C344" s="1934" t="s">
        <v>1700</v>
      </c>
      <c r="D344" s="1962" t="s">
        <v>1242</v>
      </c>
      <c r="E344" s="1936">
        <f>ROUND(K344,2)</f>
        <v>1</v>
      </c>
      <c r="F344" s="1648"/>
      <c r="G344" s="1648"/>
      <c r="H344" s="2002">
        <f t="shared" si="29"/>
        <v>0</v>
      </c>
      <c r="I344" s="2002">
        <f t="shared" si="30"/>
        <v>0</v>
      </c>
      <c r="J344" s="1620"/>
      <c r="K344" s="1621">
        <v>1</v>
      </c>
      <c r="M344" s="1645">
        <v>144800</v>
      </c>
    </row>
    <row r="345" spans="1:13" s="1622" customFormat="1">
      <c r="A345" s="2013"/>
      <c r="B345" s="2206" t="s">
        <v>1750</v>
      </c>
      <c r="C345" s="1934" t="s">
        <v>1701</v>
      </c>
      <c r="D345" s="1948" t="s">
        <v>1242</v>
      </c>
      <c r="E345" s="1936">
        <f>ROUND(K345,2)</f>
        <v>2</v>
      </c>
      <c r="F345" s="1648"/>
      <c r="G345" s="1648"/>
      <c r="H345" s="2002">
        <f t="shared" si="29"/>
        <v>0</v>
      </c>
      <c r="I345" s="2002">
        <f t="shared" si="30"/>
        <v>0</v>
      </c>
      <c r="J345" s="1620"/>
      <c r="K345" s="1621">
        <v>2</v>
      </c>
      <c r="M345" s="1645">
        <v>157800</v>
      </c>
    </row>
    <row r="346" spans="1:13" s="1622" customFormat="1">
      <c r="A346" s="2013"/>
      <c r="B346" s="2206" t="s">
        <v>1751</v>
      </c>
      <c r="C346" s="1934" t="s">
        <v>1702</v>
      </c>
      <c r="D346" s="1948" t="s">
        <v>1242</v>
      </c>
      <c r="E346" s="1936">
        <f>ROUND(K346,2)</f>
        <v>1</v>
      </c>
      <c r="F346" s="1648"/>
      <c r="G346" s="1648"/>
      <c r="H346" s="2002">
        <f t="shared" si="29"/>
        <v>0</v>
      </c>
      <c r="I346" s="2002">
        <f t="shared" si="30"/>
        <v>0</v>
      </c>
      <c r="J346" s="1620"/>
      <c r="K346" s="1621">
        <v>1</v>
      </c>
      <c r="M346" s="1645">
        <v>238300</v>
      </c>
    </row>
    <row r="347" spans="1:13" s="1622" customFormat="1">
      <c r="A347" s="2013"/>
      <c r="B347" s="2206" t="s">
        <v>1752</v>
      </c>
      <c r="C347" s="1934" t="s">
        <v>1703</v>
      </c>
      <c r="D347" s="1948" t="s">
        <v>1242</v>
      </c>
      <c r="E347" s="1936">
        <f>ROUND(K347,2)</f>
        <v>1</v>
      </c>
      <c r="F347" s="1648"/>
      <c r="G347" s="1648"/>
      <c r="H347" s="2002">
        <f t="shared" si="29"/>
        <v>0</v>
      </c>
      <c r="I347" s="2002">
        <f t="shared" si="30"/>
        <v>0</v>
      </c>
      <c r="J347" s="1620"/>
      <c r="K347" s="1621">
        <v>1</v>
      </c>
      <c r="M347" s="1645">
        <v>233275</v>
      </c>
    </row>
    <row r="348" spans="1:13" s="1622" customFormat="1">
      <c r="A348" s="2013"/>
      <c r="B348" s="2206" t="s">
        <v>1989</v>
      </c>
      <c r="C348" s="1934" t="s">
        <v>1748</v>
      </c>
      <c r="D348" s="1948" t="s">
        <v>1242</v>
      </c>
      <c r="E348" s="1936">
        <f>ROUND(K348,2)</f>
        <v>1</v>
      </c>
      <c r="F348" s="1648"/>
      <c r="G348" s="1648"/>
      <c r="H348" s="2002">
        <f t="shared" si="29"/>
        <v>0</v>
      </c>
      <c r="I348" s="2002">
        <f t="shared" si="30"/>
        <v>0</v>
      </c>
      <c r="J348" s="1620"/>
      <c r="K348" s="1621">
        <v>1</v>
      </c>
      <c r="M348" s="1645">
        <v>444200</v>
      </c>
    </row>
    <row r="349" spans="1:13" s="1622" customFormat="1">
      <c r="A349" s="2013"/>
      <c r="B349" s="2206" t="s">
        <v>1990</v>
      </c>
      <c r="C349" s="1957" t="s">
        <v>1706</v>
      </c>
      <c r="D349" s="2211"/>
      <c r="E349" s="2212"/>
      <c r="F349" s="2066"/>
      <c r="G349" s="2066"/>
      <c r="H349" s="2002"/>
      <c r="I349" s="2002"/>
      <c r="J349" s="1620"/>
      <c r="K349" s="1621"/>
      <c r="M349" s="2005"/>
    </row>
    <row r="350" spans="1:13" s="1622" customFormat="1">
      <c r="A350" s="2013"/>
      <c r="B350" s="2210" t="s">
        <v>1753</v>
      </c>
      <c r="C350" s="1934" t="s">
        <v>1707</v>
      </c>
      <c r="D350" s="1962" t="s">
        <v>1242</v>
      </c>
      <c r="E350" s="1936">
        <f>ROUND(K350,2)</f>
        <v>1</v>
      </c>
      <c r="F350" s="1648"/>
      <c r="G350" s="1648"/>
      <c r="H350" s="2002">
        <f t="shared" si="29"/>
        <v>0</v>
      </c>
      <c r="I350" s="2002">
        <f t="shared" si="30"/>
        <v>0</v>
      </c>
      <c r="J350" s="1620"/>
      <c r="K350" s="1621">
        <v>1</v>
      </c>
      <c r="M350" s="1645">
        <v>51900</v>
      </c>
    </row>
    <row r="351" spans="1:13" s="1622" customFormat="1" ht="16.5" customHeight="1">
      <c r="A351" s="2013"/>
      <c r="B351" s="2206" t="s">
        <v>1755</v>
      </c>
      <c r="C351" s="1974" t="s">
        <v>1708</v>
      </c>
      <c r="D351" s="1974"/>
      <c r="E351" s="1974"/>
      <c r="F351" s="1642"/>
      <c r="G351" s="1642"/>
      <c r="H351" s="2002"/>
      <c r="I351" s="2002"/>
      <c r="J351" s="1620"/>
      <c r="K351" s="1621"/>
      <c r="M351" s="1625"/>
    </row>
    <row r="352" spans="1:13" s="1622" customFormat="1">
      <c r="A352" s="2013"/>
      <c r="B352" s="2210" t="s">
        <v>1754</v>
      </c>
      <c r="C352" s="1963" t="s">
        <v>1720</v>
      </c>
      <c r="D352" s="1962" t="s">
        <v>2189</v>
      </c>
      <c r="E352" s="1936">
        <f>ROUND(K352,2)</f>
        <v>1</v>
      </c>
      <c r="F352" s="1648"/>
      <c r="G352" s="1648"/>
      <c r="H352" s="2002">
        <f t="shared" si="29"/>
        <v>0</v>
      </c>
      <c r="I352" s="2002">
        <f t="shared" si="30"/>
        <v>0</v>
      </c>
      <c r="J352" s="1620"/>
      <c r="K352" s="1621">
        <v>1</v>
      </c>
      <c r="M352" s="1645">
        <v>620450</v>
      </c>
    </row>
    <row r="353" spans="1:13" s="1622" customFormat="1">
      <c r="A353" s="2013"/>
      <c r="B353" s="2206" t="s">
        <v>1991</v>
      </c>
      <c r="C353" s="1974" t="s">
        <v>1709</v>
      </c>
      <c r="D353" s="1974"/>
      <c r="E353" s="1974"/>
      <c r="F353" s="1642"/>
      <c r="G353" s="1642"/>
      <c r="H353" s="2002"/>
      <c r="I353" s="2002"/>
      <c r="J353" s="1620"/>
      <c r="K353" s="1621"/>
      <c r="M353" s="1625"/>
    </row>
    <row r="354" spans="1:13" s="1622" customFormat="1">
      <c r="A354" s="2013"/>
      <c r="B354" s="2210" t="s">
        <v>1992</v>
      </c>
      <c r="C354" s="1963" t="s">
        <v>1721</v>
      </c>
      <c r="D354" s="1962" t="s">
        <v>1242</v>
      </c>
      <c r="E354" s="1936">
        <f>ROUND(K354,2)</f>
        <v>1</v>
      </c>
      <c r="F354" s="1648"/>
      <c r="G354" s="1648"/>
      <c r="H354" s="2002">
        <f t="shared" si="29"/>
        <v>0</v>
      </c>
      <c r="I354" s="2002">
        <f t="shared" si="30"/>
        <v>0</v>
      </c>
      <c r="J354" s="1620"/>
      <c r="K354" s="1621">
        <v>1</v>
      </c>
      <c r="M354" s="1645">
        <v>795885</v>
      </c>
    </row>
    <row r="355" spans="1:13" s="1622" customFormat="1">
      <c r="A355" s="2013"/>
      <c r="B355" s="2206" t="s">
        <v>1993</v>
      </c>
      <c r="C355" s="1974" t="s">
        <v>1710</v>
      </c>
      <c r="D355" s="1974"/>
      <c r="E355" s="1974"/>
      <c r="F355" s="1642"/>
      <c r="G355" s="1642"/>
      <c r="H355" s="2002"/>
      <c r="I355" s="2002"/>
      <c r="J355" s="1620"/>
      <c r="K355" s="1621"/>
      <c r="M355" s="1625"/>
    </row>
    <row r="356" spans="1:13" s="1622" customFormat="1">
      <c r="A356" s="2013"/>
      <c r="B356" s="2206" t="s">
        <v>1994</v>
      </c>
      <c r="C356" s="1934" t="s">
        <v>1722</v>
      </c>
      <c r="D356" s="1962" t="s">
        <v>1242</v>
      </c>
      <c r="E356" s="1936">
        <f>ROUND(K356,2)</f>
        <v>1</v>
      </c>
      <c r="F356" s="1648"/>
      <c r="G356" s="1648"/>
      <c r="H356" s="2002">
        <f t="shared" si="29"/>
        <v>0</v>
      </c>
      <c r="I356" s="2002">
        <f t="shared" si="30"/>
        <v>0</v>
      </c>
      <c r="J356" s="1620"/>
      <c r="K356" s="1621">
        <v>1</v>
      </c>
      <c r="M356" s="1645">
        <v>274370</v>
      </c>
    </row>
    <row r="357" spans="1:13" s="1622" customFormat="1">
      <c r="A357" s="2013"/>
      <c r="B357" s="2206" t="s">
        <v>1995</v>
      </c>
      <c r="C357" s="1934" t="s">
        <v>1711</v>
      </c>
      <c r="D357" s="1962" t="s">
        <v>1242</v>
      </c>
      <c r="E357" s="1936">
        <f>ROUND(K357,2)</f>
        <v>1</v>
      </c>
      <c r="F357" s="1648"/>
      <c r="G357" s="1648"/>
      <c r="H357" s="2002">
        <f t="shared" si="29"/>
        <v>0</v>
      </c>
      <c r="I357" s="2002">
        <f t="shared" si="30"/>
        <v>0</v>
      </c>
      <c r="J357" s="1620"/>
      <c r="K357" s="1621">
        <v>1</v>
      </c>
      <c r="M357" s="1645">
        <v>328370</v>
      </c>
    </row>
    <row r="358" spans="1:13" s="1622" customFormat="1">
      <c r="A358" s="2013"/>
      <c r="B358" s="2206" t="s">
        <v>1996</v>
      </c>
      <c r="C358" s="1934" t="s">
        <v>1712</v>
      </c>
      <c r="D358" s="1962" t="s">
        <v>1242</v>
      </c>
      <c r="E358" s="1936">
        <f>ROUND(K358,2)</f>
        <v>1</v>
      </c>
      <c r="F358" s="1648"/>
      <c r="G358" s="1648"/>
      <c r="H358" s="2002">
        <f t="shared" si="29"/>
        <v>0</v>
      </c>
      <c r="I358" s="2002">
        <f t="shared" si="30"/>
        <v>0</v>
      </c>
      <c r="J358" s="1620"/>
      <c r="K358" s="1621">
        <v>1</v>
      </c>
      <c r="M358" s="1645">
        <v>328370</v>
      </c>
    </row>
    <row r="359" spans="1:13" s="1622" customFormat="1">
      <c r="A359" s="2013"/>
      <c r="B359" s="2206" t="s">
        <v>1997</v>
      </c>
      <c r="C359" s="1934" t="s">
        <v>1713</v>
      </c>
      <c r="D359" s="1962" t="s">
        <v>1242</v>
      </c>
      <c r="E359" s="1936">
        <f>ROUND(K359,2)</f>
        <v>1</v>
      </c>
      <c r="F359" s="1648"/>
      <c r="G359" s="1648"/>
      <c r="H359" s="2002">
        <f t="shared" si="29"/>
        <v>0</v>
      </c>
      <c r="I359" s="2002">
        <f t="shared" si="30"/>
        <v>0</v>
      </c>
      <c r="J359" s="1620"/>
      <c r="K359" s="1621">
        <v>1</v>
      </c>
      <c r="M359" s="1645">
        <v>328370</v>
      </c>
    </row>
    <row r="360" spans="1:13" s="1622" customFormat="1">
      <c r="A360" s="2013"/>
      <c r="B360" s="2206" t="s">
        <v>1998</v>
      </c>
      <c r="C360" s="1974" t="s">
        <v>1714</v>
      </c>
      <c r="D360" s="1974"/>
      <c r="E360" s="1974"/>
      <c r="F360" s="1642"/>
      <c r="G360" s="1642"/>
      <c r="H360" s="2002"/>
      <c r="I360" s="2002"/>
      <c r="J360" s="1620"/>
      <c r="K360" s="1621"/>
      <c r="M360" s="1625"/>
    </row>
    <row r="361" spans="1:13" s="1622" customFormat="1">
      <c r="A361" s="2013"/>
      <c r="B361" s="2206" t="s">
        <v>1999</v>
      </c>
      <c r="C361" s="1964" t="s">
        <v>1723</v>
      </c>
      <c r="D361" s="1962" t="s">
        <v>1242</v>
      </c>
      <c r="E361" s="1936">
        <f>ROUND(K361,2)</f>
        <v>11</v>
      </c>
      <c r="F361" s="1648"/>
      <c r="G361" s="1648"/>
      <c r="H361" s="2002">
        <f t="shared" si="29"/>
        <v>0</v>
      </c>
      <c r="I361" s="2002">
        <f t="shared" si="30"/>
        <v>0</v>
      </c>
      <c r="J361" s="1620"/>
      <c r="K361" s="1621">
        <v>11</v>
      </c>
      <c r="M361" s="1645">
        <v>248850</v>
      </c>
    </row>
    <row r="362" spans="1:13" s="1622" customFormat="1">
      <c r="A362" s="2013"/>
      <c r="B362" s="2206" t="s">
        <v>2000</v>
      </c>
      <c r="C362" s="1964" t="s">
        <v>1724</v>
      </c>
      <c r="D362" s="1962" t="s">
        <v>1242</v>
      </c>
      <c r="E362" s="1936">
        <f>ROUND(K362,2)</f>
        <v>49</v>
      </c>
      <c r="F362" s="1648"/>
      <c r="G362" s="1648"/>
      <c r="H362" s="2002">
        <f t="shared" si="29"/>
        <v>0</v>
      </c>
      <c r="I362" s="2002">
        <f t="shared" si="30"/>
        <v>0</v>
      </c>
      <c r="J362" s="1620"/>
      <c r="K362" s="1621">
        <v>49</v>
      </c>
      <c r="M362" s="1645">
        <v>60100</v>
      </c>
    </row>
    <row r="363" spans="1:13" s="1622" customFormat="1">
      <c r="A363" s="2013"/>
      <c r="B363" s="2206" t="s">
        <v>2001</v>
      </c>
      <c r="C363" s="1974" t="s">
        <v>1715</v>
      </c>
      <c r="D363" s="1974"/>
      <c r="E363" s="1974"/>
      <c r="F363" s="1642"/>
      <c r="G363" s="1642"/>
      <c r="H363" s="2002"/>
      <c r="I363" s="2002"/>
      <c r="J363" s="1620"/>
      <c r="K363" s="1621"/>
      <c r="M363" s="1625"/>
    </row>
    <row r="364" spans="1:13" s="1622" customFormat="1" ht="27" customHeight="1">
      <c r="A364" s="2013"/>
      <c r="B364" s="2206" t="s">
        <v>2002</v>
      </c>
      <c r="C364" s="1934" t="s">
        <v>1725</v>
      </c>
      <c r="D364" s="1962" t="s">
        <v>1242</v>
      </c>
      <c r="E364" s="1936">
        <f>ROUND(K364,2)</f>
        <v>17</v>
      </c>
      <c r="F364" s="1648"/>
      <c r="G364" s="1648"/>
      <c r="H364" s="2002">
        <f t="shared" si="29"/>
        <v>0</v>
      </c>
      <c r="I364" s="2002">
        <f t="shared" si="30"/>
        <v>0</v>
      </c>
      <c r="J364" s="1620"/>
      <c r="K364" s="1621">
        <v>17</v>
      </c>
      <c r="M364" s="1645">
        <v>80000</v>
      </c>
    </row>
    <row r="365" spans="1:13" s="1622" customFormat="1">
      <c r="A365" s="2013"/>
      <c r="B365" s="2206" t="s">
        <v>2003</v>
      </c>
      <c r="C365" s="1934" t="s">
        <v>1716</v>
      </c>
      <c r="D365" s="1962" t="s">
        <v>1242</v>
      </c>
      <c r="E365" s="1936">
        <f>ROUND(K365,2)</f>
        <v>7</v>
      </c>
      <c r="F365" s="1648"/>
      <c r="G365" s="1648"/>
      <c r="H365" s="2002">
        <f t="shared" si="29"/>
        <v>0</v>
      </c>
      <c r="I365" s="2002">
        <f t="shared" si="30"/>
        <v>0</v>
      </c>
      <c r="J365" s="1620"/>
      <c r="K365" s="1621">
        <v>7</v>
      </c>
      <c r="M365" s="1645">
        <v>94200</v>
      </c>
    </row>
    <row r="366" spans="1:13" s="1622" customFormat="1">
      <c r="A366" s="2013"/>
      <c r="B366" s="2206" t="s">
        <v>2004</v>
      </c>
      <c r="C366" s="1934" t="s">
        <v>1717</v>
      </c>
      <c r="D366" s="1962" t="s">
        <v>1242</v>
      </c>
      <c r="E366" s="1936">
        <f>ROUND(K366,2)</f>
        <v>1</v>
      </c>
      <c r="F366" s="1648"/>
      <c r="G366" s="1648"/>
      <c r="H366" s="2002">
        <f t="shared" si="29"/>
        <v>0</v>
      </c>
      <c r="I366" s="2002">
        <f t="shared" si="30"/>
        <v>0</v>
      </c>
      <c r="J366" s="1620"/>
      <c r="K366" s="1621">
        <v>1</v>
      </c>
      <c r="M366" s="1645">
        <v>87000</v>
      </c>
    </row>
    <row r="367" spans="1:13" s="1622" customFormat="1">
      <c r="A367" s="2013"/>
      <c r="B367" s="2206" t="s">
        <v>2005</v>
      </c>
      <c r="C367" s="1974" t="s">
        <v>1718</v>
      </c>
      <c r="D367" s="1974"/>
      <c r="E367" s="1974"/>
      <c r="F367" s="1642"/>
      <c r="G367" s="1642"/>
      <c r="H367" s="2002"/>
      <c r="I367" s="2002"/>
      <c r="J367" s="1620"/>
      <c r="K367" s="1621"/>
      <c r="M367" s="1625"/>
    </row>
    <row r="368" spans="1:13" s="1622" customFormat="1">
      <c r="A368" s="2013"/>
      <c r="B368" s="2206" t="s">
        <v>2006</v>
      </c>
      <c r="C368" s="1934" t="s">
        <v>1719</v>
      </c>
      <c r="D368" s="1962" t="s">
        <v>1242</v>
      </c>
      <c r="E368" s="1936">
        <f>ROUND(K368,2)</f>
        <v>5</v>
      </c>
      <c r="F368" s="1648"/>
      <c r="G368" s="1648"/>
      <c r="H368" s="2002">
        <f t="shared" si="29"/>
        <v>0</v>
      </c>
      <c r="I368" s="2002">
        <f t="shared" si="30"/>
        <v>0</v>
      </c>
      <c r="J368" s="1620"/>
      <c r="K368" s="1621">
        <v>5</v>
      </c>
      <c r="M368" s="1645">
        <v>158770</v>
      </c>
    </row>
    <row r="369" spans="1:13" s="1622" customFormat="1">
      <c r="A369" s="2013"/>
      <c r="B369" s="2206"/>
      <c r="C369" s="1974" t="s">
        <v>1726</v>
      </c>
      <c r="D369" s="1974"/>
      <c r="E369" s="1974"/>
      <c r="F369" s="1642"/>
      <c r="G369" s="1642"/>
      <c r="H369" s="2002"/>
      <c r="I369" s="2002"/>
      <c r="J369" s="1620"/>
      <c r="K369" s="1621"/>
      <c r="M369" s="1625"/>
    </row>
    <row r="370" spans="1:13" s="1622" customFormat="1">
      <c r="A370" s="2013"/>
      <c r="B370" s="2206" t="s">
        <v>2007</v>
      </c>
      <c r="C370" s="1957" t="s">
        <v>1727</v>
      </c>
      <c r="D370" s="1966"/>
      <c r="E370" s="1967"/>
      <c r="F370" s="2018"/>
      <c r="G370" s="2018"/>
      <c r="H370" s="2002"/>
      <c r="I370" s="2002"/>
      <c r="J370" s="1620"/>
      <c r="K370" s="1621"/>
      <c r="M370" s="1645"/>
    </row>
    <row r="371" spans="1:13" s="1622" customFormat="1">
      <c r="A371" s="2013"/>
      <c r="B371" s="2206" t="s">
        <v>2008</v>
      </c>
      <c r="C371" s="1934" t="s">
        <v>1731</v>
      </c>
      <c r="D371" s="1962" t="s">
        <v>1141</v>
      </c>
      <c r="E371" s="1936">
        <f>ROUND(K371,2)</f>
        <v>1</v>
      </c>
      <c r="F371" s="1648"/>
      <c r="G371" s="1648"/>
      <c r="H371" s="2002">
        <f t="shared" si="29"/>
        <v>0</v>
      </c>
      <c r="I371" s="2002">
        <f t="shared" si="30"/>
        <v>0</v>
      </c>
      <c r="J371" s="1620"/>
      <c r="K371" s="1621">
        <v>1</v>
      </c>
      <c r="M371" s="1645">
        <v>1749250</v>
      </c>
    </row>
    <row r="372" spans="1:13" s="1622" customFormat="1" ht="25.5" customHeight="1">
      <c r="A372" s="2013"/>
      <c r="B372" s="2206" t="s">
        <v>2009</v>
      </c>
      <c r="C372" s="1953" t="s">
        <v>1728</v>
      </c>
      <c r="D372" s="1966"/>
      <c r="E372" s="1966"/>
      <c r="F372" s="2018"/>
      <c r="G372" s="2018"/>
      <c r="H372" s="2002"/>
      <c r="I372" s="2002"/>
      <c r="J372" s="1620"/>
      <c r="K372" s="1621"/>
      <c r="M372" s="1645"/>
    </row>
    <row r="373" spans="1:13" s="1622" customFormat="1">
      <c r="A373" s="2013"/>
      <c r="B373" s="2206" t="s">
        <v>2010</v>
      </c>
      <c r="C373" s="1934" t="s">
        <v>1732</v>
      </c>
      <c r="D373" s="1962" t="s">
        <v>1242</v>
      </c>
      <c r="E373" s="1936">
        <f>ROUND(K373,2)</f>
        <v>4</v>
      </c>
      <c r="F373" s="1648"/>
      <c r="G373" s="1648"/>
      <c r="H373" s="2002">
        <f t="shared" ref="H373:H432" si="31">+ROUND(F373*0.9,0)</f>
        <v>0</v>
      </c>
      <c r="I373" s="2002">
        <f t="shared" ref="I373:I432" si="32">+ROUND(F373*1.1,0)</f>
        <v>0</v>
      </c>
      <c r="J373" s="1620"/>
      <c r="K373" s="1621">
        <v>4</v>
      </c>
      <c r="M373" s="1645">
        <v>864000</v>
      </c>
    </row>
    <row r="374" spans="1:13" s="1622" customFormat="1">
      <c r="A374" s="2013"/>
      <c r="B374" s="2206" t="s">
        <v>2011</v>
      </c>
      <c r="C374" s="1953" t="s">
        <v>1729</v>
      </c>
      <c r="D374" s="1966"/>
      <c r="E374" s="1966"/>
      <c r="F374" s="2018"/>
      <c r="G374" s="2018"/>
      <c r="H374" s="2002"/>
      <c r="I374" s="2002"/>
      <c r="J374" s="1620"/>
      <c r="K374" s="1621"/>
      <c r="M374" s="1645"/>
    </row>
    <row r="375" spans="1:13" s="1622" customFormat="1">
      <c r="A375" s="2013"/>
      <c r="B375" s="2206" t="s">
        <v>2012</v>
      </c>
      <c r="C375" s="1934" t="s">
        <v>1733</v>
      </c>
      <c r="D375" s="1962" t="s">
        <v>1242</v>
      </c>
      <c r="E375" s="1936">
        <f>ROUND(K375,2)</f>
        <v>1</v>
      </c>
      <c r="F375" s="1648"/>
      <c r="G375" s="1648"/>
      <c r="H375" s="2002">
        <f t="shared" si="31"/>
        <v>0</v>
      </c>
      <c r="I375" s="2002">
        <f t="shared" si="32"/>
        <v>0</v>
      </c>
      <c r="J375" s="1620"/>
      <c r="K375" s="1621">
        <v>1</v>
      </c>
      <c r="M375" s="1645">
        <v>4547140</v>
      </c>
    </row>
    <row r="376" spans="1:13" s="1622" customFormat="1">
      <c r="A376" s="2013"/>
      <c r="B376" s="2206" t="s">
        <v>2013</v>
      </c>
      <c r="C376" s="1953" t="s">
        <v>1730</v>
      </c>
      <c r="D376" s="1966"/>
      <c r="E376" s="1966"/>
      <c r="F376" s="2018"/>
      <c r="G376" s="2018"/>
      <c r="H376" s="2002"/>
      <c r="I376" s="2002"/>
      <c r="J376" s="1620"/>
      <c r="K376" s="1621"/>
      <c r="M376" s="1645"/>
    </row>
    <row r="377" spans="1:13" s="1622" customFormat="1">
      <c r="A377" s="2013"/>
      <c r="B377" s="2210" t="s">
        <v>2014</v>
      </c>
      <c r="C377" s="1934" t="s">
        <v>1734</v>
      </c>
      <c r="D377" s="1962" t="s">
        <v>1242</v>
      </c>
      <c r="E377" s="1936">
        <f>ROUND(K377,2)</f>
        <v>1</v>
      </c>
      <c r="F377" s="1648"/>
      <c r="G377" s="1648"/>
      <c r="H377" s="2002">
        <f t="shared" si="31"/>
        <v>0</v>
      </c>
      <c r="I377" s="2002">
        <f t="shared" si="32"/>
        <v>0</v>
      </c>
      <c r="J377" s="1620"/>
      <c r="K377" s="1621">
        <v>1</v>
      </c>
      <c r="M377" s="1645">
        <v>4797250</v>
      </c>
    </row>
    <row r="378" spans="1:13" s="1622" customFormat="1">
      <c r="A378" s="2013"/>
      <c r="B378" s="1946" t="s">
        <v>2015</v>
      </c>
      <c r="C378" s="2213" t="s">
        <v>1739</v>
      </c>
      <c r="D378" s="2213"/>
      <c r="E378" s="2213"/>
      <c r="F378" s="2116"/>
      <c r="G378" s="2116"/>
      <c r="H378" s="2002"/>
      <c r="I378" s="2002"/>
      <c r="J378" s="1620"/>
      <c r="K378" s="1621"/>
      <c r="M378" s="1625"/>
    </row>
    <row r="379" spans="1:13" s="1622" customFormat="1">
      <c r="A379" s="2013"/>
      <c r="B379" s="1946"/>
      <c r="C379" s="1965" t="s">
        <v>1735</v>
      </c>
      <c r="D379" s="1966"/>
      <c r="E379" s="1967"/>
      <c r="F379" s="2018"/>
      <c r="G379" s="2017"/>
      <c r="H379" s="2002"/>
      <c r="I379" s="2002"/>
      <c r="J379" s="1620"/>
      <c r="K379" s="1621"/>
      <c r="M379" s="1645"/>
    </row>
    <row r="380" spans="1:13" s="1622" customFormat="1">
      <c r="A380" s="2013"/>
      <c r="B380" s="1946" t="s">
        <v>2016</v>
      </c>
      <c r="C380" s="1968" t="s">
        <v>1736</v>
      </c>
      <c r="D380" s="1946" t="s">
        <v>1242</v>
      </c>
      <c r="E380" s="1936">
        <f>ROUND(K380,2)</f>
        <v>12</v>
      </c>
      <c r="F380" s="1648"/>
      <c r="G380" s="1648"/>
      <c r="H380" s="2002">
        <f t="shared" si="31"/>
        <v>0</v>
      </c>
      <c r="I380" s="2002">
        <f t="shared" si="32"/>
        <v>0</v>
      </c>
      <c r="J380" s="1620"/>
      <c r="K380" s="1621">
        <v>12</v>
      </c>
      <c r="M380" s="1645">
        <v>489500</v>
      </c>
    </row>
    <row r="381" spans="1:13" s="1622" customFormat="1" ht="16.5" customHeight="1">
      <c r="A381" s="2013"/>
      <c r="B381" s="1946" t="s">
        <v>2017</v>
      </c>
      <c r="C381" s="1969" t="s">
        <v>1728</v>
      </c>
      <c r="D381" s="1952"/>
      <c r="E381" s="1970"/>
      <c r="F381" s="2018"/>
      <c r="G381" s="2009"/>
      <c r="H381" s="2002"/>
      <c r="I381" s="2002"/>
      <c r="J381" s="1620"/>
      <c r="K381" s="1621"/>
      <c r="M381" s="1645"/>
    </row>
    <row r="382" spans="1:13" s="1622" customFormat="1">
      <c r="A382" s="2013"/>
      <c r="B382" s="1946" t="s">
        <v>2018</v>
      </c>
      <c r="C382" s="1968" t="s">
        <v>1740</v>
      </c>
      <c r="D382" s="1962" t="s">
        <v>1242</v>
      </c>
      <c r="E382" s="1936">
        <f>ROUND(K382,2)</f>
        <v>6</v>
      </c>
      <c r="F382" s="1648"/>
      <c r="G382" s="1648"/>
      <c r="H382" s="2002">
        <f t="shared" si="31"/>
        <v>0</v>
      </c>
      <c r="I382" s="2002">
        <f t="shared" si="32"/>
        <v>0</v>
      </c>
      <c r="J382" s="1620"/>
      <c r="K382" s="1621">
        <v>6</v>
      </c>
      <c r="M382" s="1645">
        <v>582500</v>
      </c>
    </row>
    <row r="383" spans="1:13" s="1622" customFormat="1">
      <c r="A383" s="2013"/>
      <c r="B383" s="1946" t="s">
        <v>2019</v>
      </c>
      <c r="C383" s="1969" t="s">
        <v>1737</v>
      </c>
      <c r="D383" s="1952"/>
      <c r="E383" s="1970"/>
      <c r="F383" s="2018"/>
      <c r="G383" s="2009"/>
      <c r="H383" s="2002"/>
      <c r="I383" s="2002"/>
      <c r="J383" s="1620"/>
      <c r="K383" s="1621"/>
      <c r="M383" s="1645"/>
    </row>
    <row r="384" spans="1:13" s="1622" customFormat="1" ht="16.5" customHeight="1">
      <c r="A384" s="2013"/>
      <c r="B384" s="1946" t="s">
        <v>2020</v>
      </c>
      <c r="C384" s="1968" t="s">
        <v>1738</v>
      </c>
      <c r="D384" s="1946" t="s">
        <v>1141</v>
      </c>
      <c r="E384" s="1936">
        <f>ROUND(K384,2)</f>
        <v>1</v>
      </c>
      <c r="F384" s="1648"/>
      <c r="G384" s="1648"/>
      <c r="H384" s="2002">
        <f t="shared" si="31"/>
        <v>0</v>
      </c>
      <c r="I384" s="2002">
        <f t="shared" si="32"/>
        <v>0</v>
      </c>
      <c r="J384" s="1620"/>
      <c r="K384" s="1621">
        <v>1</v>
      </c>
      <c r="M384" s="1645">
        <v>1171020</v>
      </c>
    </row>
    <row r="385" spans="1:13" s="1622" customFormat="1" ht="12.75" customHeight="1">
      <c r="A385" s="2013"/>
      <c r="B385" s="1946" t="s">
        <v>2021</v>
      </c>
      <c r="C385" s="2213" t="s">
        <v>1743</v>
      </c>
      <c r="D385" s="2213"/>
      <c r="E385" s="2213"/>
      <c r="F385" s="2116"/>
      <c r="G385" s="2116"/>
      <c r="H385" s="2002"/>
      <c r="I385" s="2002"/>
      <c r="J385" s="1620"/>
      <c r="K385" s="1621"/>
      <c r="M385" s="1625"/>
    </row>
    <row r="386" spans="1:13" s="1622" customFormat="1">
      <c r="A386" s="2013"/>
      <c r="B386" s="1946" t="s">
        <v>2022</v>
      </c>
      <c r="C386" s="1964" t="s">
        <v>1741</v>
      </c>
      <c r="D386" s="1946" t="s">
        <v>199</v>
      </c>
      <c r="E386" s="1936">
        <f>ROUND(K386,2)</f>
        <v>1</v>
      </c>
      <c r="F386" s="1648"/>
      <c r="G386" s="1648"/>
      <c r="H386" s="2002">
        <f t="shared" si="31"/>
        <v>0</v>
      </c>
      <c r="I386" s="2002">
        <f t="shared" si="32"/>
        <v>0</v>
      </c>
      <c r="J386" s="1620"/>
      <c r="K386" s="1621">
        <v>1</v>
      </c>
      <c r="M386" s="1645">
        <v>1500000</v>
      </c>
    </row>
    <row r="387" spans="1:13" s="1622" customFormat="1">
      <c r="A387" s="2013"/>
      <c r="B387" s="1946" t="s">
        <v>2023</v>
      </c>
      <c r="C387" s="1964" t="s">
        <v>1742</v>
      </c>
      <c r="D387" s="1946" t="s">
        <v>199</v>
      </c>
      <c r="E387" s="1936">
        <f>ROUND(K387,2)</f>
        <v>1</v>
      </c>
      <c r="F387" s="1648"/>
      <c r="G387" s="1648"/>
      <c r="H387" s="2002">
        <f t="shared" si="31"/>
        <v>0</v>
      </c>
      <c r="I387" s="2002">
        <f t="shared" si="32"/>
        <v>0</v>
      </c>
      <c r="J387" s="1620"/>
      <c r="K387" s="1621">
        <v>1</v>
      </c>
      <c r="M387" s="1645" t="str">
        <f>+[2]QUITAPEREZA!$G$143</f>
        <v>$ 848200</v>
      </c>
    </row>
    <row r="388" spans="1:13" s="1622" customFormat="1">
      <c r="A388" s="2013"/>
      <c r="B388" s="1946" t="s">
        <v>2024</v>
      </c>
      <c r="C388" s="1964" t="str">
        <f>+[2]QUITAPEREZA!$F$145</f>
        <v>INSPECTORIA RETIE</v>
      </c>
      <c r="D388" s="1946" t="s">
        <v>199</v>
      </c>
      <c r="E388" s="1936">
        <f>ROUND(K388,2)</f>
        <v>1</v>
      </c>
      <c r="F388" s="1648"/>
      <c r="G388" s="1648"/>
      <c r="H388" s="2002">
        <f t="shared" si="31"/>
        <v>0</v>
      </c>
      <c r="I388" s="2002">
        <f t="shared" si="32"/>
        <v>0</v>
      </c>
      <c r="J388" s="1620"/>
      <c r="K388" s="1621">
        <v>1</v>
      </c>
      <c r="M388" s="1645">
        <f>+[2]QUITAPEREZA!$G$145</f>
        <v>1000000</v>
      </c>
    </row>
    <row r="389" spans="1:13" s="1622" customFormat="1" ht="16.5" hidden="1" customHeight="1" thickBot="1">
      <c r="A389" s="2013"/>
      <c r="B389" s="1946"/>
      <c r="C389" s="2204" t="s">
        <v>1268</v>
      </c>
      <c r="D389" s="2204"/>
      <c r="E389" s="2204"/>
      <c r="F389" s="2114"/>
      <c r="G389" s="2065">
        <f>SUM(G342:G388)</f>
        <v>0</v>
      </c>
      <c r="H389" s="2002">
        <f t="shared" si="31"/>
        <v>0</v>
      </c>
      <c r="I389" s="2002">
        <f t="shared" si="32"/>
        <v>0</v>
      </c>
      <c r="J389" s="1620"/>
      <c r="K389" s="1621"/>
      <c r="M389" s="1625"/>
    </row>
    <row r="390" spans="1:13" s="1622" customFormat="1" ht="12.75" hidden="1" customHeight="1">
      <c r="A390" s="2013"/>
      <c r="B390" s="1952">
        <v>11</v>
      </c>
      <c r="C390" s="2161"/>
      <c r="D390" s="1946"/>
      <c r="E390" s="1951"/>
      <c r="F390" s="2007"/>
      <c r="G390" s="2007"/>
      <c r="H390" s="2002">
        <f t="shared" si="31"/>
        <v>0</v>
      </c>
      <c r="I390" s="2002">
        <f t="shared" si="32"/>
        <v>0</v>
      </c>
      <c r="J390" s="1620"/>
      <c r="K390" s="1621"/>
      <c r="M390" s="1645"/>
    </row>
    <row r="391" spans="1:13" s="1622" customFormat="1" ht="12.75" hidden="1" customHeight="1">
      <c r="A391" s="2013"/>
      <c r="B391" s="1946">
        <v>11.1</v>
      </c>
      <c r="C391" s="1942" t="s">
        <v>1267</v>
      </c>
      <c r="D391" s="2157"/>
      <c r="E391" s="2159"/>
      <c r="F391" s="2057"/>
      <c r="G391" s="2057"/>
      <c r="H391" s="2002">
        <f t="shared" si="31"/>
        <v>0</v>
      </c>
      <c r="I391" s="2002">
        <f t="shared" si="32"/>
        <v>0</v>
      </c>
      <c r="J391" s="1620"/>
      <c r="K391" s="1621"/>
      <c r="M391" s="2005"/>
    </row>
    <row r="392" spans="1:13" s="1622" customFormat="1" ht="12.75" hidden="1" customHeight="1">
      <c r="A392" s="2013"/>
      <c r="B392" s="1946">
        <v>11.2</v>
      </c>
      <c r="C392" s="2161" t="s">
        <v>1269</v>
      </c>
      <c r="D392" s="1946" t="s">
        <v>579</v>
      </c>
      <c r="E392" s="1951"/>
      <c r="F392" s="2007">
        <v>19599539</v>
      </c>
      <c r="G392" s="2007">
        <f t="shared" ref="G392:G396" si="33">+F392*E392</f>
        <v>0</v>
      </c>
      <c r="H392" s="2002">
        <f t="shared" si="31"/>
        <v>17639585</v>
      </c>
      <c r="I392" s="2002">
        <f t="shared" si="32"/>
        <v>21559493</v>
      </c>
      <c r="J392" s="1620"/>
      <c r="K392" s="1621"/>
      <c r="M392" s="1645">
        <v>19599539</v>
      </c>
    </row>
    <row r="393" spans="1:13" s="1622" customFormat="1" ht="12.75" hidden="1" customHeight="1">
      <c r="A393" s="2013"/>
      <c r="B393" s="1946">
        <v>11.3</v>
      </c>
      <c r="C393" s="2161" t="s">
        <v>1270</v>
      </c>
      <c r="D393" s="1946" t="s">
        <v>579</v>
      </c>
      <c r="E393" s="1951"/>
      <c r="F393" s="2007">
        <v>20250689.461308599</v>
      </c>
      <c r="G393" s="2007">
        <f t="shared" si="33"/>
        <v>0</v>
      </c>
      <c r="H393" s="2002">
        <f t="shared" si="31"/>
        <v>18225621</v>
      </c>
      <c r="I393" s="2002">
        <f t="shared" si="32"/>
        <v>22275758</v>
      </c>
      <c r="J393" s="1620"/>
      <c r="K393" s="1621"/>
      <c r="M393" s="1645">
        <v>20250689.461308599</v>
      </c>
    </row>
    <row r="394" spans="1:13" s="1622" customFormat="1" ht="25.5" hidden="1" customHeight="1">
      <c r="A394" s="2013"/>
      <c r="B394" s="1946">
        <v>11.4</v>
      </c>
      <c r="C394" s="1941" t="s">
        <v>1271</v>
      </c>
      <c r="D394" s="1946" t="s">
        <v>579</v>
      </c>
      <c r="E394" s="1951"/>
      <c r="F394" s="2007">
        <v>17742200</v>
      </c>
      <c r="G394" s="2007">
        <f t="shared" si="33"/>
        <v>0</v>
      </c>
      <c r="H394" s="2002">
        <f t="shared" si="31"/>
        <v>15967980</v>
      </c>
      <c r="I394" s="2002">
        <f t="shared" si="32"/>
        <v>19516420</v>
      </c>
      <c r="J394" s="1620"/>
      <c r="K394" s="1621"/>
      <c r="M394" s="1645">
        <v>17742200</v>
      </c>
    </row>
    <row r="395" spans="1:13" s="1622" customFormat="1" ht="25.5" hidden="1" customHeight="1">
      <c r="A395" s="2013"/>
      <c r="B395" s="1946">
        <v>11.5</v>
      </c>
      <c r="C395" s="2161" t="s">
        <v>1272</v>
      </c>
      <c r="D395" s="1946" t="s">
        <v>579</v>
      </c>
      <c r="E395" s="1951"/>
      <c r="F395" s="2007">
        <v>1000000</v>
      </c>
      <c r="G395" s="2007">
        <f t="shared" si="33"/>
        <v>0</v>
      </c>
      <c r="H395" s="2002">
        <f t="shared" si="31"/>
        <v>900000</v>
      </c>
      <c r="I395" s="2002">
        <f t="shared" si="32"/>
        <v>1100000</v>
      </c>
      <c r="J395" s="1620"/>
      <c r="K395" s="1621"/>
      <c r="M395" s="1645">
        <v>1000000</v>
      </c>
    </row>
    <row r="396" spans="1:13" s="1622" customFormat="1" ht="12.75" hidden="1" customHeight="1">
      <c r="A396" s="2013"/>
      <c r="B396" s="1946">
        <v>11.6</v>
      </c>
      <c r="C396" s="2161" t="s">
        <v>1273</v>
      </c>
      <c r="D396" s="1946" t="s">
        <v>579</v>
      </c>
      <c r="E396" s="1951"/>
      <c r="F396" s="2007">
        <v>4000000</v>
      </c>
      <c r="G396" s="2007">
        <f t="shared" si="33"/>
        <v>0</v>
      </c>
      <c r="H396" s="2002">
        <f t="shared" si="31"/>
        <v>3600000</v>
      </c>
      <c r="I396" s="2002">
        <f t="shared" si="32"/>
        <v>4400000</v>
      </c>
      <c r="J396" s="1620"/>
      <c r="K396" s="1621"/>
      <c r="M396" s="1645">
        <v>4000000</v>
      </c>
    </row>
    <row r="397" spans="1:13" s="1622" customFormat="1">
      <c r="A397" s="2013"/>
      <c r="B397" s="2214"/>
      <c r="C397" s="2204" t="s">
        <v>2161</v>
      </c>
      <c r="D397" s="2204"/>
      <c r="E397" s="2204"/>
      <c r="F397" s="2114"/>
      <c r="G397" s="2065">
        <f>+G388+G387+G386+G384+G382+G380+G377+G375+G373+G371+G368+G366+G365+G364+G362+G361+G359+G358+G357+G356+G354+G352+G350+G348+G347+G346+G345+G344+G342</f>
        <v>0</v>
      </c>
      <c r="H397" s="2002"/>
      <c r="I397" s="2002"/>
      <c r="J397" s="1620"/>
      <c r="K397" s="1621"/>
      <c r="M397" s="1625"/>
    </row>
    <row r="398" spans="1:13" s="1622" customFormat="1">
      <c r="A398" s="2013"/>
      <c r="B398" s="2215"/>
      <c r="C398" s="2161"/>
      <c r="D398" s="1946"/>
      <c r="E398" s="1951"/>
      <c r="F398" s="2007"/>
      <c r="G398" s="2007"/>
      <c r="H398" s="2002"/>
      <c r="I398" s="2002"/>
      <c r="J398" s="1620"/>
      <c r="K398" s="1621"/>
      <c r="M398" s="1645"/>
    </row>
    <row r="399" spans="1:13" s="1622" customFormat="1" ht="14.25" customHeight="1">
      <c r="A399" s="2013"/>
      <c r="B399" s="1952">
        <v>11</v>
      </c>
      <c r="C399" s="1942" t="s">
        <v>2170</v>
      </c>
      <c r="D399" s="1942"/>
      <c r="E399" s="1942"/>
      <c r="F399" s="1638"/>
      <c r="G399" s="1638"/>
      <c r="H399" s="2002"/>
      <c r="I399" s="2002"/>
      <c r="J399" s="1620"/>
      <c r="K399" s="1621"/>
      <c r="M399" s="1625"/>
    </row>
    <row r="400" spans="1:13" s="1622" customFormat="1">
      <c r="A400" s="2013"/>
      <c r="B400" s="1948" t="s">
        <v>1834</v>
      </c>
      <c r="C400" s="1971" t="s">
        <v>1805</v>
      </c>
      <c r="D400" s="1962" t="s">
        <v>51</v>
      </c>
      <c r="E400" s="1936">
        <f t="shared" ref="E400:E432" si="34">ROUND(K400,2)</f>
        <v>569.79999999999995</v>
      </c>
      <c r="F400" s="1648"/>
      <c r="G400" s="1648"/>
      <c r="H400" s="2002">
        <f t="shared" si="31"/>
        <v>0</v>
      </c>
      <c r="I400" s="2002">
        <f t="shared" si="32"/>
        <v>0</v>
      </c>
      <c r="J400" s="1620"/>
      <c r="K400" s="1621">
        <v>569.79999999999995</v>
      </c>
      <c r="M400" s="1645">
        <v>6160</v>
      </c>
    </row>
    <row r="401" spans="1:13" s="1622" customFormat="1">
      <c r="A401" s="2013"/>
      <c r="B401" s="1948" t="s">
        <v>1818</v>
      </c>
      <c r="C401" s="1971" t="s">
        <v>1802</v>
      </c>
      <c r="D401" s="1962" t="s">
        <v>51</v>
      </c>
      <c r="E401" s="1936">
        <f t="shared" si="34"/>
        <v>325.27999999999997</v>
      </c>
      <c r="F401" s="1648"/>
      <c r="G401" s="1648"/>
      <c r="H401" s="2002">
        <f t="shared" si="31"/>
        <v>0</v>
      </c>
      <c r="I401" s="2002">
        <f t="shared" si="32"/>
        <v>0</v>
      </c>
      <c r="J401" s="1620"/>
      <c r="K401" s="1621">
        <v>325.27999999999997</v>
      </c>
      <c r="M401" s="1645">
        <v>12390</v>
      </c>
    </row>
    <row r="402" spans="1:13" s="1622" customFormat="1">
      <c r="A402" s="2013"/>
      <c r="B402" s="1948" t="s">
        <v>1836</v>
      </c>
      <c r="C402" s="1971" t="s">
        <v>1803</v>
      </c>
      <c r="D402" s="1962" t="s">
        <v>51</v>
      </c>
      <c r="E402" s="1936">
        <f t="shared" si="34"/>
        <v>92.67</v>
      </c>
      <c r="F402" s="1648"/>
      <c r="G402" s="1648"/>
      <c r="H402" s="2002">
        <f t="shared" si="31"/>
        <v>0</v>
      </c>
      <c r="I402" s="2002">
        <f t="shared" si="32"/>
        <v>0</v>
      </c>
      <c r="J402" s="1620"/>
      <c r="K402" s="1621">
        <v>92.67</v>
      </c>
      <c r="M402" s="1645">
        <v>14640</v>
      </c>
    </row>
    <row r="403" spans="1:13" s="1622" customFormat="1">
      <c r="A403" s="2013"/>
      <c r="B403" s="1948" t="s">
        <v>1837</v>
      </c>
      <c r="C403" s="1971" t="s">
        <v>1316</v>
      </c>
      <c r="D403" s="1962" t="s">
        <v>51</v>
      </c>
      <c r="E403" s="1936">
        <f t="shared" si="34"/>
        <v>804.1</v>
      </c>
      <c r="F403" s="1648"/>
      <c r="G403" s="1648"/>
      <c r="H403" s="2002">
        <f t="shared" si="31"/>
        <v>0</v>
      </c>
      <c r="I403" s="2002">
        <f t="shared" si="32"/>
        <v>0</v>
      </c>
      <c r="J403" s="1620"/>
      <c r="K403" s="1621">
        <v>804.1</v>
      </c>
      <c r="M403" s="1645">
        <v>10530</v>
      </c>
    </row>
    <row r="404" spans="1:13" s="1622" customFormat="1">
      <c r="A404" s="2013"/>
      <c r="B404" s="1948" t="s">
        <v>2025</v>
      </c>
      <c r="C404" s="1940" t="s">
        <v>1804</v>
      </c>
      <c r="D404" s="1962" t="s">
        <v>51</v>
      </c>
      <c r="E404" s="1936">
        <f t="shared" si="34"/>
        <v>15</v>
      </c>
      <c r="F404" s="1648"/>
      <c r="G404" s="1648"/>
      <c r="H404" s="2002">
        <f t="shared" si="31"/>
        <v>0</v>
      </c>
      <c r="I404" s="2002">
        <f t="shared" si="32"/>
        <v>0</v>
      </c>
      <c r="J404" s="1620"/>
      <c r="K404" s="1621">
        <v>15</v>
      </c>
      <c r="M404" s="1645">
        <v>45138</v>
      </c>
    </row>
    <row r="405" spans="1:13" s="1622" customFormat="1">
      <c r="A405" s="2013"/>
      <c r="B405" s="1948" t="s">
        <v>2026</v>
      </c>
      <c r="C405" s="2161" t="s">
        <v>1809</v>
      </c>
      <c r="D405" s="1946" t="s">
        <v>579</v>
      </c>
      <c r="E405" s="1936">
        <f t="shared" si="34"/>
        <v>10</v>
      </c>
      <c r="F405" s="1648"/>
      <c r="G405" s="1648"/>
      <c r="H405" s="2002">
        <f t="shared" si="31"/>
        <v>0</v>
      </c>
      <c r="I405" s="2002">
        <f t="shared" si="32"/>
        <v>0</v>
      </c>
      <c r="J405" s="1620"/>
      <c r="K405" s="1621">
        <v>10</v>
      </c>
      <c r="M405" s="1645">
        <v>252390</v>
      </c>
    </row>
    <row r="406" spans="1:13" s="1622" customFormat="1">
      <c r="A406" s="2013"/>
      <c r="B406" s="1948" t="s">
        <v>2027</v>
      </c>
      <c r="C406" s="2161" t="s">
        <v>1810</v>
      </c>
      <c r="D406" s="1946" t="s">
        <v>579</v>
      </c>
      <c r="E406" s="1936">
        <f t="shared" si="34"/>
        <v>10</v>
      </c>
      <c r="F406" s="1648"/>
      <c r="G406" s="1648"/>
      <c r="H406" s="2002">
        <f t="shared" si="31"/>
        <v>0</v>
      </c>
      <c r="I406" s="2002">
        <f t="shared" si="32"/>
        <v>0</v>
      </c>
      <c r="J406" s="1620"/>
      <c r="K406" s="1621">
        <v>10</v>
      </c>
      <c r="M406" s="1645">
        <v>1413070</v>
      </c>
    </row>
    <row r="407" spans="1:13" s="1622" customFormat="1">
      <c r="A407" s="2013"/>
      <c r="B407" s="1948" t="s">
        <v>2028</v>
      </c>
      <c r="C407" s="2161" t="s">
        <v>1811</v>
      </c>
      <c r="D407" s="1946" t="s">
        <v>579</v>
      </c>
      <c r="E407" s="1936">
        <f t="shared" si="34"/>
        <v>5</v>
      </c>
      <c r="F407" s="1648"/>
      <c r="G407" s="1648"/>
      <c r="H407" s="2002">
        <f t="shared" si="31"/>
        <v>0</v>
      </c>
      <c r="I407" s="2002">
        <f t="shared" si="32"/>
        <v>0</v>
      </c>
      <c r="J407" s="1620"/>
      <c r="K407" s="1621">
        <v>5</v>
      </c>
      <c r="M407" s="1645">
        <v>2123563</v>
      </c>
    </row>
    <row r="408" spans="1:13" s="1622" customFormat="1">
      <c r="A408" s="2013"/>
      <c r="B408" s="1948" t="s">
        <v>2029</v>
      </c>
      <c r="C408" s="2161" t="s">
        <v>1812</v>
      </c>
      <c r="D408" s="1946" t="s">
        <v>579</v>
      </c>
      <c r="E408" s="1936">
        <f t="shared" si="34"/>
        <v>3</v>
      </c>
      <c r="F408" s="1648"/>
      <c r="G408" s="1648"/>
      <c r="H408" s="2002">
        <f t="shared" si="31"/>
        <v>0</v>
      </c>
      <c r="I408" s="2002">
        <f t="shared" si="32"/>
        <v>0</v>
      </c>
      <c r="J408" s="1620"/>
      <c r="K408" s="1621">
        <v>3</v>
      </c>
      <c r="M408" s="1645">
        <v>3483124</v>
      </c>
    </row>
    <row r="409" spans="1:13" s="1622" customFormat="1">
      <c r="A409" s="2013"/>
      <c r="B409" s="1948" t="s">
        <v>2030</v>
      </c>
      <c r="C409" s="2161" t="s">
        <v>2143</v>
      </c>
      <c r="D409" s="1946" t="s">
        <v>579</v>
      </c>
      <c r="E409" s="1936">
        <f t="shared" si="34"/>
        <v>3</v>
      </c>
      <c r="F409" s="1648"/>
      <c r="G409" s="1648"/>
      <c r="H409" s="2002">
        <f t="shared" si="31"/>
        <v>0</v>
      </c>
      <c r="I409" s="2002">
        <f t="shared" si="32"/>
        <v>0</v>
      </c>
      <c r="J409" s="1620"/>
      <c r="K409" s="1621">
        <v>3</v>
      </c>
      <c r="M409" s="1645">
        <v>4314834</v>
      </c>
    </row>
    <row r="410" spans="1:13" s="1622" customFormat="1">
      <c r="A410" s="2013"/>
      <c r="B410" s="1948" t="s">
        <v>2031</v>
      </c>
      <c r="C410" s="2161" t="s">
        <v>1813</v>
      </c>
      <c r="D410" s="1946" t="s">
        <v>579</v>
      </c>
      <c r="E410" s="1936">
        <f t="shared" si="34"/>
        <v>1</v>
      </c>
      <c r="F410" s="1648"/>
      <c r="G410" s="1648"/>
      <c r="H410" s="2002">
        <f t="shared" si="31"/>
        <v>0</v>
      </c>
      <c r="I410" s="2002">
        <f t="shared" si="32"/>
        <v>0</v>
      </c>
      <c r="J410" s="1620"/>
      <c r="K410" s="1621">
        <v>1</v>
      </c>
      <c r="M410" s="1645">
        <v>4842408</v>
      </c>
    </row>
    <row r="411" spans="1:13" s="1622" customFormat="1">
      <c r="A411" s="2013"/>
      <c r="B411" s="1948" t="s">
        <v>2032</v>
      </c>
      <c r="C411" s="2161" t="s">
        <v>1814</v>
      </c>
      <c r="D411" s="1946" t="s">
        <v>579</v>
      </c>
      <c r="E411" s="1936">
        <f t="shared" si="34"/>
        <v>2</v>
      </c>
      <c r="F411" s="1648"/>
      <c r="G411" s="1648"/>
      <c r="H411" s="2002">
        <f t="shared" si="31"/>
        <v>0</v>
      </c>
      <c r="I411" s="2002">
        <f t="shared" si="32"/>
        <v>0</v>
      </c>
      <c r="J411" s="1620"/>
      <c r="K411" s="1621">
        <v>2</v>
      </c>
      <c r="M411" s="1645">
        <v>5211454</v>
      </c>
    </row>
    <row r="412" spans="1:13" s="1622" customFormat="1">
      <c r="A412" s="2013"/>
      <c r="B412" s="1948" t="s">
        <v>2033</v>
      </c>
      <c r="C412" s="2161" t="s">
        <v>1815</v>
      </c>
      <c r="D412" s="1946" t="s">
        <v>579</v>
      </c>
      <c r="E412" s="1936">
        <f t="shared" si="34"/>
        <v>1</v>
      </c>
      <c r="F412" s="1648"/>
      <c r="G412" s="1648"/>
      <c r="H412" s="2002">
        <f t="shared" si="31"/>
        <v>0</v>
      </c>
      <c r="I412" s="2002">
        <f t="shared" si="32"/>
        <v>0</v>
      </c>
      <c r="J412" s="1620"/>
      <c r="K412" s="1621">
        <v>1</v>
      </c>
      <c r="M412" s="1645">
        <v>5543035</v>
      </c>
    </row>
    <row r="413" spans="1:13" s="1622" customFormat="1">
      <c r="A413" s="2013"/>
      <c r="B413" s="1948" t="s">
        <v>2034</v>
      </c>
      <c r="C413" s="1941" t="s">
        <v>2118</v>
      </c>
      <c r="D413" s="1946" t="s">
        <v>1141</v>
      </c>
      <c r="E413" s="1936">
        <f t="shared" si="34"/>
        <v>47.8</v>
      </c>
      <c r="F413" s="1648"/>
      <c r="G413" s="1648"/>
      <c r="H413" s="2002">
        <f t="shared" si="31"/>
        <v>0</v>
      </c>
      <c r="I413" s="2002">
        <f t="shared" si="32"/>
        <v>0</v>
      </c>
      <c r="J413" s="1620"/>
      <c r="K413" s="1621">
        <v>47.8</v>
      </c>
      <c r="M413" s="1645">
        <v>6310</v>
      </c>
    </row>
    <row r="414" spans="1:13" s="1622" customFormat="1">
      <c r="A414" s="2013"/>
      <c r="B414" s="1948" t="s">
        <v>2035</v>
      </c>
      <c r="C414" s="2198" t="s">
        <v>2119</v>
      </c>
      <c r="D414" s="1948" t="s">
        <v>1141</v>
      </c>
      <c r="E414" s="1936">
        <f t="shared" si="34"/>
        <v>0</v>
      </c>
      <c r="F414" s="1648"/>
      <c r="G414" s="1648"/>
      <c r="H414" s="2002">
        <f t="shared" si="31"/>
        <v>0</v>
      </c>
      <c r="I414" s="2002">
        <f t="shared" si="32"/>
        <v>0</v>
      </c>
      <c r="J414" s="1620"/>
      <c r="K414" s="1621">
        <v>0</v>
      </c>
      <c r="M414" s="1645">
        <v>6310</v>
      </c>
    </row>
    <row r="415" spans="1:13" s="1622" customFormat="1">
      <c r="A415" s="2013"/>
      <c r="B415" s="1948" t="s">
        <v>2036</v>
      </c>
      <c r="C415" s="2182" t="s">
        <v>2120</v>
      </c>
      <c r="D415" s="1948" t="s">
        <v>1141</v>
      </c>
      <c r="E415" s="1936">
        <f t="shared" si="34"/>
        <v>119</v>
      </c>
      <c r="F415" s="1648"/>
      <c r="G415" s="1648"/>
      <c r="H415" s="2002">
        <f t="shared" si="31"/>
        <v>0</v>
      </c>
      <c r="I415" s="2002">
        <f t="shared" si="32"/>
        <v>0</v>
      </c>
      <c r="J415" s="1620"/>
      <c r="K415" s="1621">
        <v>119</v>
      </c>
      <c r="M415" s="1645">
        <v>52371.802635000007</v>
      </c>
    </row>
    <row r="416" spans="1:13" s="1622" customFormat="1">
      <c r="A416" s="2013"/>
      <c r="B416" s="1948" t="s">
        <v>2037</v>
      </c>
      <c r="C416" s="1941" t="s">
        <v>2121</v>
      </c>
      <c r="D416" s="1946" t="s">
        <v>1141</v>
      </c>
      <c r="E416" s="1936">
        <f t="shared" si="34"/>
        <v>40</v>
      </c>
      <c r="F416" s="1648"/>
      <c r="G416" s="1648"/>
      <c r="H416" s="2002">
        <f t="shared" si="31"/>
        <v>0</v>
      </c>
      <c r="I416" s="2002">
        <f t="shared" si="32"/>
        <v>0</v>
      </c>
      <c r="J416" s="1620"/>
      <c r="K416" s="1621">
        <v>40</v>
      </c>
      <c r="M416" s="1645">
        <v>41820</v>
      </c>
    </row>
    <row r="417" spans="1:13" s="1622" customFormat="1">
      <c r="A417" s="2013"/>
      <c r="B417" s="1948" t="s">
        <v>2038</v>
      </c>
      <c r="C417" s="1941" t="s">
        <v>2122</v>
      </c>
      <c r="D417" s="1946" t="s">
        <v>1141</v>
      </c>
      <c r="E417" s="1936">
        <f t="shared" si="34"/>
        <v>64.2</v>
      </c>
      <c r="F417" s="1648"/>
      <c r="G417" s="1648"/>
      <c r="H417" s="2002">
        <f t="shared" si="31"/>
        <v>0</v>
      </c>
      <c r="I417" s="2002">
        <f t="shared" si="32"/>
        <v>0</v>
      </c>
      <c r="J417" s="1620"/>
      <c r="K417" s="1621">
        <v>64.2</v>
      </c>
      <c r="M417" s="1645">
        <v>21516</v>
      </c>
    </row>
    <row r="418" spans="1:13" s="1622" customFormat="1">
      <c r="A418" s="2013"/>
      <c r="B418" s="1948" t="s">
        <v>2039</v>
      </c>
      <c r="C418" s="1941" t="s">
        <v>2123</v>
      </c>
      <c r="D418" s="1946" t="s">
        <v>1141</v>
      </c>
      <c r="E418" s="1936">
        <f t="shared" si="34"/>
        <v>5</v>
      </c>
      <c r="F418" s="1648"/>
      <c r="G418" s="1648"/>
      <c r="H418" s="2002">
        <f t="shared" si="31"/>
        <v>0</v>
      </c>
      <c r="I418" s="2002">
        <f t="shared" si="32"/>
        <v>0</v>
      </c>
      <c r="J418" s="1620"/>
      <c r="K418" s="1621">
        <v>5</v>
      </c>
      <c r="M418" s="1645">
        <v>20557</v>
      </c>
    </row>
    <row r="419" spans="1:13" s="1622" customFormat="1">
      <c r="A419" s="2013"/>
      <c r="B419" s="1948" t="s">
        <v>2040</v>
      </c>
      <c r="C419" s="2161" t="s">
        <v>2124</v>
      </c>
      <c r="D419" s="2179" t="s">
        <v>1141</v>
      </c>
      <c r="E419" s="1936">
        <f t="shared" si="34"/>
        <v>13.2</v>
      </c>
      <c r="F419" s="1648"/>
      <c r="G419" s="1648"/>
      <c r="H419" s="2002">
        <f t="shared" si="31"/>
        <v>0</v>
      </c>
      <c r="I419" s="2002">
        <f t="shared" si="32"/>
        <v>0</v>
      </c>
      <c r="J419" s="1620"/>
      <c r="K419" s="1621">
        <v>13.2</v>
      </c>
      <c r="M419" s="1645">
        <v>18028</v>
      </c>
    </row>
    <row r="420" spans="1:13" s="1622" customFormat="1" ht="25.5">
      <c r="A420" s="2013"/>
      <c r="B420" s="1948" t="s">
        <v>2041</v>
      </c>
      <c r="C420" s="2161" t="s">
        <v>1306</v>
      </c>
      <c r="D420" s="1946" t="s">
        <v>1141</v>
      </c>
      <c r="E420" s="1936">
        <f t="shared" si="34"/>
        <v>60</v>
      </c>
      <c r="F420" s="1648"/>
      <c r="G420" s="1648"/>
      <c r="H420" s="2002">
        <f t="shared" si="31"/>
        <v>0</v>
      </c>
      <c r="I420" s="2002">
        <f t="shared" si="32"/>
        <v>0</v>
      </c>
      <c r="J420" s="1620"/>
      <c r="K420" s="1621">
        <v>60</v>
      </c>
      <c r="M420" s="1645">
        <v>5770</v>
      </c>
    </row>
    <row r="421" spans="1:13" s="1622" customFormat="1">
      <c r="A421" s="2013"/>
      <c r="B421" s="1948" t="s">
        <v>2042</v>
      </c>
      <c r="C421" s="2161" t="s">
        <v>1745</v>
      </c>
      <c r="D421" s="1946" t="s">
        <v>51</v>
      </c>
      <c r="E421" s="1936">
        <f t="shared" si="34"/>
        <v>664</v>
      </c>
      <c r="F421" s="1648"/>
      <c r="G421" s="1648"/>
      <c r="H421" s="2002">
        <f t="shared" si="31"/>
        <v>0</v>
      </c>
      <c r="I421" s="2002">
        <f t="shared" si="32"/>
        <v>0</v>
      </c>
      <c r="J421" s="1620"/>
      <c r="K421" s="1621">
        <v>664</v>
      </c>
      <c r="L421" s="1620"/>
      <c r="M421" s="1645">
        <v>3000</v>
      </c>
    </row>
    <row r="422" spans="1:13" s="1622" customFormat="1">
      <c r="A422" s="2013"/>
      <c r="B422" s="1948" t="s">
        <v>2043</v>
      </c>
      <c r="C422" s="2161" t="s">
        <v>2112</v>
      </c>
      <c r="D422" s="1946" t="s">
        <v>51</v>
      </c>
      <c r="E422" s="1936">
        <f t="shared" si="34"/>
        <v>3</v>
      </c>
      <c r="F422" s="1648"/>
      <c r="G422" s="1648"/>
      <c r="H422" s="2002">
        <f t="shared" si="31"/>
        <v>0</v>
      </c>
      <c r="I422" s="2002">
        <f t="shared" si="32"/>
        <v>0</v>
      </c>
      <c r="J422" s="1620"/>
      <c r="K422" s="1621">
        <v>3</v>
      </c>
      <c r="M422" s="1623">
        <v>362491.11111111112</v>
      </c>
    </row>
    <row r="423" spans="1:13" s="1622" customFormat="1">
      <c r="A423" s="2013"/>
      <c r="B423" s="1948" t="s">
        <v>2147</v>
      </c>
      <c r="C423" s="2161" t="s">
        <v>1684</v>
      </c>
      <c r="D423" s="1946" t="s">
        <v>43</v>
      </c>
      <c r="E423" s="1936">
        <f t="shared" si="34"/>
        <v>664</v>
      </c>
      <c r="F423" s="1648"/>
      <c r="G423" s="1648"/>
      <c r="H423" s="2002">
        <f t="shared" si="31"/>
        <v>0</v>
      </c>
      <c r="I423" s="2002">
        <f t="shared" si="32"/>
        <v>0</v>
      </c>
      <c r="J423" s="1620"/>
      <c r="K423" s="1621">
        <v>664</v>
      </c>
      <c r="M423" s="1645">
        <v>6439</v>
      </c>
    </row>
    <row r="424" spans="1:13" s="1622" customFormat="1">
      <c r="A424" s="2013"/>
      <c r="B424" s="1948" t="s">
        <v>2044</v>
      </c>
      <c r="C424" s="2161" t="s">
        <v>2110</v>
      </c>
      <c r="D424" s="1946" t="s">
        <v>579</v>
      </c>
      <c r="E424" s="1936">
        <f t="shared" si="34"/>
        <v>10</v>
      </c>
      <c r="F424" s="1648"/>
      <c r="G424" s="1648"/>
      <c r="H424" s="2002">
        <f t="shared" si="31"/>
        <v>0</v>
      </c>
      <c r="I424" s="2002">
        <f t="shared" si="32"/>
        <v>0</v>
      </c>
      <c r="J424" s="1620"/>
      <c r="K424" s="1621">
        <v>10</v>
      </c>
      <c r="M424" s="1645">
        <v>21470</v>
      </c>
    </row>
    <row r="425" spans="1:13" s="1622" customFormat="1">
      <c r="A425" s="2013"/>
      <c r="B425" s="1948" t="s">
        <v>2045</v>
      </c>
      <c r="C425" s="2161" t="s">
        <v>1787</v>
      </c>
      <c r="D425" s="1946" t="s">
        <v>579</v>
      </c>
      <c r="E425" s="1936">
        <f t="shared" si="34"/>
        <v>25</v>
      </c>
      <c r="F425" s="1648"/>
      <c r="G425" s="1648"/>
      <c r="H425" s="2002">
        <f t="shared" si="31"/>
        <v>0</v>
      </c>
      <c r="I425" s="2002">
        <f t="shared" si="32"/>
        <v>0</v>
      </c>
      <c r="J425" s="1620"/>
      <c r="K425" s="1621">
        <v>25</v>
      </c>
      <c r="M425" s="1645">
        <v>21470</v>
      </c>
    </row>
    <row r="426" spans="1:13" s="1622" customFormat="1">
      <c r="A426" s="2013"/>
      <c r="B426" s="1948" t="s">
        <v>2046</v>
      </c>
      <c r="C426" s="2161" t="s">
        <v>1788</v>
      </c>
      <c r="D426" s="1946" t="s">
        <v>43</v>
      </c>
      <c r="E426" s="1936">
        <f t="shared" si="34"/>
        <v>2458</v>
      </c>
      <c r="F426" s="1648"/>
      <c r="G426" s="1648"/>
      <c r="H426" s="2002">
        <f t="shared" si="31"/>
        <v>0</v>
      </c>
      <c r="I426" s="2002">
        <f t="shared" si="32"/>
        <v>0</v>
      </c>
      <c r="J426" s="1620"/>
      <c r="K426" s="1621">
        <v>2458</v>
      </c>
      <c r="M426" s="1645">
        <v>11144</v>
      </c>
    </row>
    <row r="427" spans="1:13" s="1622" customFormat="1">
      <c r="A427" s="2013"/>
      <c r="B427" s="1948" t="s">
        <v>2105</v>
      </c>
      <c r="C427" s="1973" t="s">
        <v>2128</v>
      </c>
      <c r="D427" s="1962" t="s">
        <v>1141</v>
      </c>
      <c r="E427" s="1936">
        <f t="shared" si="34"/>
        <v>178.6</v>
      </c>
      <c r="F427" s="1648"/>
      <c r="G427" s="1648"/>
      <c r="H427" s="2002">
        <f t="shared" si="31"/>
        <v>0</v>
      </c>
      <c r="I427" s="2002">
        <f t="shared" si="32"/>
        <v>0</v>
      </c>
      <c r="J427" s="1620"/>
      <c r="K427" s="1621">
        <v>178.6</v>
      </c>
      <c r="M427" s="1623">
        <v>52826</v>
      </c>
    </row>
    <row r="428" spans="1:13" s="1622" customFormat="1">
      <c r="A428" s="2013"/>
      <c r="B428" s="1948" t="s">
        <v>2129</v>
      </c>
      <c r="C428" s="1973" t="s">
        <v>946</v>
      </c>
      <c r="D428" s="1962" t="s">
        <v>2196</v>
      </c>
      <c r="E428" s="1936">
        <f t="shared" si="34"/>
        <v>178.6</v>
      </c>
      <c r="F428" s="1648"/>
      <c r="G428" s="1648"/>
      <c r="H428" s="2002">
        <f t="shared" si="31"/>
        <v>0</v>
      </c>
      <c r="I428" s="2002">
        <f t="shared" si="32"/>
        <v>0</v>
      </c>
      <c r="J428" s="1620"/>
      <c r="K428" s="1621">
        <v>178.6</v>
      </c>
      <c r="M428" s="1623">
        <v>29330</v>
      </c>
    </row>
    <row r="429" spans="1:13" s="1622" customFormat="1">
      <c r="A429" s="2013"/>
      <c r="B429" s="1948" t="s">
        <v>2130</v>
      </c>
      <c r="C429" s="2161" t="s">
        <v>2111</v>
      </c>
      <c r="D429" s="1946" t="s">
        <v>51</v>
      </c>
      <c r="E429" s="1936">
        <f t="shared" si="34"/>
        <v>2</v>
      </c>
      <c r="F429" s="1648"/>
      <c r="G429" s="1648"/>
      <c r="H429" s="2002">
        <f t="shared" si="31"/>
        <v>0</v>
      </c>
      <c r="I429" s="2002">
        <f t="shared" si="32"/>
        <v>0</v>
      </c>
      <c r="J429" s="1620"/>
      <c r="K429" s="1621">
        <v>2</v>
      </c>
      <c r="M429" s="1645">
        <v>424062.5</v>
      </c>
    </row>
    <row r="430" spans="1:13" s="1622" customFormat="1">
      <c r="A430" s="2013"/>
      <c r="B430" s="1948" t="s">
        <v>2148</v>
      </c>
      <c r="C430" s="1941" t="s">
        <v>2144</v>
      </c>
      <c r="D430" s="1946" t="s">
        <v>1141</v>
      </c>
      <c r="E430" s="1936">
        <f t="shared" si="34"/>
        <v>17.8</v>
      </c>
      <c r="F430" s="1648"/>
      <c r="G430" s="1648"/>
      <c r="H430" s="2002">
        <f t="shared" si="31"/>
        <v>0</v>
      </c>
      <c r="I430" s="2002">
        <f t="shared" si="32"/>
        <v>0</v>
      </c>
      <c r="J430" s="1620"/>
      <c r="K430" s="1621">
        <v>17.8</v>
      </c>
      <c r="M430" s="1645">
        <v>7100</v>
      </c>
    </row>
    <row r="431" spans="1:13" s="1622" customFormat="1">
      <c r="A431" s="2013"/>
      <c r="B431" s="1948" t="s">
        <v>2149</v>
      </c>
      <c r="C431" s="1941" t="s">
        <v>2145</v>
      </c>
      <c r="D431" s="1946" t="s">
        <v>1141</v>
      </c>
      <c r="E431" s="1936">
        <f t="shared" si="34"/>
        <v>17</v>
      </c>
      <c r="F431" s="1648"/>
      <c r="G431" s="1648"/>
      <c r="H431" s="2002">
        <f t="shared" si="31"/>
        <v>0</v>
      </c>
      <c r="I431" s="2002">
        <f t="shared" si="32"/>
        <v>0</v>
      </c>
      <c r="J431" s="1620"/>
      <c r="K431" s="1621">
        <v>17</v>
      </c>
      <c r="M431" s="1645">
        <v>7100</v>
      </c>
    </row>
    <row r="432" spans="1:13" s="1622" customFormat="1">
      <c r="A432" s="2013"/>
      <c r="B432" s="1948" t="s">
        <v>2150</v>
      </c>
      <c r="C432" s="1941" t="s">
        <v>2146</v>
      </c>
      <c r="D432" s="1946" t="s">
        <v>1141</v>
      </c>
      <c r="E432" s="1936">
        <f t="shared" si="34"/>
        <v>14.4</v>
      </c>
      <c r="F432" s="1648"/>
      <c r="G432" s="1648"/>
      <c r="H432" s="2002">
        <f t="shared" si="31"/>
        <v>0</v>
      </c>
      <c r="I432" s="2002">
        <f t="shared" si="32"/>
        <v>0</v>
      </c>
      <c r="J432" s="1620"/>
      <c r="K432" s="1621">
        <v>14.4</v>
      </c>
      <c r="M432" s="1645">
        <v>5021</v>
      </c>
    </row>
    <row r="433" spans="1:13" s="1622" customFormat="1">
      <c r="A433" s="2013"/>
      <c r="B433" s="2214"/>
      <c r="C433" s="2204" t="s">
        <v>1323</v>
      </c>
      <c r="D433" s="2204"/>
      <c r="E433" s="2204"/>
      <c r="F433" s="2114"/>
      <c r="G433" s="2065">
        <f>SUM(G400:G432)</f>
        <v>0</v>
      </c>
      <c r="H433" s="2002"/>
      <c r="I433" s="2002"/>
      <c r="J433" s="1620"/>
      <c r="K433" s="1621"/>
      <c r="M433" s="1625"/>
    </row>
    <row r="434" spans="1:13" s="1622" customFormat="1">
      <c r="A434" s="2013"/>
      <c r="B434" s="2216"/>
      <c r="C434" s="2161"/>
      <c r="D434" s="1946"/>
      <c r="E434" s="1951"/>
      <c r="F434" s="2007"/>
      <c r="G434" s="2007"/>
      <c r="H434" s="2002"/>
      <c r="I434" s="2002"/>
      <c r="J434" s="1620"/>
      <c r="K434" s="1621"/>
      <c r="M434" s="1645"/>
    </row>
    <row r="435" spans="1:13" s="1622" customFormat="1">
      <c r="A435" s="2013"/>
      <c r="B435" s="1952">
        <v>12</v>
      </c>
      <c r="C435" s="1942" t="s">
        <v>1412</v>
      </c>
      <c r="D435" s="2157"/>
      <c r="E435" s="2159"/>
      <c r="F435" s="2057"/>
      <c r="G435" s="2057"/>
      <c r="H435" s="2002"/>
      <c r="I435" s="2002"/>
      <c r="J435" s="1620"/>
      <c r="K435" s="1621"/>
      <c r="M435" s="2005"/>
    </row>
    <row r="436" spans="1:13" s="1622" customFormat="1">
      <c r="A436" s="2013"/>
      <c r="B436" s="1946" t="s">
        <v>2047</v>
      </c>
      <c r="C436" s="1972" t="s">
        <v>2157</v>
      </c>
      <c r="D436" s="2194"/>
      <c r="E436" s="2217"/>
      <c r="F436" s="2067"/>
      <c r="G436" s="2067"/>
      <c r="H436" s="2002"/>
      <c r="I436" s="2002"/>
      <c r="J436" s="1620"/>
      <c r="K436" s="1621"/>
      <c r="M436" s="2005"/>
    </row>
    <row r="437" spans="1:13" s="1622" customFormat="1">
      <c r="A437" s="2013"/>
      <c r="B437" s="1946" t="s">
        <v>1818</v>
      </c>
      <c r="C437" s="1973" t="s">
        <v>1808</v>
      </c>
      <c r="D437" s="1962" t="s">
        <v>51</v>
      </c>
      <c r="E437" s="2218">
        <v>36.107999999999997</v>
      </c>
      <c r="F437" s="1648"/>
      <c r="G437" s="1648"/>
      <c r="H437" s="2002">
        <f t="shared" ref="H437:H499" si="35">+ROUND(F437*0.9,0)</f>
        <v>0</v>
      </c>
      <c r="I437" s="2002">
        <f t="shared" ref="I437:I499" si="36">+ROUND(F437*1.1,0)</f>
        <v>0</v>
      </c>
      <c r="J437" s="1620"/>
      <c r="K437" s="1621">
        <v>36.1</v>
      </c>
      <c r="M437" s="1645">
        <v>12390</v>
      </c>
    </row>
    <row r="438" spans="1:13" s="1622" customFormat="1">
      <c r="A438" s="2013"/>
      <c r="B438" s="1946" t="s">
        <v>2056</v>
      </c>
      <c r="C438" s="1973" t="s">
        <v>1325</v>
      </c>
      <c r="D438" s="1948" t="s">
        <v>579</v>
      </c>
      <c r="E438" s="1949">
        <v>13</v>
      </c>
      <c r="F438" s="1648"/>
      <c r="G438" s="1648"/>
      <c r="H438" s="2002">
        <f t="shared" si="35"/>
        <v>0</v>
      </c>
      <c r="I438" s="2002">
        <f t="shared" si="36"/>
        <v>0</v>
      </c>
      <c r="J438" s="1620"/>
      <c r="K438" s="1621">
        <v>13</v>
      </c>
      <c r="M438" s="1645">
        <v>34630</v>
      </c>
    </row>
    <row r="439" spans="1:13" s="1622" customFormat="1">
      <c r="A439" s="2013"/>
      <c r="B439" s="1946" t="s">
        <v>2057</v>
      </c>
      <c r="C439" s="2161" t="s">
        <v>1326</v>
      </c>
      <c r="D439" s="1946" t="s">
        <v>579</v>
      </c>
      <c r="E439" s="1951">
        <v>13</v>
      </c>
      <c r="F439" s="1648"/>
      <c r="G439" s="1648"/>
      <c r="H439" s="2002">
        <f t="shared" si="35"/>
        <v>0</v>
      </c>
      <c r="I439" s="2002">
        <f t="shared" si="36"/>
        <v>0</v>
      </c>
      <c r="J439" s="1620"/>
      <c r="K439" s="1621">
        <v>13</v>
      </c>
      <c r="M439" s="1645">
        <v>3130</v>
      </c>
    </row>
    <row r="440" spans="1:13" s="1622" customFormat="1">
      <c r="A440" s="2013"/>
      <c r="B440" s="1946" t="s">
        <v>2058</v>
      </c>
      <c r="C440" s="2161" t="s">
        <v>1327</v>
      </c>
      <c r="D440" s="1946" t="s">
        <v>579</v>
      </c>
      <c r="E440" s="1951">
        <v>1</v>
      </c>
      <c r="F440" s="1648"/>
      <c r="G440" s="1648"/>
      <c r="H440" s="2002">
        <f t="shared" si="35"/>
        <v>0</v>
      </c>
      <c r="I440" s="2002">
        <f t="shared" si="36"/>
        <v>0</v>
      </c>
      <c r="J440" s="1620"/>
      <c r="K440" s="1621">
        <v>1</v>
      </c>
      <c r="M440" s="1645">
        <v>2920</v>
      </c>
    </row>
    <row r="441" spans="1:13" s="1622" customFormat="1">
      <c r="A441" s="2013"/>
      <c r="B441" s="1946" t="s">
        <v>2059</v>
      </c>
      <c r="C441" s="2161" t="s">
        <v>1328</v>
      </c>
      <c r="D441" s="1946" t="s">
        <v>579</v>
      </c>
      <c r="E441" s="1951">
        <v>4</v>
      </c>
      <c r="F441" s="1648"/>
      <c r="G441" s="1648"/>
      <c r="H441" s="2002">
        <f t="shared" si="35"/>
        <v>0</v>
      </c>
      <c r="I441" s="2002">
        <f t="shared" si="36"/>
        <v>0</v>
      </c>
      <c r="J441" s="1620"/>
      <c r="K441" s="1621">
        <v>4</v>
      </c>
      <c r="M441" s="1645">
        <v>3100</v>
      </c>
    </row>
    <row r="442" spans="1:13" s="1622" customFormat="1">
      <c r="A442" s="2013"/>
      <c r="B442" s="1946" t="s">
        <v>2060</v>
      </c>
      <c r="C442" s="2161" t="s">
        <v>1329</v>
      </c>
      <c r="D442" s="1946" t="s">
        <v>579</v>
      </c>
      <c r="E442" s="1951">
        <v>1</v>
      </c>
      <c r="F442" s="1648"/>
      <c r="G442" s="1648"/>
      <c r="H442" s="2002">
        <f t="shared" si="35"/>
        <v>0</v>
      </c>
      <c r="I442" s="2002">
        <f t="shared" si="36"/>
        <v>0</v>
      </c>
      <c r="J442" s="1620"/>
      <c r="K442" s="1621">
        <v>1</v>
      </c>
      <c r="M442" s="1645">
        <v>3370</v>
      </c>
    </row>
    <row r="443" spans="1:13" s="1622" customFormat="1">
      <c r="A443" s="2013"/>
      <c r="B443" s="1946" t="s">
        <v>2061</v>
      </c>
      <c r="C443" s="2161" t="s">
        <v>1331</v>
      </c>
      <c r="D443" s="1946" t="s">
        <v>1141</v>
      </c>
      <c r="E443" s="1951">
        <v>24</v>
      </c>
      <c r="F443" s="1648"/>
      <c r="G443" s="1648"/>
      <c r="H443" s="2002">
        <f t="shared" si="35"/>
        <v>0</v>
      </c>
      <c r="I443" s="2002">
        <f t="shared" si="36"/>
        <v>0</v>
      </c>
      <c r="J443" s="1620"/>
      <c r="K443" s="1621">
        <v>24</v>
      </c>
      <c r="M443" s="1645">
        <v>3870</v>
      </c>
    </row>
    <row r="444" spans="1:13" s="1622" customFormat="1">
      <c r="A444" s="2013"/>
      <c r="B444" s="1946" t="s">
        <v>2062</v>
      </c>
      <c r="C444" s="2161" t="s">
        <v>1330</v>
      </c>
      <c r="D444" s="1946" t="s">
        <v>1141</v>
      </c>
      <c r="E444" s="1951">
        <v>7</v>
      </c>
      <c r="F444" s="1648"/>
      <c r="G444" s="1648"/>
      <c r="H444" s="2002">
        <f t="shared" si="35"/>
        <v>0</v>
      </c>
      <c r="I444" s="2002">
        <f t="shared" si="36"/>
        <v>0</v>
      </c>
      <c r="J444" s="1620"/>
      <c r="K444" s="1621">
        <v>7</v>
      </c>
      <c r="M444" s="1645">
        <v>4740</v>
      </c>
    </row>
    <row r="445" spans="1:13" s="1622" customFormat="1">
      <c r="A445" s="2013"/>
      <c r="B445" s="1946" t="s">
        <v>2063</v>
      </c>
      <c r="C445" s="2161" t="s">
        <v>1807</v>
      </c>
      <c r="D445" s="1946" t="s">
        <v>1141</v>
      </c>
      <c r="E445" s="1951">
        <v>169.6</v>
      </c>
      <c r="F445" s="1648"/>
      <c r="G445" s="1648"/>
      <c r="H445" s="2002">
        <f t="shared" si="35"/>
        <v>0</v>
      </c>
      <c r="I445" s="2002">
        <f t="shared" si="36"/>
        <v>0</v>
      </c>
      <c r="J445" s="1620"/>
      <c r="K445" s="1621">
        <v>169.6</v>
      </c>
      <c r="M445" s="1645">
        <v>6640</v>
      </c>
    </row>
    <row r="446" spans="1:13" s="1622" customFormat="1">
      <c r="A446" s="2013"/>
      <c r="B446" s="1946" t="s">
        <v>2064</v>
      </c>
      <c r="C446" s="2161" t="s">
        <v>1333</v>
      </c>
      <c r="D446" s="1946" t="s">
        <v>579</v>
      </c>
      <c r="E446" s="1951">
        <v>3</v>
      </c>
      <c r="F446" s="1648"/>
      <c r="G446" s="1648"/>
      <c r="H446" s="2002">
        <f t="shared" si="35"/>
        <v>0</v>
      </c>
      <c r="I446" s="2002">
        <f t="shared" si="36"/>
        <v>0</v>
      </c>
      <c r="J446" s="1620"/>
      <c r="K446" s="1621">
        <v>3</v>
      </c>
      <c r="M446" s="1645">
        <v>47640</v>
      </c>
    </row>
    <row r="447" spans="1:13" s="1622" customFormat="1">
      <c r="A447" s="2013"/>
      <c r="B447" s="1946" t="s">
        <v>2065</v>
      </c>
      <c r="C447" s="2161" t="s">
        <v>1332</v>
      </c>
      <c r="D447" s="1946" t="s">
        <v>579</v>
      </c>
      <c r="E447" s="1951">
        <v>3</v>
      </c>
      <c r="F447" s="1648"/>
      <c r="G447" s="1648"/>
      <c r="H447" s="2002">
        <f t="shared" si="35"/>
        <v>0</v>
      </c>
      <c r="I447" s="2002">
        <f t="shared" si="36"/>
        <v>0</v>
      </c>
      <c r="J447" s="1620"/>
      <c r="K447" s="1621">
        <v>3</v>
      </c>
      <c r="M447" s="1645">
        <v>33030</v>
      </c>
    </row>
    <row r="448" spans="1:13" s="1622" customFormat="1">
      <c r="A448" s="2013"/>
      <c r="B448" s="1946" t="s">
        <v>2066</v>
      </c>
      <c r="C448" s="2161" t="s">
        <v>1334</v>
      </c>
      <c r="D448" s="1946" t="s">
        <v>579</v>
      </c>
      <c r="E448" s="1951">
        <v>3</v>
      </c>
      <c r="F448" s="1648"/>
      <c r="G448" s="1648"/>
      <c r="H448" s="2002">
        <f t="shared" si="35"/>
        <v>0</v>
      </c>
      <c r="I448" s="2002">
        <f t="shared" si="36"/>
        <v>0</v>
      </c>
      <c r="J448" s="1620"/>
      <c r="K448" s="1621">
        <v>3</v>
      </c>
      <c r="M448" s="1645">
        <v>3250</v>
      </c>
    </row>
    <row r="449" spans="1:13" s="1622" customFormat="1">
      <c r="A449" s="2013"/>
      <c r="B449" s="1946" t="s">
        <v>2048</v>
      </c>
      <c r="C449" s="1974" t="s">
        <v>1335</v>
      </c>
      <c r="D449" s="1952"/>
      <c r="E449" s="1954"/>
      <c r="F449" s="2009"/>
      <c r="G449" s="2009"/>
      <c r="H449" s="2002"/>
      <c r="I449" s="2002"/>
      <c r="J449" s="1620"/>
      <c r="K449" s="1621"/>
      <c r="M449" s="1645"/>
    </row>
    <row r="450" spans="1:13" s="1622" customFormat="1">
      <c r="A450" s="2013"/>
      <c r="B450" s="1946" t="s">
        <v>1960</v>
      </c>
      <c r="C450" s="1933" t="s">
        <v>2134</v>
      </c>
      <c r="D450" s="1946" t="s">
        <v>579</v>
      </c>
      <c r="E450" s="1936"/>
      <c r="F450" s="1648"/>
      <c r="G450" s="1648"/>
      <c r="H450" s="2002">
        <f t="shared" si="35"/>
        <v>0</v>
      </c>
      <c r="I450" s="2002">
        <f t="shared" si="36"/>
        <v>0</v>
      </c>
      <c r="J450" s="1620"/>
      <c r="K450" s="1621"/>
      <c r="M450" s="1623">
        <v>239324</v>
      </c>
    </row>
    <row r="451" spans="1:13" s="1622" customFormat="1">
      <c r="A451" s="2013"/>
      <c r="B451" s="1946" t="s">
        <v>2067</v>
      </c>
      <c r="C451" s="2161" t="s">
        <v>1758</v>
      </c>
      <c r="D451" s="1946" t="s">
        <v>579</v>
      </c>
      <c r="E451" s="1951">
        <v>3</v>
      </c>
      <c r="F451" s="1648"/>
      <c r="G451" s="1648"/>
      <c r="H451" s="2002">
        <f t="shared" si="35"/>
        <v>0</v>
      </c>
      <c r="I451" s="2002">
        <f t="shared" si="36"/>
        <v>0</v>
      </c>
      <c r="J451" s="1620"/>
      <c r="K451" s="1621">
        <v>3</v>
      </c>
      <c r="M451" s="1645">
        <v>44210</v>
      </c>
    </row>
    <row r="452" spans="1:13" s="1622" customFormat="1">
      <c r="A452" s="2013"/>
      <c r="B452" s="1946" t="s">
        <v>2068</v>
      </c>
      <c r="C452" s="2161" t="s">
        <v>1757</v>
      </c>
      <c r="D452" s="1946" t="s">
        <v>579</v>
      </c>
      <c r="E452" s="1951">
        <v>3</v>
      </c>
      <c r="F452" s="1648"/>
      <c r="G452" s="1648"/>
      <c r="H452" s="2002">
        <f t="shared" si="35"/>
        <v>0</v>
      </c>
      <c r="I452" s="2002">
        <f t="shared" si="36"/>
        <v>0</v>
      </c>
      <c r="J452" s="1620"/>
      <c r="K452" s="1621">
        <v>3</v>
      </c>
      <c r="M452" s="1645">
        <v>168600</v>
      </c>
    </row>
    <row r="453" spans="1:13" s="1622" customFormat="1">
      <c r="A453" s="2013"/>
      <c r="B453" s="1946" t="s">
        <v>2069</v>
      </c>
      <c r="C453" s="2161" t="s">
        <v>1759</v>
      </c>
      <c r="D453" s="1946" t="s">
        <v>579</v>
      </c>
      <c r="E453" s="1951">
        <v>6</v>
      </c>
      <c r="F453" s="1648"/>
      <c r="G453" s="1648"/>
      <c r="H453" s="2002">
        <f t="shared" si="35"/>
        <v>0</v>
      </c>
      <c r="I453" s="2002">
        <f t="shared" si="36"/>
        <v>0</v>
      </c>
      <c r="J453" s="1620"/>
      <c r="K453" s="1621">
        <v>6</v>
      </c>
      <c r="M453" s="1645">
        <f>+M446</f>
        <v>47640</v>
      </c>
    </row>
    <row r="454" spans="1:13" s="1622" customFormat="1">
      <c r="A454" s="2013"/>
      <c r="B454" s="1946" t="s">
        <v>2070</v>
      </c>
      <c r="C454" s="2161" t="s">
        <v>1756</v>
      </c>
      <c r="D454" s="1946" t="s">
        <v>579</v>
      </c>
      <c r="E454" s="1951">
        <v>3</v>
      </c>
      <c r="F454" s="1648"/>
      <c r="G454" s="1648"/>
      <c r="H454" s="2002">
        <f t="shared" si="35"/>
        <v>0</v>
      </c>
      <c r="I454" s="2002">
        <f t="shared" si="36"/>
        <v>0</v>
      </c>
      <c r="J454" s="1620"/>
      <c r="K454" s="1621">
        <v>3</v>
      </c>
      <c r="M454" s="1645">
        <v>158604</v>
      </c>
    </row>
    <row r="455" spans="1:13" s="1622" customFormat="1">
      <c r="A455" s="2013"/>
      <c r="B455" s="1946" t="s">
        <v>2049</v>
      </c>
      <c r="C455" s="1974" t="s">
        <v>1342</v>
      </c>
      <c r="D455" s="1952"/>
      <c r="E455" s="1954"/>
      <c r="F455" s="2009"/>
      <c r="G455" s="2009"/>
      <c r="H455" s="2002"/>
      <c r="I455" s="2002"/>
      <c r="J455" s="1620"/>
      <c r="K455" s="1621"/>
      <c r="M455" s="1645"/>
    </row>
    <row r="456" spans="1:13" s="1622" customFormat="1">
      <c r="A456" s="2013"/>
      <c r="B456" s="1946" t="s">
        <v>2071</v>
      </c>
      <c r="C456" s="2161" t="s">
        <v>1359</v>
      </c>
      <c r="D456" s="1946" t="s">
        <v>579</v>
      </c>
      <c r="E456" s="1951">
        <v>3</v>
      </c>
      <c r="F456" s="1648"/>
      <c r="G456" s="1648"/>
      <c r="H456" s="2002">
        <f t="shared" si="35"/>
        <v>0</v>
      </c>
      <c r="I456" s="2002">
        <f t="shared" si="36"/>
        <v>0</v>
      </c>
      <c r="J456" s="1620"/>
      <c r="K456" s="1621">
        <v>3</v>
      </c>
      <c r="M456" s="1645">
        <v>29260</v>
      </c>
    </row>
    <row r="457" spans="1:13" s="1622" customFormat="1">
      <c r="A457" s="2013"/>
      <c r="B457" s="1946" t="s">
        <v>2072</v>
      </c>
      <c r="C457" s="2161" t="s">
        <v>1360</v>
      </c>
      <c r="D457" s="1946" t="s">
        <v>579</v>
      </c>
      <c r="E457" s="1951">
        <v>7</v>
      </c>
      <c r="F457" s="1648"/>
      <c r="G457" s="1648"/>
      <c r="H457" s="2002">
        <f t="shared" si="35"/>
        <v>0</v>
      </c>
      <c r="I457" s="2002">
        <f t="shared" si="36"/>
        <v>0</v>
      </c>
      <c r="J457" s="1620"/>
      <c r="K457" s="1621">
        <v>7</v>
      </c>
      <c r="M457" s="1645">
        <v>39530</v>
      </c>
    </row>
    <row r="458" spans="1:13" s="1622" customFormat="1">
      <c r="A458" s="2013"/>
      <c r="B458" s="1946" t="s">
        <v>2073</v>
      </c>
      <c r="C458" s="2161" t="s">
        <v>1362</v>
      </c>
      <c r="D458" s="1946" t="s">
        <v>579</v>
      </c>
      <c r="E458" s="1951">
        <v>3</v>
      </c>
      <c r="F458" s="1648"/>
      <c r="G458" s="1648"/>
      <c r="H458" s="2002">
        <f t="shared" si="35"/>
        <v>0</v>
      </c>
      <c r="I458" s="2002">
        <f t="shared" si="36"/>
        <v>0</v>
      </c>
      <c r="J458" s="1620"/>
      <c r="K458" s="1621">
        <v>3</v>
      </c>
      <c r="M458" s="1645">
        <v>66930</v>
      </c>
    </row>
    <row r="459" spans="1:13" s="1622" customFormat="1">
      <c r="A459" s="2013"/>
      <c r="B459" s="1946" t="s">
        <v>2050</v>
      </c>
      <c r="C459" s="1957" t="s">
        <v>1363</v>
      </c>
      <c r="D459" s="1952"/>
      <c r="E459" s="1954"/>
      <c r="F459" s="2009"/>
      <c r="G459" s="2009"/>
      <c r="H459" s="2002"/>
      <c r="I459" s="2002"/>
      <c r="J459" s="1620"/>
      <c r="K459" s="1621"/>
      <c r="M459" s="1645"/>
    </row>
    <row r="460" spans="1:13" s="1622" customFormat="1">
      <c r="A460" s="2013"/>
      <c r="B460" s="1946" t="s">
        <v>2074</v>
      </c>
      <c r="C460" s="2161" t="s">
        <v>1364</v>
      </c>
      <c r="D460" s="1946" t="s">
        <v>1141</v>
      </c>
      <c r="E460" s="1951">
        <v>37</v>
      </c>
      <c r="F460" s="1648"/>
      <c r="G460" s="1648"/>
      <c r="H460" s="2002">
        <f t="shared" si="35"/>
        <v>0</v>
      </c>
      <c r="I460" s="2002">
        <f t="shared" si="36"/>
        <v>0</v>
      </c>
      <c r="J460" s="1620"/>
      <c r="K460" s="1621">
        <v>37</v>
      </c>
      <c r="M460" s="1645">
        <v>22210</v>
      </c>
    </row>
    <row r="461" spans="1:13" s="1622" customFormat="1">
      <c r="A461" s="2013"/>
      <c r="B461" s="1946" t="s">
        <v>2075</v>
      </c>
      <c r="C461" s="2161" t="s">
        <v>1365</v>
      </c>
      <c r="D461" s="1946" t="s">
        <v>1141</v>
      </c>
      <c r="E461" s="1951">
        <v>5</v>
      </c>
      <c r="F461" s="1648"/>
      <c r="G461" s="1648"/>
      <c r="H461" s="2002">
        <f t="shared" si="35"/>
        <v>0</v>
      </c>
      <c r="I461" s="2002">
        <f t="shared" si="36"/>
        <v>0</v>
      </c>
      <c r="J461" s="1620"/>
      <c r="K461" s="1621">
        <v>5</v>
      </c>
      <c r="M461" s="1645">
        <v>20970</v>
      </c>
    </row>
    <row r="462" spans="1:13" s="1622" customFormat="1">
      <c r="A462" s="2013"/>
      <c r="B462" s="1946" t="s">
        <v>2076</v>
      </c>
      <c r="C462" s="2161" t="s">
        <v>1366</v>
      </c>
      <c r="D462" s="1946" t="s">
        <v>1141</v>
      </c>
      <c r="E462" s="1951">
        <v>4</v>
      </c>
      <c r="F462" s="1648"/>
      <c r="G462" s="1648"/>
      <c r="H462" s="2002">
        <f t="shared" si="35"/>
        <v>0</v>
      </c>
      <c r="I462" s="2002">
        <f t="shared" si="36"/>
        <v>0</v>
      </c>
      <c r="J462" s="1620"/>
      <c r="K462" s="1621">
        <v>4</v>
      </c>
      <c r="M462" s="1645">
        <v>18270</v>
      </c>
    </row>
    <row r="463" spans="1:13" s="1622" customFormat="1">
      <c r="A463" s="2013"/>
      <c r="B463" s="1946" t="s">
        <v>2051</v>
      </c>
      <c r="C463" s="1974" t="s">
        <v>1367</v>
      </c>
      <c r="D463" s="2211"/>
      <c r="E463" s="2212"/>
      <c r="F463" s="2066"/>
      <c r="G463" s="2066"/>
      <c r="H463" s="2002"/>
      <c r="I463" s="2002"/>
      <c r="J463" s="1620"/>
      <c r="K463" s="1621"/>
      <c r="M463" s="2005"/>
    </row>
    <row r="464" spans="1:13" s="1622" customFormat="1">
      <c r="A464" s="2013"/>
      <c r="B464" s="1946" t="s">
        <v>2077</v>
      </c>
      <c r="C464" s="2161" t="s">
        <v>1364</v>
      </c>
      <c r="D464" s="1946" t="s">
        <v>579</v>
      </c>
      <c r="E464" s="1951">
        <v>2</v>
      </c>
      <c r="F464" s="1648"/>
      <c r="G464" s="1648"/>
      <c r="H464" s="2002">
        <f t="shared" si="35"/>
        <v>0</v>
      </c>
      <c r="I464" s="2002">
        <f t="shared" si="36"/>
        <v>0</v>
      </c>
      <c r="J464" s="1620"/>
      <c r="K464" s="1621">
        <v>2</v>
      </c>
      <c r="M464" s="1645">
        <v>8658</v>
      </c>
    </row>
    <row r="465" spans="1:13" s="1622" customFormat="1">
      <c r="A465" s="2013"/>
      <c r="B465" s="1962" t="s">
        <v>2078</v>
      </c>
      <c r="C465" s="2161" t="s">
        <v>1365</v>
      </c>
      <c r="D465" s="1946" t="s">
        <v>579</v>
      </c>
      <c r="E465" s="1951">
        <v>6</v>
      </c>
      <c r="F465" s="1648"/>
      <c r="G465" s="1648"/>
      <c r="H465" s="2002">
        <f t="shared" si="35"/>
        <v>0</v>
      </c>
      <c r="I465" s="2002">
        <f t="shared" si="36"/>
        <v>0</v>
      </c>
      <c r="J465" s="1620"/>
      <c r="K465" s="1621">
        <v>6</v>
      </c>
      <c r="M465" s="1645">
        <v>5510</v>
      </c>
    </row>
    <row r="466" spans="1:13" s="1622" customFormat="1">
      <c r="A466" s="2013"/>
      <c r="B466" s="1962" t="s">
        <v>2079</v>
      </c>
      <c r="C466" s="2161" t="s">
        <v>1366</v>
      </c>
      <c r="D466" s="1946" t="s">
        <v>579</v>
      </c>
      <c r="E466" s="1951">
        <v>2</v>
      </c>
      <c r="F466" s="1648"/>
      <c r="G466" s="1648"/>
      <c r="H466" s="2002">
        <f t="shared" si="35"/>
        <v>0</v>
      </c>
      <c r="I466" s="2002">
        <f t="shared" si="36"/>
        <v>0</v>
      </c>
      <c r="J466" s="1620"/>
      <c r="K466" s="1621">
        <v>2</v>
      </c>
      <c r="M466" s="1645">
        <v>2169</v>
      </c>
    </row>
    <row r="467" spans="1:13" s="1622" customFormat="1">
      <c r="A467" s="2013"/>
      <c r="B467" s="2179" t="s">
        <v>2080</v>
      </c>
      <c r="C467" s="1974" t="s">
        <v>1368</v>
      </c>
      <c r="D467" s="2211"/>
      <c r="E467" s="2212"/>
      <c r="F467" s="2066"/>
      <c r="G467" s="2066"/>
      <c r="H467" s="2002"/>
      <c r="I467" s="2002"/>
      <c r="J467" s="1620"/>
      <c r="K467" s="1621"/>
      <c r="M467" s="2005"/>
    </row>
    <row r="468" spans="1:13" s="1622" customFormat="1">
      <c r="A468" s="2013"/>
      <c r="B468" s="1962" t="s">
        <v>2081</v>
      </c>
      <c r="C468" s="2161" t="s">
        <v>1365</v>
      </c>
      <c r="D468" s="1946" t="s">
        <v>579</v>
      </c>
      <c r="E468" s="1951">
        <v>3</v>
      </c>
      <c r="F468" s="1648"/>
      <c r="G468" s="1648"/>
      <c r="H468" s="2002">
        <f t="shared" si="35"/>
        <v>0</v>
      </c>
      <c r="I468" s="2002">
        <f t="shared" si="36"/>
        <v>0</v>
      </c>
      <c r="J468" s="1620"/>
      <c r="K468" s="1621">
        <v>3</v>
      </c>
      <c r="M468" s="1645">
        <v>6465</v>
      </c>
    </row>
    <row r="469" spans="1:13" s="1622" customFormat="1">
      <c r="A469" s="2013"/>
      <c r="B469" s="1962" t="s">
        <v>2082</v>
      </c>
      <c r="C469" s="2161" t="s">
        <v>1366</v>
      </c>
      <c r="D469" s="1946" t="s">
        <v>579</v>
      </c>
      <c r="E469" s="1951">
        <v>1</v>
      </c>
      <c r="F469" s="1648"/>
      <c r="G469" s="1648"/>
      <c r="H469" s="2002">
        <f t="shared" si="35"/>
        <v>0</v>
      </c>
      <c r="I469" s="2002">
        <f t="shared" si="36"/>
        <v>0</v>
      </c>
      <c r="J469" s="1620"/>
      <c r="K469" s="1621">
        <v>1</v>
      </c>
      <c r="M469" s="1645">
        <v>4785</v>
      </c>
    </row>
    <row r="470" spans="1:13" s="1622" customFormat="1">
      <c r="A470" s="2013"/>
      <c r="B470" s="1946" t="s">
        <v>2052</v>
      </c>
      <c r="C470" s="1942" t="s">
        <v>1369</v>
      </c>
      <c r="D470" s="2157"/>
      <c r="E470" s="2159"/>
      <c r="F470" s="2057"/>
      <c r="G470" s="2057"/>
      <c r="H470" s="2002"/>
      <c r="I470" s="2002"/>
      <c r="J470" s="1620"/>
      <c r="K470" s="1621"/>
      <c r="M470" s="2005"/>
    </row>
    <row r="471" spans="1:13" s="1622" customFormat="1">
      <c r="A471" s="2013"/>
      <c r="B471" s="1962" t="s">
        <v>2083</v>
      </c>
      <c r="C471" s="2161" t="s">
        <v>1371</v>
      </c>
      <c r="D471" s="1946" t="s">
        <v>579</v>
      </c>
      <c r="E471" s="1951">
        <v>2</v>
      </c>
      <c r="F471" s="1648"/>
      <c r="G471" s="1648"/>
      <c r="H471" s="2002">
        <f t="shared" si="35"/>
        <v>0</v>
      </c>
      <c r="I471" s="2002">
        <f t="shared" si="36"/>
        <v>0</v>
      </c>
      <c r="J471" s="1620"/>
      <c r="K471" s="1621">
        <v>2</v>
      </c>
      <c r="M471" s="1645">
        <v>24760</v>
      </c>
    </row>
    <row r="472" spans="1:13" s="1622" customFormat="1">
      <c r="A472" s="2013"/>
      <c r="B472" s="1962" t="s">
        <v>2138</v>
      </c>
      <c r="C472" s="2161" t="s">
        <v>1370</v>
      </c>
      <c r="D472" s="1946" t="s">
        <v>579</v>
      </c>
      <c r="E472" s="1951">
        <v>2</v>
      </c>
      <c r="F472" s="1648"/>
      <c r="G472" s="1648"/>
      <c r="H472" s="2002">
        <f t="shared" si="35"/>
        <v>0</v>
      </c>
      <c r="I472" s="2002">
        <f t="shared" si="36"/>
        <v>0</v>
      </c>
      <c r="J472" s="1620"/>
      <c r="K472" s="1621">
        <v>2</v>
      </c>
      <c r="M472" s="1645">
        <v>29900</v>
      </c>
    </row>
    <row r="473" spans="1:13" s="1622" customFormat="1">
      <c r="A473" s="2013"/>
      <c r="B473" s="1952" t="s">
        <v>2053</v>
      </c>
      <c r="C473" s="1942" t="s">
        <v>1372</v>
      </c>
      <c r="D473" s="2157"/>
      <c r="E473" s="2159"/>
      <c r="F473" s="2057"/>
      <c r="G473" s="2057"/>
      <c r="H473" s="2002"/>
      <c r="I473" s="2002"/>
      <c r="J473" s="1620"/>
      <c r="K473" s="1621"/>
      <c r="M473" s="2005"/>
    </row>
    <row r="474" spans="1:13" s="1622" customFormat="1">
      <c r="A474" s="2013"/>
      <c r="B474" s="2194" t="s">
        <v>2084</v>
      </c>
      <c r="C474" s="2161" t="s">
        <v>1365</v>
      </c>
      <c r="D474" s="1946" t="s">
        <v>1141</v>
      </c>
      <c r="E474" s="1951">
        <v>6</v>
      </c>
      <c r="F474" s="1648"/>
      <c r="G474" s="1648"/>
      <c r="H474" s="2002">
        <f t="shared" si="35"/>
        <v>0</v>
      </c>
      <c r="I474" s="2002">
        <f t="shared" si="36"/>
        <v>0</v>
      </c>
      <c r="J474" s="1620"/>
      <c r="K474" s="1621">
        <v>6</v>
      </c>
      <c r="M474" s="1645">
        <v>10451</v>
      </c>
    </row>
    <row r="475" spans="1:13" s="1622" customFormat="1">
      <c r="A475" s="2013"/>
      <c r="B475" s="2203"/>
      <c r="C475" s="2204" t="s">
        <v>2159</v>
      </c>
      <c r="D475" s="2204"/>
      <c r="E475" s="2204"/>
      <c r="F475" s="2114"/>
      <c r="G475" s="2068">
        <f>SUM(G437:G474)</f>
        <v>0</v>
      </c>
      <c r="H475" s="2002"/>
      <c r="I475" s="2002"/>
      <c r="J475" s="1620"/>
      <c r="K475" s="1621"/>
      <c r="M475" s="1625"/>
    </row>
    <row r="476" spans="1:13" s="1622" customFormat="1">
      <c r="A476" s="2013"/>
      <c r="B476" s="2219"/>
      <c r="C476" s="2220"/>
      <c r="D476" s="2220"/>
      <c r="E476" s="2221"/>
      <c r="F476" s="2069"/>
      <c r="G476" s="2070"/>
      <c r="H476" s="2002"/>
      <c r="I476" s="2002"/>
      <c r="J476" s="1620"/>
      <c r="K476" s="1621"/>
      <c r="M476" s="2071"/>
    </row>
    <row r="477" spans="1:13" s="1622" customFormat="1">
      <c r="A477" s="2013"/>
      <c r="B477" s="2179" t="s">
        <v>2054</v>
      </c>
      <c r="C477" s="1942" t="s">
        <v>1389</v>
      </c>
      <c r="D477" s="2157"/>
      <c r="E477" s="2159"/>
      <c r="F477" s="2057"/>
      <c r="G477" s="2057"/>
      <c r="H477" s="2002"/>
      <c r="I477" s="2002"/>
      <c r="J477" s="1620"/>
      <c r="K477" s="1621"/>
      <c r="M477" s="2005"/>
    </row>
    <row r="478" spans="1:13" s="1622" customFormat="1">
      <c r="A478" s="2013"/>
      <c r="B478" s="2179" t="s">
        <v>2085</v>
      </c>
      <c r="C478" s="2161" t="s">
        <v>1390</v>
      </c>
      <c r="D478" s="1946" t="s">
        <v>579</v>
      </c>
      <c r="E478" s="1951">
        <v>1</v>
      </c>
      <c r="F478" s="1648"/>
      <c r="G478" s="1648"/>
      <c r="H478" s="2002">
        <f t="shared" si="35"/>
        <v>0</v>
      </c>
      <c r="I478" s="2002">
        <f t="shared" si="36"/>
        <v>0</v>
      </c>
      <c r="J478" s="1620"/>
      <c r="K478" s="1621">
        <v>1</v>
      </c>
      <c r="M478" s="1645">
        <v>78639</v>
      </c>
    </row>
    <row r="479" spans="1:13" s="1622" customFormat="1">
      <c r="A479" s="2013"/>
      <c r="B479" s="2179" t="s">
        <v>2139</v>
      </c>
      <c r="C479" s="2161" t="s">
        <v>1391</v>
      </c>
      <c r="D479" s="1946" t="s">
        <v>579</v>
      </c>
      <c r="E479" s="1951">
        <v>1</v>
      </c>
      <c r="F479" s="1648"/>
      <c r="G479" s="1648"/>
      <c r="H479" s="2002">
        <f t="shared" si="35"/>
        <v>0</v>
      </c>
      <c r="I479" s="2002">
        <f t="shared" si="36"/>
        <v>0</v>
      </c>
      <c r="J479" s="1620"/>
      <c r="K479" s="1621">
        <v>1</v>
      </c>
      <c r="M479" s="1645">
        <v>294000</v>
      </c>
    </row>
    <row r="480" spans="1:13" s="1622" customFormat="1">
      <c r="A480" s="2013"/>
      <c r="B480" s="2179" t="s">
        <v>2140</v>
      </c>
      <c r="C480" s="2161" t="s">
        <v>1392</v>
      </c>
      <c r="D480" s="1946" t="s">
        <v>579</v>
      </c>
      <c r="E480" s="1951">
        <v>2</v>
      </c>
      <c r="F480" s="1648"/>
      <c r="G480" s="1648"/>
      <c r="H480" s="2002">
        <f t="shared" si="35"/>
        <v>0</v>
      </c>
      <c r="I480" s="2002">
        <f t="shared" si="36"/>
        <v>0</v>
      </c>
      <c r="J480" s="1620"/>
      <c r="K480" s="1621">
        <v>2</v>
      </c>
      <c r="M480" s="1645">
        <v>212089</v>
      </c>
    </row>
    <row r="481" spans="1:13" s="1622" customFormat="1">
      <c r="A481" s="2013"/>
      <c r="B481" s="1947"/>
      <c r="C481" s="1973"/>
      <c r="D481" s="1948"/>
      <c r="E481" s="1949"/>
      <c r="F481" s="2006"/>
      <c r="G481" s="2006"/>
      <c r="H481" s="2002"/>
      <c r="I481" s="2002"/>
      <c r="J481" s="1620"/>
      <c r="K481" s="1621"/>
      <c r="M481" s="1645"/>
    </row>
    <row r="482" spans="1:13" s="1622" customFormat="1" ht="12.75" customHeight="1">
      <c r="A482" s="2013"/>
      <c r="B482" s="2222"/>
      <c r="C482" s="2204" t="s">
        <v>2169</v>
      </c>
      <c r="D482" s="2204"/>
      <c r="E482" s="2204"/>
      <c r="F482" s="2114"/>
      <c r="G482" s="2068">
        <f>SUM(G478:G481)</f>
        <v>0</v>
      </c>
      <c r="H482" s="2002"/>
      <c r="I482" s="2002"/>
      <c r="J482" s="1620"/>
      <c r="K482" s="1621"/>
      <c r="M482" s="1625"/>
    </row>
    <row r="483" spans="1:13" s="1622" customFormat="1">
      <c r="A483" s="2013"/>
      <c r="B483" s="2179"/>
      <c r="C483" s="1973"/>
      <c r="D483" s="1948"/>
      <c r="E483" s="1949"/>
      <c r="F483" s="2067"/>
      <c r="G483" s="2067"/>
      <c r="H483" s="2002"/>
      <c r="I483" s="2002"/>
      <c r="J483" s="1620"/>
      <c r="K483" s="1621"/>
      <c r="M483" s="2005"/>
    </row>
    <row r="484" spans="1:13" s="1622" customFormat="1">
      <c r="A484" s="2013"/>
      <c r="B484" s="1953" t="s">
        <v>2055</v>
      </c>
      <c r="C484" s="1942" t="s">
        <v>1387</v>
      </c>
      <c r="D484" s="2157"/>
      <c r="E484" s="2159"/>
      <c r="F484" s="2057"/>
      <c r="G484" s="2057"/>
      <c r="H484" s="2002"/>
      <c r="I484" s="2002"/>
      <c r="J484" s="1620"/>
      <c r="K484" s="1621"/>
      <c r="M484" s="2005"/>
    </row>
    <row r="485" spans="1:13" s="1622" customFormat="1">
      <c r="A485" s="2013"/>
      <c r="B485" s="1947" t="s">
        <v>2141</v>
      </c>
      <c r="C485" s="2161" t="s">
        <v>1388</v>
      </c>
      <c r="D485" s="1946" t="s">
        <v>579</v>
      </c>
      <c r="E485" s="1951">
        <v>2</v>
      </c>
      <c r="F485" s="1648"/>
      <c r="G485" s="1648"/>
      <c r="H485" s="2002">
        <f t="shared" si="35"/>
        <v>0</v>
      </c>
      <c r="I485" s="2002">
        <f t="shared" si="36"/>
        <v>0</v>
      </c>
      <c r="J485" s="1620"/>
      <c r="K485" s="1621">
        <v>2</v>
      </c>
      <c r="M485" s="1645">
        <v>3177088</v>
      </c>
    </row>
    <row r="486" spans="1:13" s="1622" customFormat="1">
      <c r="A486" s="2013"/>
      <c r="B486" s="2223"/>
      <c r="C486" s="2204" t="s">
        <v>2158</v>
      </c>
      <c r="D486" s="2204"/>
      <c r="E486" s="2204"/>
      <c r="F486" s="2114"/>
      <c r="G486" s="2068">
        <f>+G485</f>
        <v>0</v>
      </c>
      <c r="H486" s="2002"/>
      <c r="I486" s="2002"/>
      <c r="J486" s="1620"/>
      <c r="K486" s="1621"/>
      <c r="M486" s="1625"/>
    </row>
    <row r="487" spans="1:13" s="1622" customFormat="1">
      <c r="A487" s="2013"/>
      <c r="B487" s="2206"/>
      <c r="C487" s="1973"/>
      <c r="D487" s="1948"/>
      <c r="E487" s="1949"/>
      <c r="F487" s="2067"/>
      <c r="G487" s="2065">
        <f>+G486+G482+G475</f>
        <v>0</v>
      </c>
      <c r="H487" s="2002"/>
      <c r="I487" s="2002"/>
      <c r="J487" s="1620"/>
      <c r="K487" s="1621"/>
      <c r="M487" s="2005"/>
    </row>
    <row r="488" spans="1:13" s="1622" customFormat="1">
      <c r="A488" s="2013"/>
      <c r="B488" s="2224" t="s">
        <v>2142</v>
      </c>
      <c r="C488" s="2225" t="s">
        <v>1580</v>
      </c>
      <c r="D488" s="2226"/>
      <c r="E488" s="2227"/>
      <c r="F488" s="2072"/>
      <c r="G488" s="2072"/>
      <c r="H488" s="2002"/>
      <c r="I488" s="2002"/>
      <c r="J488" s="1620"/>
      <c r="K488" s="1621"/>
      <c r="M488" s="2005"/>
    </row>
    <row r="489" spans="1:13" s="1622" customFormat="1" ht="267.75">
      <c r="A489" s="2013"/>
      <c r="B489" s="1947"/>
      <c r="C489" s="2181" t="s">
        <v>978</v>
      </c>
      <c r="D489" s="2191" t="s">
        <v>579</v>
      </c>
      <c r="E489" s="2192">
        <v>2</v>
      </c>
      <c r="F489" s="1648"/>
      <c r="G489" s="1648"/>
      <c r="H489" s="2002">
        <f t="shared" si="35"/>
        <v>0</v>
      </c>
      <c r="I489" s="2002">
        <f t="shared" si="36"/>
        <v>0</v>
      </c>
      <c r="J489" s="1620"/>
      <c r="K489" s="1621">
        <v>2</v>
      </c>
      <c r="M489" s="1645">
        <v>21945000</v>
      </c>
    </row>
    <row r="490" spans="1:13" s="1622" customFormat="1">
      <c r="A490" s="2013"/>
      <c r="B490" s="2224"/>
      <c r="C490" s="2202" t="s">
        <v>1581</v>
      </c>
      <c r="D490" s="2202"/>
      <c r="E490" s="2202"/>
      <c r="F490" s="2115"/>
      <c r="G490" s="2057">
        <f>+G489</f>
        <v>0</v>
      </c>
      <c r="H490" s="2002">
        <f t="shared" si="35"/>
        <v>0</v>
      </c>
      <c r="I490" s="2002">
        <f t="shared" si="36"/>
        <v>0</v>
      </c>
      <c r="J490" s="1620"/>
      <c r="K490" s="1621"/>
      <c r="M490" s="1625"/>
    </row>
    <row r="491" spans="1:13" s="1622" customFormat="1">
      <c r="A491" s="2013"/>
      <c r="B491" s="2157"/>
      <c r="C491" s="2204"/>
      <c r="D491" s="2204"/>
      <c r="E491" s="2204"/>
      <c r="F491" s="2114"/>
      <c r="G491" s="2065">
        <f>+G490+G486+G482+G475</f>
        <v>0</v>
      </c>
      <c r="H491" s="2002">
        <f t="shared" si="35"/>
        <v>0</v>
      </c>
      <c r="I491" s="2002">
        <f t="shared" si="36"/>
        <v>0</v>
      </c>
      <c r="J491" s="1620"/>
      <c r="K491" s="1621"/>
      <c r="M491" s="1625"/>
    </row>
    <row r="492" spans="1:13" s="1622" customFormat="1">
      <c r="A492" s="2013"/>
      <c r="B492" s="2194"/>
      <c r="C492" s="2171"/>
      <c r="D492" s="2228"/>
      <c r="E492" s="2229"/>
      <c r="F492" s="2057"/>
      <c r="G492" s="2057"/>
      <c r="H492" s="2002">
        <f t="shared" si="35"/>
        <v>0</v>
      </c>
      <c r="I492" s="2002">
        <f t="shared" si="36"/>
        <v>0</v>
      </c>
      <c r="J492" s="1620"/>
      <c r="K492" s="1621"/>
      <c r="M492" s="2005"/>
    </row>
    <row r="493" spans="1:13" s="1622" customFormat="1">
      <c r="A493" s="2013"/>
      <c r="B493" s="1966">
        <v>13</v>
      </c>
      <c r="C493" s="1942" t="s">
        <v>1685</v>
      </c>
      <c r="D493" s="2157"/>
      <c r="E493" s="2159"/>
      <c r="F493" s="2057"/>
      <c r="G493" s="2057"/>
      <c r="H493" s="2002">
        <f t="shared" si="35"/>
        <v>0</v>
      </c>
      <c r="I493" s="2002">
        <f t="shared" si="36"/>
        <v>0</v>
      </c>
      <c r="J493" s="1620"/>
      <c r="K493" s="1621"/>
      <c r="M493" s="2005"/>
    </row>
    <row r="494" spans="1:13" s="1622" customFormat="1">
      <c r="A494" s="2013"/>
      <c r="B494" s="2179" t="s">
        <v>2086</v>
      </c>
      <c r="C494" s="2161" t="s">
        <v>1784</v>
      </c>
      <c r="D494" s="1935" t="s">
        <v>1141</v>
      </c>
      <c r="E494" s="1936">
        <v>1616</v>
      </c>
      <c r="F494" s="1648"/>
      <c r="G494" s="1648"/>
      <c r="H494" s="2002">
        <f t="shared" si="35"/>
        <v>0</v>
      </c>
      <c r="I494" s="2002">
        <f t="shared" si="36"/>
        <v>0</v>
      </c>
      <c r="J494" s="1620"/>
      <c r="K494" s="1621">
        <v>1616</v>
      </c>
      <c r="M494" s="1623">
        <v>1320</v>
      </c>
    </row>
    <row r="495" spans="1:13" s="1622" customFormat="1">
      <c r="A495" s="2013"/>
      <c r="B495" s="2179" t="s">
        <v>1834</v>
      </c>
      <c r="C495" s="2161" t="s">
        <v>1400</v>
      </c>
      <c r="D495" s="1946" t="s">
        <v>51</v>
      </c>
      <c r="E495" s="1951">
        <v>3018.4799999999996</v>
      </c>
      <c r="F495" s="1648"/>
      <c r="G495" s="1648"/>
      <c r="H495" s="2002">
        <f t="shared" si="35"/>
        <v>0</v>
      </c>
      <c r="I495" s="2002">
        <f t="shared" si="36"/>
        <v>0</v>
      </c>
      <c r="J495" s="1620"/>
      <c r="K495" s="1621">
        <v>3018.4799999999996</v>
      </c>
      <c r="M495" s="1645">
        <v>3000</v>
      </c>
    </row>
    <row r="496" spans="1:13" s="1622" customFormat="1">
      <c r="A496" s="2013"/>
      <c r="B496" s="2179" t="s">
        <v>1837</v>
      </c>
      <c r="C496" s="2161" t="s">
        <v>941</v>
      </c>
      <c r="D496" s="2179" t="s">
        <v>51</v>
      </c>
      <c r="E496" s="2230">
        <v>2772.6119999999996</v>
      </c>
      <c r="F496" s="1648"/>
      <c r="G496" s="1648"/>
      <c r="H496" s="2002">
        <f t="shared" si="35"/>
        <v>0</v>
      </c>
      <c r="I496" s="2002">
        <f t="shared" si="36"/>
        <v>0</v>
      </c>
      <c r="J496" s="1620"/>
      <c r="K496" s="1621">
        <v>2772.6119999999996</v>
      </c>
      <c r="M496" s="1645">
        <v>10240</v>
      </c>
    </row>
    <row r="497" spans="1:15">
      <c r="A497" s="2013"/>
      <c r="B497" s="2179" t="s">
        <v>2087</v>
      </c>
      <c r="C497" s="2161" t="s">
        <v>1806</v>
      </c>
      <c r="D497" s="2179" t="s">
        <v>1141</v>
      </c>
      <c r="E497" s="2230">
        <v>2341.6</v>
      </c>
      <c r="F497" s="1648"/>
      <c r="G497" s="1648"/>
      <c r="H497" s="2002">
        <f t="shared" si="35"/>
        <v>0</v>
      </c>
      <c r="I497" s="2002">
        <f t="shared" si="36"/>
        <v>0</v>
      </c>
      <c r="K497" s="1621">
        <v>2341.6</v>
      </c>
      <c r="M497" s="1645">
        <v>4870</v>
      </c>
      <c r="O497" s="1622"/>
    </row>
    <row r="498" spans="1:15">
      <c r="A498" s="2013"/>
      <c r="B498" s="2179" t="s">
        <v>2088</v>
      </c>
      <c r="C498" s="2161" t="s">
        <v>1548</v>
      </c>
      <c r="D498" s="2179" t="s">
        <v>51</v>
      </c>
      <c r="E498" s="2230">
        <v>46</v>
      </c>
      <c r="F498" s="1648"/>
      <c r="G498" s="1648"/>
      <c r="H498" s="2002">
        <f t="shared" si="35"/>
        <v>0</v>
      </c>
      <c r="I498" s="2002">
        <f t="shared" si="36"/>
        <v>0</v>
      </c>
      <c r="K498" s="1621">
        <v>46</v>
      </c>
      <c r="M498" s="1645">
        <v>46020</v>
      </c>
      <c r="O498" s="1622"/>
    </row>
    <row r="499" spans="1:15">
      <c r="A499" s="2013"/>
      <c r="B499" s="1948" t="s">
        <v>1836</v>
      </c>
      <c r="C499" s="1971" t="s">
        <v>1803</v>
      </c>
      <c r="D499" s="2179" t="s">
        <v>51</v>
      </c>
      <c r="E499" s="2230">
        <v>245.86799999999997</v>
      </c>
      <c r="F499" s="1648"/>
      <c r="G499" s="1648"/>
      <c r="H499" s="2002">
        <f t="shared" si="35"/>
        <v>0</v>
      </c>
      <c r="I499" s="2002">
        <f t="shared" si="36"/>
        <v>0</v>
      </c>
      <c r="K499" s="1621">
        <v>245.87</v>
      </c>
      <c r="M499" s="1645">
        <v>14640</v>
      </c>
      <c r="O499" s="1622"/>
    </row>
    <row r="500" spans="1:15" ht="25.5">
      <c r="A500" s="2013"/>
      <c r="B500" s="2179" t="s">
        <v>2089</v>
      </c>
      <c r="C500" s="1940" t="s">
        <v>1816</v>
      </c>
      <c r="D500" s="1946" t="s">
        <v>51</v>
      </c>
      <c r="E500" s="1951">
        <v>140.55599999999998</v>
      </c>
      <c r="F500" s="1648"/>
      <c r="G500" s="1648"/>
      <c r="H500" s="2002">
        <f t="shared" ref="H500:H510" si="37">+ROUND(F500*0.9,0)</f>
        <v>0</v>
      </c>
      <c r="I500" s="2002">
        <f t="shared" ref="I500:I510" si="38">+ROUND(F500*1.1,0)</f>
        <v>0</v>
      </c>
      <c r="K500" s="1621">
        <v>140.56</v>
      </c>
      <c r="M500" s="1645">
        <v>82307</v>
      </c>
      <c r="O500" s="1622"/>
    </row>
    <row r="501" spans="1:15" ht="25.5">
      <c r="A501" s="2013"/>
      <c r="B501" s="2179" t="s">
        <v>2090</v>
      </c>
      <c r="C501" s="1940" t="s">
        <v>1817</v>
      </c>
      <c r="D501" s="1946" t="s">
        <v>51</v>
      </c>
      <c r="E501" s="1951">
        <v>105.41699999999999</v>
      </c>
      <c r="F501" s="1648"/>
      <c r="G501" s="1648"/>
      <c r="H501" s="2002">
        <f t="shared" si="37"/>
        <v>0</v>
      </c>
      <c r="I501" s="2002">
        <f t="shared" si="38"/>
        <v>0</v>
      </c>
      <c r="K501" s="1621">
        <v>105.42</v>
      </c>
      <c r="M501" s="1645">
        <v>81782</v>
      </c>
      <c r="O501" s="1622"/>
    </row>
    <row r="502" spans="1:15">
      <c r="A502" s="2013"/>
      <c r="B502" s="2179" t="s">
        <v>2091</v>
      </c>
      <c r="C502" s="1934" t="s">
        <v>2176</v>
      </c>
      <c r="D502" s="2179" t="s">
        <v>51</v>
      </c>
      <c r="E502" s="1951">
        <v>59.426999999999992</v>
      </c>
      <c r="F502" s="1648"/>
      <c r="G502" s="1648"/>
      <c r="H502" s="2002">
        <f t="shared" si="37"/>
        <v>0</v>
      </c>
      <c r="I502" s="2002">
        <f t="shared" si="38"/>
        <v>0</v>
      </c>
      <c r="K502" s="1621">
        <v>59.43</v>
      </c>
      <c r="M502" s="1645">
        <v>34090</v>
      </c>
      <c r="O502" s="1622"/>
    </row>
    <row r="503" spans="1:15">
      <c r="A503" s="2013"/>
      <c r="B503" s="2179" t="s">
        <v>2092</v>
      </c>
      <c r="C503" s="1971" t="s">
        <v>1579</v>
      </c>
      <c r="D503" s="2179" t="s">
        <v>51</v>
      </c>
      <c r="E503" s="1951">
        <v>49.194600000000001</v>
      </c>
      <c r="F503" s="1648"/>
      <c r="G503" s="1648"/>
      <c r="H503" s="2002">
        <f t="shared" si="37"/>
        <v>0</v>
      </c>
      <c r="I503" s="2002">
        <f t="shared" si="38"/>
        <v>0</v>
      </c>
      <c r="K503" s="1621">
        <v>49.19</v>
      </c>
      <c r="M503" s="1645">
        <v>630830</v>
      </c>
      <c r="O503" s="1622"/>
    </row>
    <row r="504" spans="1:15">
      <c r="A504" s="2013"/>
      <c r="B504" s="2179" t="s">
        <v>2093</v>
      </c>
      <c r="C504" s="1971" t="s">
        <v>1577</v>
      </c>
      <c r="D504" s="2179" t="s">
        <v>43</v>
      </c>
      <c r="E504" s="1951">
        <v>702.78</v>
      </c>
      <c r="F504" s="1648"/>
      <c r="G504" s="1648"/>
      <c r="H504" s="2002">
        <f t="shared" si="37"/>
        <v>0</v>
      </c>
      <c r="I504" s="2002">
        <f t="shared" si="38"/>
        <v>0</v>
      </c>
      <c r="K504" s="1621">
        <v>702.78</v>
      </c>
      <c r="M504" s="1645">
        <v>1984</v>
      </c>
      <c r="O504" s="1622"/>
    </row>
    <row r="505" spans="1:15">
      <c r="A505" s="2013"/>
      <c r="B505" s="2179" t="s">
        <v>2094</v>
      </c>
      <c r="C505" s="2161" t="s">
        <v>1550</v>
      </c>
      <c r="D505" s="2179"/>
      <c r="E505" s="2230"/>
      <c r="F505" s="1648"/>
      <c r="G505" s="1648"/>
      <c r="H505" s="2002"/>
      <c r="I505" s="2002"/>
      <c r="M505" s="1645"/>
      <c r="O505" s="1622"/>
    </row>
    <row r="506" spans="1:15" ht="15.75" customHeight="1">
      <c r="A506" s="1998"/>
      <c r="B506" s="2179" t="s">
        <v>2095</v>
      </c>
      <c r="C506" s="2161" t="s">
        <v>1396</v>
      </c>
      <c r="D506" s="1946" t="s">
        <v>1141</v>
      </c>
      <c r="E506" s="1951">
        <v>246</v>
      </c>
      <c r="F506" s="1648"/>
      <c r="G506" s="1648"/>
      <c r="H506" s="2002">
        <f t="shared" si="37"/>
        <v>0</v>
      </c>
      <c r="I506" s="2002">
        <f t="shared" si="38"/>
        <v>0</v>
      </c>
      <c r="K506" s="1621">
        <v>246</v>
      </c>
      <c r="M506" s="1645">
        <v>5021</v>
      </c>
      <c r="O506" s="1622"/>
    </row>
    <row r="507" spans="1:15">
      <c r="A507" s="1998"/>
      <c r="B507" s="2179" t="s">
        <v>2096</v>
      </c>
      <c r="C507" s="2161" t="s">
        <v>1397</v>
      </c>
      <c r="D507" s="1946" t="s">
        <v>1141</v>
      </c>
      <c r="E507" s="1951">
        <v>290.7</v>
      </c>
      <c r="F507" s="1648"/>
      <c r="G507" s="1648"/>
      <c r="H507" s="2002">
        <f t="shared" si="37"/>
        <v>0</v>
      </c>
      <c r="I507" s="2002">
        <f t="shared" si="38"/>
        <v>0</v>
      </c>
      <c r="K507" s="1621">
        <v>290.7</v>
      </c>
      <c r="M507" s="1645">
        <v>5021</v>
      </c>
      <c r="O507" s="1622"/>
    </row>
    <row r="508" spans="1:15">
      <c r="A508" s="1998"/>
      <c r="B508" s="2179" t="s">
        <v>2097</v>
      </c>
      <c r="C508" s="2161" t="s">
        <v>1402</v>
      </c>
      <c r="D508" s="1946" t="s">
        <v>1141</v>
      </c>
      <c r="E508" s="1951">
        <v>511</v>
      </c>
      <c r="F508" s="1648"/>
      <c r="G508" s="1648"/>
      <c r="H508" s="2002">
        <f t="shared" si="37"/>
        <v>0</v>
      </c>
      <c r="I508" s="2002">
        <f t="shared" si="38"/>
        <v>0</v>
      </c>
      <c r="K508" s="1621">
        <v>511</v>
      </c>
      <c r="M508" s="1645">
        <v>3632</v>
      </c>
      <c r="O508" s="1622"/>
    </row>
    <row r="509" spans="1:15">
      <c r="A509" s="1998"/>
      <c r="B509" s="2179" t="s">
        <v>2098</v>
      </c>
      <c r="C509" s="2161" t="s">
        <v>1434</v>
      </c>
      <c r="D509" s="1946" t="s">
        <v>1141</v>
      </c>
      <c r="E509" s="1951">
        <v>264</v>
      </c>
      <c r="F509" s="1648"/>
      <c r="G509" s="1648"/>
      <c r="H509" s="2002">
        <f t="shared" si="37"/>
        <v>0</v>
      </c>
      <c r="I509" s="2002">
        <f t="shared" si="38"/>
        <v>0</v>
      </c>
      <c r="K509" s="1621">
        <v>264</v>
      </c>
      <c r="M509" s="1645">
        <v>3512</v>
      </c>
      <c r="O509" s="1622"/>
    </row>
    <row r="510" spans="1:15">
      <c r="B510" s="2179" t="s">
        <v>2099</v>
      </c>
      <c r="C510" s="1971" t="s">
        <v>1406</v>
      </c>
      <c r="D510" s="1946" t="s">
        <v>1141</v>
      </c>
      <c r="E510" s="1951">
        <v>304.3</v>
      </c>
      <c r="F510" s="1648"/>
      <c r="G510" s="1648"/>
      <c r="H510" s="2002">
        <f t="shared" si="37"/>
        <v>0</v>
      </c>
      <c r="I510" s="2002">
        <f t="shared" si="38"/>
        <v>0</v>
      </c>
      <c r="K510" s="1621">
        <v>304.3</v>
      </c>
      <c r="M510" s="1645">
        <v>3512</v>
      </c>
      <c r="O510" s="1622"/>
    </row>
    <row r="511" spans="1:15">
      <c r="B511" s="2203"/>
      <c r="C511" s="2204" t="s">
        <v>1686</v>
      </c>
      <c r="D511" s="2204"/>
      <c r="E511" s="2204"/>
      <c r="F511" s="2114"/>
      <c r="G511" s="2065">
        <f>SUM(G494:G510)</f>
        <v>0</v>
      </c>
      <c r="H511" s="1999"/>
      <c r="I511" s="1999"/>
      <c r="L511" s="2019"/>
      <c r="M511" s="1625"/>
      <c r="O511" s="1622"/>
    </row>
    <row r="512" spans="1:15" ht="15" customHeight="1" thickBot="1">
      <c r="B512" s="2231"/>
      <c r="C512" s="2232"/>
      <c r="D512" s="2232"/>
      <c r="E512" s="2232"/>
      <c r="F512" s="2134"/>
      <c r="G512" s="2134"/>
      <c r="L512" s="2020"/>
      <c r="M512" s="1625"/>
      <c r="O512" s="1622"/>
    </row>
    <row r="513" spans="2:15">
      <c r="B513" s="1978"/>
      <c r="C513" s="2233" t="s">
        <v>94</v>
      </c>
      <c r="D513" s="2234"/>
      <c r="E513" s="2234"/>
      <c r="F513" s="2117"/>
      <c r="G513" s="2073">
        <f>+G511+G491+G433+G397+G337+G263+G240+G188+G156+G114+G73+G31+G15</f>
        <v>0</v>
      </c>
      <c r="M513" s="1625"/>
      <c r="O513" s="1622"/>
    </row>
    <row r="514" spans="2:15">
      <c r="B514" s="1977"/>
      <c r="C514" s="2231"/>
      <c r="D514" s="1975"/>
      <c r="E514" s="1976"/>
      <c r="F514" s="1643"/>
      <c r="G514" s="1644"/>
      <c r="M514" s="1645"/>
      <c r="O514" s="1622"/>
    </row>
    <row r="515" spans="2:15">
      <c r="B515" s="2235"/>
      <c r="C515" s="2236" t="s">
        <v>96</v>
      </c>
      <c r="D515" s="2237"/>
      <c r="E515" s="2238"/>
      <c r="F515" s="2074"/>
      <c r="G515" s="2075"/>
      <c r="M515" s="1645"/>
      <c r="O515" s="1622"/>
    </row>
    <row r="516" spans="2:15">
      <c r="B516" s="1977"/>
      <c r="C516" s="2239" t="s">
        <v>98</v>
      </c>
      <c r="D516" s="2240"/>
      <c r="E516" s="2240"/>
      <c r="F516" s="2118"/>
      <c r="G516" s="2076">
        <f>+G513</f>
        <v>0</v>
      </c>
      <c r="M516" s="1625"/>
      <c r="O516" s="1622"/>
    </row>
    <row r="517" spans="2:15">
      <c r="B517" s="1977"/>
      <c r="C517" s="2241" t="s">
        <v>100</v>
      </c>
      <c r="D517" s="2242"/>
      <c r="E517" s="2242"/>
      <c r="F517" s="2077"/>
      <c r="G517" s="2078">
        <f>ROUND(+G516*F517,0)</f>
        <v>0</v>
      </c>
      <c r="M517" s="1645">
        <v>0.17</v>
      </c>
      <c r="O517" s="1622"/>
    </row>
    <row r="518" spans="2:15">
      <c r="B518" s="1977"/>
      <c r="C518" s="2241" t="s">
        <v>102</v>
      </c>
      <c r="D518" s="2242"/>
      <c r="E518" s="2242"/>
      <c r="F518" s="2079"/>
      <c r="G518" s="2080">
        <f>ROUND(+G516*F518,0)</f>
        <v>0</v>
      </c>
      <c r="M518" s="1645">
        <v>0.03</v>
      </c>
      <c r="O518" s="1622"/>
    </row>
    <row r="519" spans="2:15">
      <c r="B519" s="1977"/>
      <c r="C519" s="2241" t="s">
        <v>104</v>
      </c>
      <c r="D519" s="2242"/>
      <c r="E519" s="2242"/>
      <c r="F519" s="2081"/>
      <c r="G519" s="2080">
        <f>ROUND(+G516*F519,0)</f>
        <v>0</v>
      </c>
      <c r="L519" s="2021"/>
      <c r="M519" s="1645">
        <v>9.9000000000000005E-2</v>
      </c>
      <c r="O519" s="1622"/>
    </row>
    <row r="520" spans="2:15">
      <c r="B520" s="1977"/>
      <c r="C520" s="2243" t="s">
        <v>105</v>
      </c>
      <c r="D520" s="2244"/>
      <c r="E520" s="2244"/>
      <c r="F520" s="2082"/>
      <c r="G520" s="2083">
        <f>+G517+G518+G519</f>
        <v>0</v>
      </c>
      <c r="M520" s="2005">
        <f>+M519+M518+M517</f>
        <v>0.29900000000000004</v>
      </c>
      <c r="O520" s="1622"/>
    </row>
    <row r="521" spans="2:15">
      <c r="B521" s="1977"/>
      <c r="C521" s="2245" t="s">
        <v>107</v>
      </c>
      <c r="D521" s="2246"/>
      <c r="E521" s="2246"/>
      <c r="F521" s="2084">
        <v>0.16</v>
      </c>
      <c r="G521" s="2085">
        <f>ROUND(+G519*F521,0)</f>
        <v>0</v>
      </c>
      <c r="M521" s="2005">
        <v>0.16</v>
      </c>
      <c r="O521" s="1622"/>
    </row>
    <row r="522" spans="2:15" ht="13.5" thickBot="1">
      <c r="B522" s="1978"/>
      <c r="C522" s="2247" t="s">
        <v>109</v>
      </c>
      <c r="D522" s="2248"/>
      <c r="E522" s="2248"/>
      <c r="F522" s="2119"/>
      <c r="G522" s="2086">
        <f>+G516+G520+G521</f>
        <v>0</v>
      </c>
      <c r="J522" s="2022"/>
      <c r="M522" s="1625"/>
      <c r="O522" s="1622"/>
    </row>
    <row r="523" spans="2:15">
      <c r="B523" s="1978"/>
      <c r="C523" s="2249"/>
      <c r="D523" s="2249"/>
      <c r="E523" s="2249"/>
      <c r="F523" s="2087"/>
      <c r="G523" s="2088"/>
      <c r="J523" s="2022"/>
      <c r="M523" s="1625"/>
      <c r="O523" s="1622"/>
    </row>
    <row r="524" spans="2:15">
      <c r="B524" s="1977"/>
      <c r="C524" s="1977"/>
      <c r="D524" s="1975"/>
      <c r="E524" s="1976"/>
      <c r="F524" s="1643"/>
      <c r="G524" s="2023"/>
      <c r="J524" s="2024"/>
      <c r="M524" s="1645"/>
      <c r="O524" s="1622"/>
    </row>
    <row r="525" spans="2:15">
      <c r="B525" s="1977"/>
      <c r="C525" s="2250" t="s">
        <v>948</v>
      </c>
      <c r="D525" s="1975"/>
      <c r="E525" s="1976"/>
      <c r="F525" s="1643"/>
      <c r="G525" s="2023"/>
      <c r="M525" s="1645"/>
      <c r="O525" s="1622"/>
    </row>
    <row r="526" spans="2:15">
      <c r="B526" s="1977"/>
      <c r="C526" s="1977"/>
      <c r="D526" s="1975"/>
      <c r="E526" s="1976"/>
      <c r="F526" s="1643"/>
      <c r="G526" s="2023"/>
      <c r="M526" s="1645"/>
      <c r="O526" s="1622"/>
    </row>
    <row r="527" spans="2:15">
      <c r="B527" s="2251" t="s">
        <v>20</v>
      </c>
      <c r="C527" s="2251" t="s">
        <v>21</v>
      </c>
      <c r="D527" s="2251" t="s">
        <v>22</v>
      </c>
      <c r="E527" s="2251" t="s">
        <v>23</v>
      </c>
      <c r="F527" s="2089" t="s">
        <v>24</v>
      </c>
      <c r="G527" s="2090" t="s">
        <v>25</v>
      </c>
      <c r="M527" s="1645"/>
      <c r="O527" s="1622"/>
    </row>
    <row r="528" spans="2:15" ht="13.5" thickBot="1">
      <c r="B528" s="1979"/>
      <c r="C528" s="1980"/>
      <c r="D528" s="1981"/>
      <c r="E528" s="1982"/>
      <c r="F528" s="2025"/>
      <c r="G528" s="2026"/>
      <c r="M528" s="1645"/>
      <c r="O528" s="1622"/>
    </row>
    <row r="529" spans="2:15">
      <c r="B529" s="2252"/>
      <c r="C529" s="1983" t="s">
        <v>1407</v>
      </c>
      <c r="D529" s="2253"/>
      <c r="E529" s="2253"/>
      <c r="F529" s="2091"/>
      <c r="G529" s="2092"/>
      <c r="M529" s="1645"/>
      <c r="O529" s="1622"/>
    </row>
    <row r="530" spans="2:15">
      <c r="B530" s="2254"/>
      <c r="C530" s="2255"/>
      <c r="D530" s="2256"/>
      <c r="E530" s="2257"/>
      <c r="F530" s="2093"/>
      <c r="G530" s="2094"/>
      <c r="M530" s="1645"/>
      <c r="O530" s="1622"/>
    </row>
    <row r="531" spans="2:15">
      <c r="B531" s="2258"/>
      <c r="C531" s="2259" t="s">
        <v>1396</v>
      </c>
      <c r="D531" s="2260" t="s">
        <v>500</v>
      </c>
      <c r="E531" s="2261">
        <v>246</v>
      </c>
      <c r="F531" s="2095"/>
      <c r="G531" s="2096"/>
      <c r="M531" s="1645"/>
      <c r="O531" s="1622"/>
    </row>
    <row r="532" spans="2:15">
      <c r="B532" s="2258"/>
      <c r="C532" s="2259" t="s">
        <v>1397</v>
      </c>
      <c r="D532" s="2260" t="s">
        <v>500</v>
      </c>
      <c r="E532" s="2261">
        <v>290.7</v>
      </c>
      <c r="F532" s="2095"/>
      <c r="G532" s="2096"/>
      <c r="M532" s="1645"/>
      <c r="O532" s="1622"/>
    </row>
    <row r="533" spans="2:15">
      <c r="B533" s="2258"/>
      <c r="C533" s="2259" t="s">
        <v>1402</v>
      </c>
      <c r="D533" s="2260" t="s">
        <v>500</v>
      </c>
      <c r="E533" s="2261">
        <v>511</v>
      </c>
      <c r="F533" s="2095"/>
      <c r="G533" s="2096"/>
      <c r="M533" s="1645"/>
      <c r="O533" s="1622"/>
    </row>
    <row r="534" spans="2:15">
      <c r="B534" s="2258"/>
      <c r="C534" s="2259" t="s">
        <v>1434</v>
      </c>
      <c r="D534" s="2260" t="s">
        <v>500</v>
      </c>
      <c r="E534" s="2261">
        <v>264</v>
      </c>
      <c r="F534" s="2095"/>
      <c r="G534" s="2096"/>
      <c r="M534" s="1645"/>
      <c r="O534" s="1622"/>
    </row>
    <row r="535" spans="2:15">
      <c r="B535" s="2258"/>
      <c r="C535" s="2259" t="s">
        <v>1406</v>
      </c>
      <c r="D535" s="2260" t="s">
        <v>500</v>
      </c>
      <c r="E535" s="2261">
        <v>304.3</v>
      </c>
      <c r="F535" s="2095"/>
      <c r="G535" s="2096"/>
      <c r="M535" s="1645"/>
      <c r="O535" s="1622"/>
    </row>
    <row r="536" spans="2:15">
      <c r="B536" s="2258"/>
      <c r="C536" s="2259"/>
      <c r="D536" s="2260"/>
      <c r="E536" s="2262"/>
      <c r="F536" s="2095"/>
      <c r="G536" s="2096"/>
      <c r="M536" s="1645"/>
      <c r="O536" s="1622"/>
    </row>
    <row r="537" spans="2:15">
      <c r="B537" s="2258"/>
      <c r="C537" s="2263" t="s">
        <v>2115</v>
      </c>
      <c r="D537" s="2264"/>
      <c r="E537" s="2264"/>
      <c r="F537" s="2120"/>
      <c r="G537" s="2121"/>
      <c r="M537" s="1645"/>
      <c r="O537" s="1622"/>
    </row>
    <row r="538" spans="2:15">
      <c r="B538" s="2258"/>
      <c r="C538" s="2265">
        <v>18</v>
      </c>
      <c r="D538" s="2266" t="s">
        <v>500</v>
      </c>
      <c r="E538" s="2267">
        <v>17.8</v>
      </c>
      <c r="F538" s="2097"/>
      <c r="G538" s="2096"/>
      <c r="M538" s="1645"/>
      <c r="O538" s="1622"/>
    </row>
    <row r="539" spans="2:15">
      <c r="B539" s="2258"/>
      <c r="C539" s="2265">
        <v>16</v>
      </c>
      <c r="D539" s="2266" t="s">
        <v>500</v>
      </c>
      <c r="E539" s="2267">
        <v>17</v>
      </c>
      <c r="F539" s="2097"/>
      <c r="G539" s="2096"/>
      <c r="M539" s="1645"/>
      <c r="O539" s="1622"/>
    </row>
    <row r="540" spans="2:15">
      <c r="B540" s="2258"/>
      <c r="C540" s="2265">
        <v>14</v>
      </c>
      <c r="D540" s="2266" t="s">
        <v>500</v>
      </c>
      <c r="E540" s="2267">
        <v>47.8</v>
      </c>
      <c r="F540" s="2097"/>
      <c r="G540" s="2096"/>
      <c r="J540" s="2027"/>
      <c r="K540" s="2028"/>
      <c r="L540" s="2028"/>
      <c r="M540" s="2029"/>
      <c r="O540" s="1622"/>
    </row>
    <row r="541" spans="2:15">
      <c r="B541" s="2258"/>
      <c r="C541" s="2268">
        <v>12</v>
      </c>
      <c r="D541" s="2269" t="s">
        <v>500</v>
      </c>
      <c r="E541" s="2270"/>
      <c r="F541" s="2098"/>
      <c r="G541" s="2099"/>
      <c r="J541" s="2027"/>
      <c r="K541" s="2028"/>
      <c r="L541" s="2028"/>
      <c r="M541" s="2029"/>
      <c r="O541" s="1622"/>
    </row>
    <row r="542" spans="2:15">
      <c r="B542" s="2258"/>
      <c r="C542" s="2268">
        <v>10</v>
      </c>
      <c r="D542" s="2269" t="s">
        <v>500</v>
      </c>
      <c r="E542" s="2270">
        <v>14.4</v>
      </c>
      <c r="F542" s="2098"/>
      <c r="G542" s="2096"/>
      <c r="J542" s="2027"/>
      <c r="K542" s="2028"/>
      <c r="L542" s="2028"/>
      <c r="M542" s="2029"/>
      <c r="O542" s="1622"/>
    </row>
    <row r="543" spans="2:15">
      <c r="B543" s="2258"/>
      <c r="C543" s="2271">
        <v>8</v>
      </c>
      <c r="D543" s="2272" t="s">
        <v>500</v>
      </c>
      <c r="E543" s="2273">
        <v>119</v>
      </c>
      <c r="F543" s="2097"/>
      <c r="G543" s="2096"/>
      <c r="J543" s="2027"/>
      <c r="K543" s="2028"/>
      <c r="L543" s="2028"/>
      <c r="M543" s="2029"/>
      <c r="O543" s="1622"/>
    </row>
    <row r="544" spans="2:15">
      <c r="B544" s="2258"/>
      <c r="C544" s="2265" t="s">
        <v>1402</v>
      </c>
      <c r="D544" s="2266" t="s">
        <v>500</v>
      </c>
      <c r="E544" s="2267">
        <v>40</v>
      </c>
      <c r="F544" s="2100"/>
      <c r="G544" s="2096"/>
      <c r="J544" s="2027"/>
      <c r="K544" s="2028"/>
      <c r="L544" s="2028"/>
      <c r="M544" s="2029"/>
      <c r="O544" s="1622"/>
    </row>
    <row r="545" spans="2:15" ht="12.75" customHeight="1">
      <c r="B545" s="2258"/>
      <c r="C545" s="2274" t="s">
        <v>2116</v>
      </c>
      <c r="D545" s="2275"/>
      <c r="E545" s="2275"/>
      <c r="F545" s="2122"/>
      <c r="G545" s="2123"/>
      <c r="J545" s="2027"/>
      <c r="K545" s="2028"/>
      <c r="L545" s="2028"/>
      <c r="M545" s="2029"/>
      <c r="O545" s="1622"/>
    </row>
    <row r="546" spans="2:15">
      <c r="B546" s="2276"/>
      <c r="C546" s="2265" t="s">
        <v>1434</v>
      </c>
      <c r="D546" s="2266" t="s">
        <v>500</v>
      </c>
      <c r="E546" s="2267">
        <v>64.2</v>
      </c>
      <c r="F546" s="2100"/>
      <c r="G546" s="2096"/>
      <c r="J546" s="2027"/>
      <c r="K546" s="2028"/>
      <c r="L546" s="2028"/>
      <c r="M546" s="2029"/>
      <c r="O546" s="1622"/>
    </row>
    <row r="547" spans="2:15">
      <c r="B547" s="2276"/>
      <c r="C547" s="2265" t="s">
        <v>1406</v>
      </c>
      <c r="D547" s="2266" t="s">
        <v>500</v>
      </c>
      <c r="E547" s="2267">
        <v>5</v>
      </c>
      <c r="F547" s="2100"/>
      <c r="G547" s="2096"/>
      <c r="J547" s="2027"/>
      <c r="K547" s="2028"/>
      <c r="L547" s="2028"/>
      <c r="M547" s="2029"/>
      <c r="O547" s="1622"/>
    </row>
    <row r="548" spans="2:15">
      <c r="B548" s="2276"/>
      <c r="C548" s="2277" t="s">
        <v>2117</v>
      </c>
      <c r="D548" s="2278" t="s">
        <v>500</v>
      </c>
      <c r="E548" s="2279">
        <v>13.2</v>
      </c>
      <c r="F548" s="2100"/>
      <c r="G548" s="2096"/>
      <c r="J548" s="2027"/>
      <c r="K548" s="2028"/>
      <c r="L548" s="2028"/>
      <c r="M548" s="2029"/>
      <c r="O548" s="1622"/>
    </row>
    <row r="549" spans="2:15" ht="13.5" thickBot="1">
      <c r="B549" s="2280"/>
      <c r="C549" s="2281"/>
      <c r="D549" s="2282"/>
      <c r="E549" s="2283"/>
      <c r="F549" s="2101" t="s">
        <v>1398</v>
      </c>
      <c r="G549" s="2102">
        <f>SUM(G531:G548)</f>
        <v>0</v>
      </c>
      <c r="J549" s="2027"/>
      <c r="K549" s="2028"/>
      <c r="L549" s="2028"/>
      <c r="M549" s="2029"/>
      <c r="O549" s="1622"/>
    </row>
    <row r="550" spans="2:15" ht="23.25" customHeight="1" thickBot="1">
      <c r="B550" s="2284"/>
      <c r="C550" s="2285"/>
      <c r="D550" s="2285"/>
      <c r="E550" s="2285"/>
      <c r="F550" s="2124"/>
      <c r="G550" s="2125"/>
      <c r="J550" s="2027"/>
      <c r="K550" s="2028"/>
      <c r="L550" s="2028"/>
      <c r="M550" s="2029"/>
      <c r="O550" s="1622"/>
    </row>
    <row r="551" spans="2:15">
      <c r="B551" s="1984"/>
      <c r="C551" s="2286"/>
      <c r="D551" s="2287"/>
      <c r="E551" s="2287"/>
      <c r="F551" s="2103" t="s">
        <v>94</v>
      </c>
      <c r="G551" s="2104">
        <f>+G549</f>
        <v>0</v>
      </c>
      <c r="J551" s="2027"/>
      <c r="K551" s="2028"/>
      <c r="L551" s="2028"/>
      <c r="M551" s="2029"/>
      <c r="O551" s="1622"/>
    </row>
    <row r="552" spans="2:15">
      <c r="B552" s="1984"/>
      <c r="C552" s="2288"/>
      <c r="D552" s="1984"/>
      <c r="E552" s="1984"/>
      <c r="F552" s="1646"/>
      <c r="G552" s="1647"/>
      <c r="J552" s="2027"/>
      <c r="K552" s="2028"/>
      <c r="L552" s="2028"/>
      <c r="M552" s="2030"/>
      <c r="O552" s="1622"/>
    </row>
    <row r="553" spans="2:15">
      <c r="B553" s="1984"/>
      <c r="C553" s="2289" t="s">
        <v>96</v>
      </c>
      <c r="D553" s="2290"/>
      <c r="E553" s="2291"/>
      <c r="F553" s="2105"/>
      <c r="G553" s="2106"/>
      <c r="J553" s="2027"/>
      <c r="K553" s="2028"/>
      <c r="L553" s="2028"/>
      <c r="M553" s="2029"/>
      <c r="O553" s="1622"/>
    </row>
    <row r="554" spans="2:15">
      <c r="B554" s="1984"/>
      <c r="C554" s="2292"/>
      <c r="D554" s="2293"/>
      <c r="E554" s="2293"/>
      <c r="F554" s="2107" t="s">
        <v>98</v>
      </c>
      <c r="G554" s="2108">
        <f>+G551</f>
        <v>0</v>
      </c>
      <c r="I554" s="1622"/>
      <c r="J554" s="2031"/>
      <c r="K554" s="2028"/>
      <c r="L554" s="2028"/>
      <c r="M554" s="2032"/>
      <c r="O554" s="1622"/>
    </row>
    <row r="555" spans="2:15">
      <c r="B555" s="1985"/>
      <c r="C555" s="2294"/>
      <c r="D555" s="2295"/>
      <c r="E555" s="2296" t="s">
        <v>100</v>
      </c>
      <c r="F555" s="2109"/>
      <c r="G555" s="2110">
        <f>ROUND(+G554*F555,0)</f>
        <v>0</v>
      </c>
      <c r="J555" s="2034"/>
      <c r="K555" s="2028"/>
      <c r="L555" s="2028"/>
      <c r="M555" s="2032"/>
      <c r="O555" s="1622"/>
    </row>
    <row r="556" spans="2:15" ht="13.5" thickBot="1">
      <c r="B556" s="1985"/>
      <c r="C556" s="2297"/>
      <c r="D556" s="2298"/>
      <c r="E556" s="2298"/>
      <c r="F556" s="2111" t="s">
        <v>109</v>
      </c>
      <c r="G556" s="2112">
        <f>+G554+G555</f>
        <v>0</v>
      </c>
      <c r="J556" s="2027"/>
      <c r="K556" s="2028"/>
      <c r="L556" s="2028"/>
      <c r="M556" s="2029"/>
      <c r="O556" s="1622"/>
    </row>
    <row r="557" spans="2:15">
      <c r="B557" s="1986"/>
      <c r="C557" s="1986"/>
      <c r="D557" s="1986"/>
      <c r="E557" s="1986"/>
      <c r="F557" s="2035"/>
      <c r="G557" s="2036"/>
      <c r="J557" s="2031"/>
      <c r="K557" s="2028"/>
      <c r="L557" s="2028"/>
      <c r="M557" s="2032"/>
      <c r="O557" s="1622"/>
    </row>
    <row r="558" spans="2:15">
      <c r="B558" s="1986"/>
      <c r="C558" s="1986"/>
      <c r="D558" s="1986"/>
      <c r="E558" s="1986"/>
      <c r="F558" s="2035"/>
      <c r="G558" s="2036"/>
      <c r="J558" s="2027"/>
      <c r="K558" s="2028"/>
      <c r="L558" s="2028"/>
      <c r="M558" s="2032"/>
      <c r="O558" s="1622"/>
    </row>
    <row r="559" spans="2:15">
      <c r="B559" s="1986"/>
      <c r="C559" s="1987"/>
      <c r="D559" s="1988"/>
      <c r="E559" s="1989"/>
      <c r="F559" s="2037"/>
      <c r="G559" s="1993"/>
      <c r="J559" s="2027"/>
      <c r="K559" s="2028"/>
      <c r="L559" s="2028"/>
      <c r="M559" s="2029"/>
      <c r="O559" s="1622"/>
    </row>
    <row r="560" spans="2:15">
      <c r="B560" s="1986"/>
      <c r="C560" s="1986"/>
      <c r="D560" s="1986"/>
      <c r="E560" s="1986"/>
      <c r="F560" s="2035"/>
      <c r="G560" s="2036"/>
      <c r="J560" s="2027"/>
      <c r="K560" s="2028"/>
      <c r="L560" s="2028"/>
      <c r="M560" s="2032"/>
      <c r="O560" s="1622"/>
    </row>
    <row r="561" spans="2:15">
      <c r="B561" s="1986"/>
      <c r="C561" s="1986"/>
      <c r="D561" s="1986"/>
      <c r="E561" s="1986"/>
      <c r="F561" s="2035"/>
      <c r="G561" s="2036"/>
      <c r="J561" s="2027"/>
      <c r="K561" s="2028"/>
      <c r="L561" s="2028"/>
      <c r="M561" s="2032"/>
      <c r="O561" s="1622"/>
    </row>
    <row r="562" spans="2:15">
      <c r="B562" s="1986"/>
      <c r="C562" s="1986"/>
      <c r="D562" s="1986"/>
      <c r="E562" s="1986"/>
      <c r="F562" s="2035"/>
      <c r="G562" s="2038"/>
      <c r="J562" s="2027"/>
      <c r="K562" s="2028"/>
      <c r="L562" s="2028"/>
      <c r="M562" s="2032"/>
      <c r="O562" s="1622"/>
    </row>
    <row r="563" spans="2:15">
      <c r="B563" s="1986"/>
      <c r="C563" s="1986"/>
      <c r="D563" s="1988"/>
      <c r="E563" s="1989"/>
      <c r="F563" s="2037"/>
      <c r="G563" s="2036"/>
      <c r="J563" s="2031"/>
      <c r="K563" s="2028"/>
      <c r="L563" s="2028"/>
      <c r="M563" s="2029"/>
      <c r="O563" s="1622"/>
    </row>
    <row r="564" spans="2:15">
      <c r="B564" s="1986"/>
      <c r="C564" s="1986"/>
      <c r="D564" s="1988"/>
      <c r="E564" s="1989"/>
      <c r="F564" s="2037"/>
      <c r="G564" s="2036"/>
      <c r="J564" s="2027"/>
      <c r="K564" s="2028"/>
      <c r="L564" s="2028"/>
      <c r="M564" s="2029"/>
      <c r="O564" s="1622"/>
    </row>
    <row r="565" spans="2:15">
      <c r="B565" s="1986"/>
      <c r="C565" s="1986"/>
      <c r="D565" s="1988"/>
      <c r="E565" s="1989"/>
      <c r="F565" s="2037"/>
      <c r="G565" s="2039"/>
      <c r="J565" s="2027"/>
      <c r="K565" s="2028"/>
      <c r="L565" s="2028"/>
      <c r="M565" s="2029"/>
      <c r="O565" s="1622"/>
    </row>
    <row r="566" spans="2:15">
      <c r="B566" s="1986"/>
      <c r="C566" s="1986"/>
      <c r="D566" s="1988"/>
      <c r="E566" s="1989"/>
      <c r="F566" s="2037"/>
      <c r="G566" s="2040"/>
      <c r="J566" s="2027"/>
      <c r="K566" s="2028"/>
      <c r="L566" s="2028"/>
      <c r="M566" s="2029"/>
      <c r="O566" s="1622"/>
    </row>
    <row r="567" spans="2:15">
      <c r="B567" s="1986"/>
      <c r="C567" s="1986"/>
      <c r="D567" s="1988"/>
      <c r="E567" s="1989"/>
      <c r="F567" s="2037"/>
      <c r="G567" s="2040"/>
      <c r="J567" s="2027"/>
      <c r="K567" s="2028"/>
      <c r="L567" s="2028"/>
      <c r="M567" s="2029"/>
      <c r="O567" s="1622"/>
    </row>
    <row r="568" spans="2:15">
      <c r="B568" s="1986"/>
      <c r="C568" s="1986"/>
      <c r="D568" s="1988"/>
      <c r="E568" s="1989"/>
      <c r="F568" s="2037"/>
      <c r="G568" s="2040"/>
      <c r="J568" s="2027"/>
      <c r="K568" s="2028"/>
      <c r="L568" s="2028"/>
      <c r="M568" s="2029"/>
      <c r="O568" s="1622"/>
    </row>
    <row r="569" spans="2:15">
      <c r="B569" s="1986"/>
      <c r="C569" s="1986"/>
      <c r="D569" s="1988"/>
      <c r="E569" s="1989"/>
      <c r="F569" s="2037"/>
      <c r="G569" s="2040"/>
      <c r="J569" s="2027"/>
      <c r="K569" s="2028"/>
      <c r="L569" s="2028"/>
      <c r="M569" s="2029"/>
      <c r="O569" s="1622"/>
    </row>
    <row r="570" spans="2:15">
      <c r="B570" s="1986"/>
      <c r="C570" s="1986"/>
      <c r="D570" s="1988"/>
      <c r="E570" s="1989"/>
      <c r="F570" s="2037"/>
      <c r="G570" s="2040"/>
      <c r="J570" s="2027"/>
      <c r="K570" s="2028"/>
      <c r="L570" s="2028"/>
      <c r="M570" s="2029"/>
      <c r="O570" s="1622"/>
    </row>
    <row r="571" spans="2:15">
      <c r="C571" s="1986"/>
      <c r="D571" s="1988"/>
      <c r="E571" s="1989"/>
      <c r="F571" s="2037"/>
      <c r="G571" s="2040"/>
      <c r="J571" s="2027"/>
      <c r="K571" s="2028"/>
      <c r="L571" s="2028"/>
      <c r="M571" s="2029"/>
      <c r="O571" s="1622"/>
    </row>
    <row r="572" spans="2:15">
      <c r="J572" s="2027"/>
      <c r="K572" s="2028"/>
      <c r="L572" s="2028"/>
      <c r="M572" s="2043"/>
      <c r="O572" s="1622"/>
    </row>
    <row r="573" spans="2:15">
      <c r="J573" s="2027"/>
      <c r="K573" s="2028"/>
      <c r="L573" s="2028"/>
      <c r="M573" s="2043"/>
      <c r="O573" s="1622"/>
    </row>
    <row r="574" spans="2:15">
      <c r="J574" s="2027"/>
      <c r="K574" s="2028"/>
      <c r="L574" s="2028"/>
      <c r="M574" s="2043"/>
      <c r="O574" s="1622"/>
    </row>
    <row r="575" spans="2:15">
      <c r="J575" s="2027"/>
      <c r="K575" s="2028"/>
      <c r="L575" s="2028"/>
      <c r="M575" s="2043"/>
      <c r="O575" s="1622"/>
    </row>
    <row r="576" spans="2:15">
      <c r="J576" s="2027"/>
      <c r="K576" s="2028"/>
      <c r="L576" s="2028"/>
      <c r="M576" s="2043"/>
      <c r="O576" s="1622"/>
    </row>
    <row r="577" spans="15:15">
      <c r="O577" s="1622"/>
    </row>
    <row r="578" spans="15:15">
      <c r="O578" s="1622"/>
    </row>
    <row r="579" spans="15:15">
      <c r="O579" s="1622"/>
    </row>
    <row r="580" spans="15:15">
      <c r="O580" s="1622"/>
    </row>
    <row r="581" spans="15:15">
      <c r="O581" s="1622"/>
    </row>
    <row r="582" spans="15:15">
      <c r="O582" s="1622"/>
    </row>
    <row r="583" spans="15:15">
      <c r="O583" s="1622"/>
    </row>
    <row r="584" spans="15:15">
      <c r="O584" s="1622"/>
    </row>
    <row r="585" spans="15:15">
      <c r="O585" s="1622"/>
    </row>
    <row r="586" spans="15:15">
      <c r="O586" s="1622"/>
    </row>
    <row r="587" spans="15:15">
      <c r="O587" s="1622"/>
    </row>
    <row r="588" spans="15:15">
      <c r="O588" s="1622"/>
    </row>
    <row r="589" spans="15:15">
      <c r="O589" s="1622"/>
    </row>
    <row r="590" spans="15:15">
      <c r="O590" s="1622"/>
    </row>
    <row r="591" spans="15:15">
      <c r="O591" s="1622"/>
    </row>
  </sheetData>
  <sheetProtection algorithmName="SHA-512" hashValue="S38n2l+9OEGaD4g3v5+859LjQHOIp4H1pzF5xf3Sak5ARaS9uPdQMH7yI/XuGeoIdYgAM7x3eIRL6SqSV6EPzQ==" saltValue="zVWckfMkmouLCJeVXtHD1A==" spinCount="100000" sheet="1" formatCells="0" formatColumns="0" formatRows="0" insertColumns="0" insertRows="0" insertHyperlinks="0" deleteColumns="0" deleteRows="0" sort="0" autoFilter="0" pivotTables="0"/>
  <conditionalFormatting sqref="G522:G523">
    <cfRule type="expression" dxfId="245" priority="40" stopIfTrue="1">
      <formula>"&gt;G29"</formula>
    </cfRule>
    <cfRule type="expression" dxfId="244" priority="41" stopIfTrue="1">
      <formula>"&lt;G29"""</formula>
    </cfRule>
  </conditionalFormatting>
  <conditionalFormatting sqref="G1">
    <cfRule type="cellIs" dxfId="243" priority="43" stopIfTrue="1" operator="equal">
      <formula>"CHEQ. INSUMOS"</formula>
    </cfRule>
  </conditionalFormatting>
  <conditionalFormatting sqref="G2:G3">
    <cfRule type="cellIs" dxfId="242" priority="44" stopIfTrue="1" operator="equal">
      <formula>"CHEQ. INSUMOS"</formula>
    </cfRule>
  </conditionalFormatting>
  <conditionalFormatting sqref="B157:C157 B190:C190 C277:C279 C339:C346 C281:C284 C348:C377 C289:C298 C300 C467 C470 C473 B491 C493 B482 C484 B474 C477 C302:C305 C308:C316 C318:C321 B465:B466 B468:B469 B471:B472 C265:C273 B4:B5 C6">
    <cfRule type="cellIs" dxfId="241" priority="39" stopIfTrue="1" operator="equal">
      <formula>"ESCRIBA AQUÍ EL NOMBRE DEL CAPITULO"</formula>
    </cfRule>
  </conditionalFormatting>
  <conditionalFormatting sqref="B33:C33">
    <cfRule type="cellIs" dxfId="240" priority="37" stopIfTrue="1" operator="equal">
      <formula>"ESCRIBA AQUÍ EL NOMBRE DEL CAPITULO"</formula>
    </cfRule>
  </conditionalFormatting>
  <conditionalFormatting sqref="B10:C10">
    <cfRule type="cellIs" dxfId="239" priority="36" stopIfTrue="1" operator="equal">
      <formula>"ESCRIBA AQUÍ EL NOMBRE DEL CAPITULO"</formula>
    </cfRule>
  </conditionalFormatting>
  <conditionalFormatting sqref="B75:C75">
    <cfRule type="cellIs" dxfId="238" priority="35" stopIfTrue="1" operator="equal">
      <formula>"ESCRIBA AQUÍ EL NOMBRE DEL CAPITULO"</formula>
    </cfRule>
  </conditionalFormatting>
  <conditionalFormatting sqref="B116:C116">
    <cfRule type="cellIs" dxfId="237" priority="34" stopIfTrue="1" operator="equal">
      <formula>"ESCRIBA AQUÍ EL NOMBRE DEL CAPITULO"</formula>
    </cfRule>
  </conditionalFormatting>
  <conditionalFormatting sqref="B159:C159">
    <cfRule type="cellIs" dxfId="236" priority="33" stopIfTrue="1" operator="equal">
      <formula>"ESCRIBA AQUÍ EL NOMBRE DEL CAPITULO"</formula>
    </cfRule>
  </conditionalFormatting>
  <conditionalFormatting sqref="B191:C191">
    <cfRule type="cellIs" dxfId="235" priority="32" stopIfTrue="1" operator="equal">
      <formula>"ESCRIBA AQUÍ EL NOMBRE DEL CAPITULO"</formula>
    </cfRule>
  </conditionalFormatting>
  <conditionalFormatting sqref="B17:C17">
    <cfRule type="cellIs" dxfId="234" priority="31" stopIfTrue="1" operator="equal">
      <formula>"ESCRIBA AQUÍ EL NOMBRE DEL CAPITULO"</formula>
    </cfRule>
  </conditionalFormatting>
  <conditionalFormatting sqref="B242:C242">
    <cfRule type="cellIs" dxfId="233" priority="30" stopIfTrue="1" operator="equal">
      <formula>"ESCRIBA AQUÍ EL NOMBRE DEL CAPITULO"</formula>
    </cfRule>
  </conditionalFormatting>
  <conditionalFormatting sqref="C391">
    <cfRule type="cellIs" dxfId="232" priority="28" stopIfTrue="1" operator="equal">
      <formula>"ESCRIBA AQUÍ EL NOMBRE DEL CAPITULO"</formula>
    </cfRule>
  </conditionalFormatting>
  <conditionalFormatting sqref="C399">
    <cfRule type="cellIs" dxfId="231" priority="27" stopIfTrue="1" operator="equal">
      <formula>"ESCRIBA AQUÍ EL NOMBRE DEL CAPITULO"</formula>
    </cfRule>
  </conditionalFormatting>
  <conditionalFormatting sqref="C435:C437">
    <cfRule type="cellIs" dxfId="230" priority="26" stopIfTrue="1" operator="equal">
      <formula>"ESCRIBA AQUÍ EL NOMBRE DEL CAPITULO"</formula>
    </cfRule>
  </conditionalFormatting>
  <conditionalFormatting sqref="C463">
    <cfRule type="cellIs" dxfId="229" priority="25" stopIfTrue="1" operator="equal">
      <formula>"ESCRIBA AQUÍ EL NOMBRE DEL CAPITULO"</formula>
    </cfRule>
  </conditionalFormatting>
  <conditionalFormatting sqref="B492">
    <cfRule type="cellIs" dxfId="228" priority="21" stopIfTrue="1" operator="equal">
      <formula>"ESCRIBA AQUÍ EL NOMBRE DEL CAPITULO"</formula>
    </cfRule>
  </conditionalFormatting>
  <conditionalFormatting sqref="C274:C276">
    <cfRule type="cellIs" dxfId="227" priority="17" stopIfTrue="1" operator="equal">
      <formula>"ESCRIBA AQUÍ EL NOMBRE DEL CAPITULO"</formula>
    </cfRule>
  </conditionalFormatting>
  <conditionalFormatting sqref="C299">
    <cfRule type="cellIs" dxfId="226" priority="16" stopIfTrue="1" operator="equal">
      <formula>"ESCRIBA AQUÍ EL NOMBRE DEL CAPITULO"</formula>
    </cfRule>
  </conditionalFormatting>
  <conditionalFormatting sqref="C378">
    <cfRule type="cellIs" dxfId="225" priority="15" stopIfTrue="1" operator="equal">
      <formula>"ESCRIBA AQUÍ EL NOMBRE DEL CAPITULO"</formula>
    </cfRule>
  </conditionalFormatting>
  <conditionalFormatting sqref="C285">
    <cfRule type="cellIs" dxfId="224" priority="14" stopIfTrue="1" operator="equal">
      <formula>"ESCRIBA AQUÍ EL NOMBRE DEL CAPITULO"</formula>
    </cfRule>
  </conditionalFormatting>
  <conditionalFormatting sqref="C286:C287">
    <cfRule type="cellIs" dxfId="223" priority="13" stopIfTrue="1" operator="equal">
      <formula>"ESCRIBA AQUÍ EL NOMBRE DEL CAPITULO"</formula>
    </cfRule>
  </conditionalFormatting>
  <conditionalFormatting sqref="C325">
    <cfRule type="cellIs" dxfId="222" priority="11" stopIfTrue="1" operator="equal">
      <formula>"ESCRIBA AQUÍ EL NOMBRE DEL CAPITULO"</formula>
    </cfRule>
  </conditionalFormatting>
  <conditionalFormatting sqref="C347">
    <cfRule type="cellIs" dxfId="221" priority="10" stopIfTrue="1" operator="equal">
      <formula>"ESCRIBA AQUÍ EL NOMBRE DEL CAPITULO"</formula>
    </cfRule>
  </conditionalFormatting>
  <conditionalFormatting sqref="C288">
    <cfRule type="cellIs" dxfId="220" priority="9" stopIfTrue="1" operator="equal">
      <formula>"ESCRIBA AQUÍ EL NOMBRE DEL CAPITULO"</formula>
    </cfRule>
  </conditionalFormatting>
  <conditionalFormatting sqref="C301">
    <cfRule type="cellIs" dxfId="219" priority="8" stopIfTrue="1" operator="equal">
      <formula>"ESCRIBA AQUÍ EL NOMBRE DEL CAPITULO"</formula>
    </cfRule>
  </conditionalFormatting>
  <conditionalFormatting sqref="C450">
    <cfRule type="cellIs" dxfId="218" priority="7" stopIfTrue="1" operator="equal">
      <formula>"ESCRIBA AQUÍ EL NOMBRE DEL CAPITULO"</formula>
    </cfRule>
  </conditionalFormatting>
  <conditionalFormatting sqref="C301">
    <cfRule type="cellIs" dxfId="217" priority="6" stopIfTrue="1" operator="equal">
      <formula>"ESCRIBA AQUÍ EL NOMBRE DEL CAPITULO"</formula>
    </cfRule>
  </conditionalFormatting>
  <conditionalFormatting sqref="G556">
    <cfRule type="expression" dxfId="216" priority="2" stopIfTrue="1">
      <formula>"&gt;G29"</formula>
    </cfRule>
    <cfRule type="expression" dxfId="215" priority="3" stopIfTrue="1">
      <formula>"&lt;G29"""</formula>
    </cfRule>
  </conditionalFormatting>
  <conditionalFormatting sqref="B529:C529">
    <cfRule type="cellIs" dxfId="214" priority="1" stopIfTrue="1" operator="equal">
      <formula>"ESCRIBA AQUÍ EL NOMBRE DEL CAPITULO"</formula>
    </cfRule>
  </conditionalFormatting>
  <pageMargins left="0.7" right="0.7" top="0.75" bottom="0.75" header="0.3" footer="0.3"/>
  <pageSetup scale="8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559"/>
  <sheetViews>
    <sheetView showGridLines="0" topLeftCell="B47" zoomScale="120" zoomScaleNormal="120" workbookViewId="0">
      <pane xSplit="1" topLeftCell="C1" activePane="topRight" state="frozen"/>
      <selection activeCell="B6" sqref="B6"/>
      <selection pane="topRight" activeCell="E54" sqref="E54"/>
    </sheetView>
  </sheetViews>
  <sheetFormatPr baseColWidth="10" defaultRowHeight="15"/>
  <cols>
    <col min="1" max="1" width="0" style="917" hidden="1" customWidth="1"/>
    <col min="2" max="2" width="8" style="917" customWidth="1"/>
    <col min="3" max="3" width="44" style="917" customWidth="1"/>
    <col min="4" max="4" width="6.140625" style="917" customWidth="1"/>
    <col min="5" max="5" width="12" style="917" customWidth="1"/>
    <col min="6" max="6" width="14" style="917" customWidth="1"/>
    <col min="7" max="7" width="19.5703125" style="917" customWidth="1"/>
    <col min="8" max="8" width="33.28515625" style="917" customWidth="1"/>
    <col min="9" max="9" width="19.42578125" style="917" customWidth="1"/>
    <col min="10" max="10" width="17.42578125" style="917" customWidth="1"/>
    <col min="11" max="54" width="11.42578125" style="917"/>
    <col min="55" max="57" width="0" style="917" hidden="1" customWidth="1"/>
    <col min="58" max="16384" width="11.42578125" style="917"/>
  </cols>
  <sheetData>
    <row r="1" spans="1:57" s="19" customFormat="1" ht="12" hidden="1" customHeight="1" thickTop="1">
      <c r="A1" s="1"/>
      <c r="B1" s="2">
        <v>2012.2</v>
      </c>
      <c r="C1" s="3"/>
      <c r="D1" s="4"/>
      <c r="E1" s="1885" t="s">
        <v>0</v>
      </c>
      <c r="F1" s="1885"/>
      <c r="G1" s="5">
        <v>408578100</v>
      </c>
      <c r="W1" s="20"/>
      <c r="X1" s="21"/>
      <c r="Y1" s="22"/>
      <c r="Z1" s="23"/>
      <c r="AA1" s="24"/>
      <c r="AB1" s="25">
        <v>0</v>
      </c>
      <c r="AC1" s="26">
        <v>0</v>
      </c>
      <c r="AD1" s="27"/>
      <c r="AE1" s="25"/>
      <c r="AF1" s="25">
        <v>1</v>
      </c>
      <c r="AG1" s="25"/>
      <c r="AH1" s="28">
        <v>0</v>
      </c>
      <c r="AI1" s="29">
        <v>0</v>
      </c>
      <c r="AJ1" s="29">
        <v>0</v>
      </c>
      <c r="BC1" s="19" t="s">
        <v>9</v>
      </c>
      <c r="BE1" s="19">
        <v>0</v>
      </c>
    </row>
    <row r="2" spans="1:57" s="19" customFormat="1" ht="12" hidden="1" customHeight="1" thickBot="1">
      <c r="A2" s="1" t="s">
        <v>6</v>
      </c>
      <c r="B2" s="30" t="s">
        <v>6</v>
      </c>
      <c r="C2" s="31"/>
      <c r="D2" s="32"/>
      <c r="E2" s="1886"/>
      <c r="F2" s="1886"/>
      <c r="G2" s="33" t="s">
        <v>10</v>
      </c>
    </row>
    <row r="3" spans="1:57" s="45" customFormat="1" ht="21" customHeight="1" thickTop="1">
      <c r="A3" s="39"/>
      <c r="B3" s="1887" t="s">
        <v>1420</v>
      </c>
      <c r="C3" s="1888"/>
      <c r="D3" s="1888"/>
      <c r="E3" s="1889" t="s">
        <v>12</v>
      </c>
      <c r="F3" s="1890"/>
      <c r="G3" s="1891"/>
      <c r="I3" s="44"/>
      <c r="J3" s="44"/>
    </row>
    <row r="4" spans="1:57" s="45" customFormat="1" ht="21" customHeight="1">
      <c r="A4" s="39"/>
      <c r="B4" s="1910" t="s">
        <v>1437</v>
      </c>
      <c r="C4" s="1911"/>
      <c r="D4" s="1912"/>
      <c r="E4" s="1894" t="s">
        <v>14</v>
      </c>
      <c r="F4" s="1895"/>
      <c r="G4" s="1896"/>
      <c r="I4" s="44"/>
      <c r="J4" s="44"/>
    </row>
    <row r="5" spans="1:57" s="45" customFormat="1" ht="15" customHeight="1">
      <c r="A5" s="39"/>
      <c r="B5" s="1897" t="s">
        <v>15</v>
      </c>
      <c r="C5" s="1913" t="s">
        <v>480</v>
      </c>
      <c r="D5" s="1914"/>
      <c r="E5" s="1915"/>
      <c r="F5" s="46" t="s">
        <v>17</v>
      </c>
      <c r="G5" s="47">
        <v>42177</v>
      </c>
      <c r="I5" s="44"/>
      <c r="J5" s="44"/>
    </row>
    <row r="6" spans="1:57" s="45" customFormat="1" ht="21" customHeight="1" thickBot="1">
      <c r="A6" s="39"/>
      <c r="B6" s="1898"/>
      <c r="C6" s="1916"/>
      <c r="D6" s="1917"/>
      <c r="E6" s="1918"/>
      <c r="F6" s="1905"/>
      <c r="G6" s="1906"/>
      <c r="I6" s="44"/>
      <c r="J6" s="44">
        <v>1</v>
      </c>
    </row>
    <row r="7" spans="1:57" s="45" customFormat="1" ht="20.100000000000001" customHeight="1" thickTop="1" thickBot="1">
      <c r="A7" s="39"/>
      <c r="B7" s="52"/>
      <c r="C7" s="53"/>
      <c r="D7" s="54"/>
      <c r="E7" s="55"/>
      <c r="F7" s="52"/>
      <c r="G7" s="56"/>
      <c r="I7" s="44"/>
      <c r="J7" s="44"/>
    </row>
    <row r="8" spans="1:57" s="45" customFormat="1" ht="15.75" customHeight="1">
      <c r="A8" s="59" t="s">
        <v>19</v>
      </c>
      <c r="B8" s="1545" t="s">
        <v>20</v>
      </c>
      <c r="C8" s="1546" t="s">
        <v>21</v>
      </c>
      <c r="D8" s="1546" t="s">
        <v>22</v>
      </c>
      <c r="E8" s="1546" t="s">
        <v>23</v>
      </c>
      <c r="F8" s="1546" t="s">
        <v>24</v>
      </c>
      <c r="G8" s="1547" t="s">
        <v>25</v>
      </c>
      <c r="I8" s="44"/>
      <c r="J8" s="44"/>
    </row>
    <row r="9" spans="1:57" s="45" customFormat="1" ht="14.25" customHeight="1" thickBot="1">
      <c r="A9" s="66"/>
      <c r="B9" s="1548"/>
      <c r="C9" s="1532"/>
      <c r="D9" s="888"/>
      <c r="E9" s="1533"/>
      <c r="F9" s="1534"/>
      <c r="G9" s="797"/>
      <c r="I9" s="44"/>
      <c r="J9" s="44"/>
    </row>
    <row r="10" spans="1:57" s="45" customFormat="1" ht="23.1" hidden="1" customHeight="1">
      <c r="A10" s="66"/>
      <c r="B10" s="1548"/>
      <c r="C10" s="1532"/>
      <c r="D10" s="888"/>
      <c r="E10" s="1533"/>
      <c r="F10" s="1534"/>
      <c r="G10" s="797"/>
      <c r="I10" s="44"/>
      <c r="J10" s="44"/>
    </row>
    <row r="11" spans="1:57" s="45" customFormat="1" ht="12.75" hidden="1" customHeight="1">
      <c r="A11" s="73" t="s">
        <v>38</v>
      </c>
      <c r="B11" s="74"/>
      <c r="C11" s="75" t="s">
        <v>39</v>
      </c>
      <c r="D11" s="76"/>
      <c r="E11" s="76"/>
      <c r="F11" s="76"/>
      <c r="G11" s="77">
        <f>+G16</f>
        <v>1224780</v>
      </c>
      <c r="I11" s="44"/>
      <c r="J11" s="44"/>
    </row>
    <row r="12" spans="1:57" s="45" customFormat="1" ht="12.75" hidden="1" customHeight="1">
      <c r="A12" s="84" t="s">
        <v>40</v>
      </c>
      <c r="B12" s="85"/>
      <c r="C12" s="86"/>
      <c r="D12" s="87"/>
      <c r="E12" s="88"/>
      <c r="F12" s="89"/>
      <c r="G12" s="90"/>
      <c r="I12" s="44"/>
      <c r="J12" s="44"/>
    </row>
    <row r="13" spans="1:57" s="45" customFormat="1" ht="15.75" hidden="1" thickBot="1">
      <c r="A13" s="100" t="s">
        <v>41</v>
      </c>
      <c r="B13" s="101"/>
      <c r="C13" s="102" t="s">
        <v>42</v>
      </c>
      <c r="D13" s="574" t="s">
        <v>43</v>
      </c>
      <c r="E13" s="103">
        <v>298</v>
      </c>
      <c r="F13" s="575">
        <v>2760</v>
      </c>
      <c r="G13" s="792">
        <f>+F13*E13</f>
        <v>822480</v>
      </c>
      <c r="I13" s="44"/>
      <c r="J13" s="44"/>
    </row>
    <row r="14" spans="1:57" s="45" customFormat="1" ht="15.75" hidden="1" thickBot="1">
      <c r="A14" s="100" t="s">
        <v>44</v>
      </c>
      <c r="B14" s="101"/>
      <c r="C14" s="102" t="s">
        <v>45</v>
      </c>
      <c r="D14" s="104" t="s">
        <v>43</v>
      </c>
      <c r="E14" s="103">
        <v>298</v>
      </c>
      <c r="F14" s="575">
        <v>1350</v>
      </c>
      <c r="G14" s="792">
        <f t="shared" ref="G14" si="0">+F14*E14</f>
        <v>402300</v>
      </c>
      <c r="I14" s="44"/>
      <c r="J14" s="44"/>
    </row>
    <row r="15" spans="1:57" s="45" customFormat="1" ht="15.75" hidden="1" thickBot="1">
      <c r="A15" s="105"/>
      <c r="B15" s="998"/>
      <c r="C15" s="593"/>
      <c r="D15" s="999"/>
      <c r="E15" s="1000"/>
      <c r="F15" s="575"/>
      <c r="G15" s="795"/>
      <c r="I15" s="44"/>
      <c r="J15" s="44"/>
    </row>
    <row r="16" spans="1:57" s="45" customFormat="1" ht="12.75" hidden="1" customHeight="1" thickBot="1">
      <c r="A16" s="112" t="s">
        <v>46</v>
      </c>
      <c r="B16" s="113"/>
      <c r="C16" s="114"/>
      <c r="D16" s="115"/>
      <c r="E16" s="116"/>
      <c r="F16" s="117" t="s">
        <v>47</v>
      </c>
      <c r="G16" s="118">
        <f>SUM(G13:G15)</f>
        <v>1224780</v>
      </c>
      <c r="I16" s="44"/>
      <c r="J16" s="44"/>
    </row>
    <row r="17" spans="1:10" s="45" customFormat="1" ht="23.1" hidden="1" customHeight="1" thickBot="1">
      <c r="A17" s="124"/>
      <c r="B17" s="1548"/>
      <c r="C17" s="1532"/>
      <c r="D17" s="888"/>
      <c r="E17" s="1533"/>
      <c r="F17" s="1534"/>
      <c r="G17" s="1549"/>
      <c r="I17" s="44"/>
      <c r="J17" s="44"/>
    </row>
    <row r="18" spans="1:10" s="45" customFormat="1" ht="15.75" hidden="1" thickBot="1">
      <c r="A18" s="73" t="s">
        <v>38</v>
      </c>
      <c r="B18" s="74"/>
      <c r="C18" s="75" t="s">
        <v>48</v>
      </c>
      <c r="D18" s="76"/>
      <c r="E18" s="76"/>
      <c r="F18" s="76"/>
      <c r="G18" s="126">
        <f>+G24</f>
        <v>85268164</v>
      </c>
      <c r="I18" s="44"/>
      <c r="J18" s="44"/>
    </row>
    <row r="19" spans="1:10" s="45" customFormat="1" ht="15.75" hidden="1" thickBot="1">
      <c r="A19" s="84" t="s">
        <v>40</v>
      </c>
      <c r="B19" s="85"/>
      <c r="C19" s="86"/>
      <c r="D19" s="87"/>
      <c r="E19" s="88"/>
      <c r="F19" s="89"/>
      <c r="G19" s="90"/>
      <c r="I19" s="44"/>
      <c r="J19" s="44"/>
    </row>
    <row r="20" spans="1:10" s="45" customFormat="1" ht="20.25" hidden="1" customHeight="1">
      <c r="A20" s="127" t="s">
        <v>49</v>
      </c>
      <c r="B20" s="592"/>
      <c r="C20" s="593" t="s">
        <v>50</v>
      </c>
      <c r="D20" s="827" t="s">
        <v>51</v>
      </c>
      <c r="E20" s="594">
        <f>(111+218+146+116+780+2150)*1.2</f>
        <v>4225.2</v>
      </c>
      <c r="F20" s="575">
        <v>2610</v>
      </c>
      <c r="G20" s="792">
        <f>+F20*E20</f>
        <v>11027772</v>
      </c>
      <c r="I20" s="44"/>
      <c r="J20" s="44"/>
    </row>
    <row r="21" spans="1:10" s="45" customFormat="1" ht="24.75" hidden="1" customHeight="1">
      <c r="A21" s="584"/>
      <c r="B21" s="592"/>
      <c r="C21" s="593" t="s">
        <v>481</v>
      </c>
      <c r="D21" s="827" t="s">
        <v>51</v>
      </c>
      <c r="E21" s="594">
        <f>7.2+5.3+7.5+6+20+15</f>
        <v>61</v>
      </c>
      <c r="F21" s="575">
        <v>74380</v>
      </c>
      <c r="G21" s="792">
        <f>+F21*E21</f>
        <v>4537180</v>
      </c>
      <c r="I21" s="44"/>
      <c r="J21" s="44"/>
    </row>
    <row r="22" spans="1:10" s="45" customFormat="1" ht="15.75" hidden="1" thickBot="1">
      <c r="A22" s="132" t="s">
        <v>52</v>
      </c>
      <c r="B22" s="592"/>
      <c r="C22" s="593" t="s">
        <v>474</v>
      </c>
      <c r="D22" s="827" t="s">
        <v>51</v>
      </c>
      <c r="E22" s="594">
        <f>+E20</f>
        <v>4225.2</v>
      </c>
      <c r="F22" s="575">
        <v>15560</v>
      </c>
      <c r="G22" s="792">
        <f>+F22*E22</f>
        <v>65744112</v>
      </c>
      <c r="I22" s="44"/>
      <c r="J22" s="44"/>
    </row>
    <row r="23" spans="1:10" s="45" customFormat="1" ht="15.75" hidden="1" thickBot="1">
      <c r="A23" s="105"/>
      <c r="B23" s="998"/>
      <c r="C23" s="593" t="s">
        <v>482</v>
      </c>
      <c r="D23" s="999" t="s">
        <v>483</v>
      </c>
      <c r="E23" s="1000">
        <f>68+40+100+30+80</f>
        <v>318</v>
      </c>
      <c r="F23" s="575">
        <v>12450</v>
      </c>
      <c r="G23" s="792">
        <f>+F23*E23</f>
        <v>3959100</v>
      </c>
      <c r="I23" s="44"/>
      <c r="J23" s="44"/>
    </row>
    <row r="24" spans="1:10" s="45" customFormat="1" ht="15.75" hidden="1" thickBot="1">
      <c r="A24" s="112" t="s">
        <v>46</v>
      </c>
      <c r="B24" s="113"/>
      <c r="C24" s="114"/>
      <c r="D24" s="115"/>
      <c r="E24" s="116"/>
      <c r="F24" s="117" t="s">
        <v>54</v>
      </c>
      <c r="G24" s="137">
        <f>SUM(G20:G23)</f>
        <v>85268164</v>
      </c>
      <c r="I24" s="44"/>
      <c r="J24" s="44"/>
    </row>
    <row r="25" spans="1:10" s="45" customFormat="1">
      <c r="A25" s="73"/>
      <c r="B25" s="74">
        <v>1</v>
      </c>
      <c r="C25" s="775" t="s">
        <v>1114</v>
      </c>
      <c r="D25" s="76"/>
      <c r="E25" s="76"/>
      <c r="F25" s="76"/>
      <c r="G25" s="126"/>
      <c r="I25" s="44"/>
      <c r="J25" s="44"/>
    </row>
    <row r="26" spans="1:10" s="45" customFormat="1" ht="15" customHeight="1">
      <c r="A26" s="124"/>
      <c r="B26" s="771"/>
      <c r="C26" s="102" t="s">
        <v>975</v>
      </c>
      <c r="D26" s="772" t="s">
        <v>56</v>
      </c>
      <c r="E26" s="773">
        <v>964</v>
      </c>
      <c r="F26" s="587">
        <v>1320</v>
      </c>
      <c r="G26" s="774">
        <f>+F26*E26</f>
        <v>1272480</v>
      </c>
      <c r="I26" s="44"/>
      <c r="J26" s="44"/>
    </row>
    <row r="27" spans="1:10" s="45" customFormat="1" ht="15" customHeight="1">
      <c r="A27" s="124"/>
      <c r="B27" s="771"/>
      <c r="C27" s="102" t="s">
        <v>940</v>
      </c>
      <c r="D27" s="820" t="s">
        <v>56</v>
      </c>
      <c r="E27" s="773">
        <v>964</v>
      </c>
      <c r="F27" s="587">
        <v>1360</v>
      </c>
      <c r="G27" s="774">
        <f t="shared" ref="G27:G29" si="1">+F27*E27</f>
        <v>1311040</v>
      </c>
      <c r="I27" s="44"/>
      <c r="J27" s="44"/>
    </row>
    <row r="28" spans="1:10" s="45" customFormat="1" ht="15" customHeight="1">
      <c r="A28" s="124"/>
      <c r="B28" s="771"/>
      <c r="C28" s="593" t="s">
        <v>974</v>
      </c>
      <c r="D28" s="827" t="s">
        <v>22</v>
      </c>
      <c r="E28" s="594">
        <v>1</v>
      </c>
      <c r="F28" s="575">
        <v>1637330</v>
      </c>
      <c r="G28" s="774">
        <f t="shared" si="1"/>
        <v>1637330</v>
      </c>
      <c r="I28" s="44"/>
      <c r="J28" s="44"/>
    </row>
    <row r="29" spans="1:10" s="45" customFormat="1" ht="15" customHeight="1" thickBot="1">
      <c r="A29" s="124"/>
      <c r="B29" s="771"/>
      <c r="C29" s="102" t="s">
        <v>1001</v>
      </c>
      <c r="D29" s="772" t="s">
        <v>56</v>
      </c>
      <c r="E29" s="780">
        <v>40</v>
      </c>
      <c r="F29" s="587">
        <v>30610</v>
      </c>
      <c r="G29" s="774">
        <f t="shared" si="1"/>
        <v>1224400</v>
      </c>
      <c r="I29" s="44"/>
      <c r="J29" s="44"/>
    </row>
    <row r="30" spans="1:10" s="45" customFormat="1" ht="15" customHeight="1" thickBot="1">
      <c r="A30" s="124"/>
      <c r="B30" s="1550"/>
      <c r="C30" s="1884" t="s">
        <v>982</v>
      </c>
      <c r="D30" s="1884"/>
      <c r="E30" s="1884"/>
      <c r="F30" s="1884"/>
      <c r="G30" s="1507">
        <f>SUM(G26:G29)</f>
        <v>5445250</v>
      </c>
      <c r="I30" s="44"/>
      <c r="J30" s="44"/>
    </row>
    <row r="31" spans="1:10" s="45" customFormat="1" ht="15" customHeight="1" thickBot="1">
      <c r="A31" s="124"/>
      <c r="B31" s="838"/>
      <c r="C31" s="824"/>
      <c r="D31" s="821"/>
      <c r="E31" s="825"/>
      <c r="F31" s="43"/>
      <c r="G31" s="1024"/>
      <c r="I31" s="44"/>
      <c r="J31" s="44"/>
    </row>
    <row r="32" spans="1:10" s="45" customFormat="1" ht="15" customHeight="1">
      <c r="A32" s="124"/>
      <c r="B32" s="74">
        <v>2</v>
      </c>
      <c r="C32" s="75" t="s">
        <v>85</v>
      </c>
      <c r="D32" s="76"/>
      <c r="E32" s="76"/>
      <c r="F32" s="76"/>
      <c r="G32" s="126"/>
      <c r="I32" s="44"/>
      <c r="J32" s="44"/>
    </row>
    <row r="33" spans="1:10" s="45" customFormat="1" ht="15" customHeight="1">
      <c r="A33" s="124"/>
      <c r="B33" s="85"/>
      <c r="C33" s="86"/>
      <c r="D33" s="87"/>
      <c r="E33" s="88"/>
      <c r="F33" s="89"/>
      <c r="G33" s="90"/>
      <c r="I33" s="44"/>
      <c r="J33" s="44"/>
    </row>
    <row r="34" spans="1:10" s="45" customFormat="1" ht="15" customHeight="1">
      <c r="A34" s="124"/>
      <c r="B34" s="771"/>
      <c r="C34" s="102" t="s">
        <v>943</v>
      </c>
      <c r="D34" s="772" t="s">
        <v>139</v>
      </c>
      <c r="E34" s="1310">
        <f>390*0.3</f>
        <v>117</v>
      </c>
      <c r="F34" s="587">
        <v>2640</v>
      </c>
      <c r="G34" s="774">
        <f>+E34*F34</f>
        <v>308880</v>
      </c>
      <c r="I34" s="44"/>
      <c r="J34" s="44"/>
    </row>
    <row r="35" spans="1:10" s="45" customFormat="1" ht="17.25" customHeight="1">
      <c r="A35" s="124"/>
      <c r="B35" s="592"/>
      <c r="C35" s="822" t="s">
        <v>1520</v>
      </c>
      <c r="D35" s="827" t="s">
        <v>51</v>
      </c>
      <c r="E35" s="1058">
        <f>+'[3]Cantidad de obra Quitapereza'!$J$34</f>
        <v>28.295999999999996</v>
      </c>
      <c r="F35" s="575">
        <v>248000</v>
      </c>
      <c r="G35" s="774">
        <f t="shared" ref="G35:G44" si="2">+E35*F35</f>
        <v>7017407.9999999991</v>
      </c>
      <c r="I35" s="44"/>
      <c r="J35" s="44"/>
    </row>
    <row r="36" spans="1:10" s="45" customFormat="1" ht="24" customHeight="1">
      <c r="A36" s="124"/>
      <c r="B36" s="592"/>
      <c r="C36" s="1276" t="s">
        <v>1698</v>
      </c>
      <c r="D36" s="827" t="s">
        <v>43</v>
      </c>
      <c r="E36" s="1617">
        <f>+'[3]Cantidad de obra Quitapereza'!$J$35</f>
        <v>472.5</v>
      </c>
      <c r="F36" s="575">
        <v>20403</v>
      </c>
      <c r="G36" s="774">
        <f t="shared" si="2"/>
        <v>9640417.5</v>
      </c>
      <c r="H36" s="45">
        <f>335/2</f>
        <v>167.5</v>
      </c>
      <c r="I36" s="44"/>
      <c r="J36" s="44"/>
    </row>
    <row r="37" spans="1:10" s="45" customFormat="1" ht="15" customHeight="1">
      <c r="A37" s="124"/>
      <c r="B37" s="592"/>
      <c r="C37" s="593" t="s">
        <v>88</v>
      </c>
      <c r="D37" s="827" t="s">
        <v>483</v>
      </c>
      <c r="E37" s="1617">
        <f>+'[3]Cantidad de obra Quitapereza'!$J$36</f>
        <v>338.8</v>
      </c>
      <c r="F37" s="575">
        <v>25950</v>
      </c>
      <c r="G37" s="774">
        <f t="shared" si="2"/>
        <v>8791860</v>
      </c>
      <c r="I37" s="44"/>
      <c r="J37" s="44">
        <f>+I37*1.5</f>
        <v>0</v>
      </c>
    </row>
    <row r="38" spans="1:10" s="45" customFormat="1" ht="15" customHeight="1">
      <c r="A38" s="124"/>
      <c r="B38" s="592"/>
      <c r="C38" s="593" t="s">
        <v>89</v>
      </c>
      <c r="D38" s="827" t="s">
        <v>483</v>
      </c>
      <c r="E38" s="1617">
        <f>+'[3]Cantidad de obra Quitapereza'!$J$37</f>
        <v>40</v>
      </c>
      <c r="F38" s="575">
        <v>20743</v>
      </c>
      <c r="G38" s="774">
        <f t="shared" si="2"/>
        <v>829720</v>
      </c>
      <c r="I38" s="44"/>
      <c r="J38" s="44"/>
    </row>
    <row r="39" spans="1:10" s="45" customFormat="1" ht="15" customHeight="1">
      <c r="A39" s="124"/>
      <c r="B39" s="592"/>
      <c r="C39" s="593" t="s">
        <v>90</v>
      </c>
      <c r="D39" s="827" t="s">
        <v>483</v>
      </c>
      <c r="E39" s="1617">
        <f>+'[3]Cantidad de obra Quitapereza'!$J$38</f>
        <v>315</v>
      </c>
      <c r="F39" s="575">
        <v>1930</v>
      </c>
      <c r="G39" s="774">
        <f t="shared" si="2"/>
        <v>607950</v>
      </c>
      <c r="I39" s="44"/>
      <c r="J39" s="44"/>
    </row>
    <row r="40" spans="1:10" s="45" customFormat="1" ht="28.5" customHeight="1">
      <c r="A40" s="124"/>
      <c r="B40" s="592"/>
      <c r="C40" s="1276" t="s">
        <v>91</v>
      </c>
      <c r="D40" s="827" t="s">
        <v>1574</v>
      </c>
      <c r="E40" s="594">
        <v>2</v>
      </c>
      <c r="F40" s="575">
        <v>687290</v>
      </c>
      <c r="G40" s="774">
        <f t="shared" si="2"/>
        <v>1374580</v>
      </c>
      <c r="I40" s="1455"/>
      <c r="J40" s="44">
        <f>+I40*0.3*0.25</f>
        <v>0</v>
      </c>
    </row>
    <row r="41" spans="1:10" s="45" customFormat="1" ht="15" customHeight="1">
      <c r="A41" s="124"/>
      <c r="B41" s="592"/>
      <c r="C41" s="593" t="s">
        <v>92</v>
      </c>
      <c r="D41" s="827" t="s">
        <v>977</v>
      </c>
      <c r="E41" s="594">
        <v>1</v>
      </c>
      <c r="F41" s="575">
        <v>618839</v>
      </c>
      <c r="G41" s="774">
        <f t="shared" si="2"/>
        <v>618839</v>
      </c>
      <c r="I41" s="44"/>
      <c r="J41" s="44"/>
    </row>
    <row r="42" spans="1:10" s="45" customFormat="1" ht="15" customHeight="1">
      <c r="A42" s="124"/>
      <c r="B42" s="592"/>
      <c r="C42" s="593" t="s">
        <v>1523</v>
      </c>
      <c r="D42" s="827" t="s">
        <v>43</v>
      </c>
      <c r="E42" s="1617">
        <f>+'[3]Cantidad de obra Quitapereza'!$J$41</f>
        <v>157.5</v>
      </c>
      <c r="F42" s="575">
        <v>44520</v>
      </c>
      <c r="G42" s="774">
        <f t="shared" si="2"/>
        <v>7011900</v>
      </c>
      <c r="I42" s="44"/>
      <c r="J42" s="44"/>
    </row>
    <row r="43" spans="1:10" s="45" customFormat="1" ht="15" customHeight="1">
      <c r="A43" s="124"/>
      <c r="B43" s="592"/>
      <c r="C43" s="593" t="s">
        <v>1521</v>
      </c>
      <c r="D43" s="827" t="s">
        <v>51</v>
      </c>
      <c r="E43" s="1617">
        <f>+'[3]Cantidad de obra Quitapereza'!$J$42</f>
        <v>3.08</v>
      </c>
      <c r="F43" s="575">
        <v>663760</v>
      </c>
      <c r="G43" s="774">
        <f t="shared" si="2"/>
        <v>2044380.8</v>
      </c>
      <c r="I43" s="44"/>
      <c r="J43" s="44"/>
    </row>
    <row r="44" spans="1:10" s="45" customFormat="1" ht="15" customHeight="1">
      <c r="A44" s="124"/>
      <c r="B44" s="592"/>
      <c r="C44" s="593" t="s">
        <v>1664</v>
      </c>
      <c r="D44" s="827" t="s">
        <v>61</v>
      </c>
      <c r="E44" s="594">
        <f>+(E43+E35)*20</f>
        <v>627.52</v>
      </c>
      <c r="F44" s="575">
        <v>3250</v>
      </c>
      <c r="G44" s="774">
        <f t="shared" si="2"/>
        <v>2039440</v>
      </c>
      <c r="I44" s="44"/>
      <c r="J44" s="44"/>
    </row>
    <row r="45" spans="1:10" s="45" customFormat="1" ht="15" customHeight="1">
      <c r="A45" s="124"/>
      <c r="B45" s="884"/>
      <c r="C45" s="593" t="s">
        <v>1522</v>
      </c>
      <c r="D45" s="827" t="s">
        <v>51</v>
      </c>
      <c r="E45" s="594">
        <f>154*0.3*0.5</f>
        <v>23.099999999999998</v>
      </c>
      <c r="F45" s="575">
        <v>316330</v>
      </c>
      <c r="G45" s="774">
        <f t="shared" ref="G45" si="3">+F45*E45</f>
        <v>7307222.9999999991</v>
      </c>
      <c r="I45" s="44"/>
      <c r="J45" s="44"/>
    </row>
    <row r="46" spans="1:10" s="45" customFormat="1" ht="15" customHeight="1" thickBot="1">
      <c r="A46" s="124"/>
      <c r="B46" s="1338"/>
      <c r="C46" s="1884" t="s">
        <v>983</v>
      </c>
      <c r="D46" s="1884"/>
      <c r="E46" s="1884"/>
      <c r="F46" s="1884"/>
      <c r="G46" s="1504">
        <f>SUM(G34:G45)</f>
        <v>47592598.299999997</v>
      </c>
      <c r="I46" s="44"/>
      <c r="J46" s="44"/>
    </row>
    <row r="47" spans="1:10" s="45" customFormat="1" ht="16.5" customHeight="1" thickBot="1">
      <c r="A47" s="124"/>
      <c r="B47" s="1548"/>
      <c r="C47" s="102"/>
      <c r="D47" s="888"/>
      <c r="E47" s="1533"/>
      <c r="F47" s="1534"/>
      <c r="G47" s="1549"/>
      <c r="I47" s="44"/>
      <c r="J47" s="44"/>
    </row>
    <row r="48" spans="1:10" s="45" customFormat="1">
      <c r="A48" s="73" t="s">
        <v>38</v>
      </c>
      <c r="B48" s="74">
        <v>3</v>
      </c>
      <c r="C48" s="75" t="s">
        <v>956</v>
      </c>
      <c r="D48" s="76"/>
      <c r="E48" s="76"/>
      <c r="F48" s="76"/>
      <c r="G48" s="126"/>
      <c r="I48" s="44"/>
      <c r="J48" s="44"/>
    </row>
    <row r="49" spans="1:10" s="45" customFormat="1" ht="15" hidden="1" customHeight="1">
      <c r="A49" s="84" t="s">
        <v>40</v>
      </c>
      <c r="B49" s="85"/>
      <c r="C49" s="86"/>
      <c r="D49" s="87"/>
      <c r="E49" s="88"/>
      <c r="F49" s="89"/>
      <c r="G49" s="90"/>
      <c r="I49" s="44"/>
      <c r="J49" s="44"/>
    </row>
    <row r="50" spans="1:10" s="45" customFormat="1">
      <c r="A50" s="586"/>
      <c r="B50" s="771"/>
      <c r="C50" s="788" t="s">
        <v>947</v>
      </c>
      <c r="D50" s="772"/>
      <c r="E50" s="773"/>
      <c r="F50" s="587"/>
      <c r="G50" s="774"/>
      <c r="I50" s="44"/>
      <c r="J50" s="44"/>
    </row>
    <row r="51" spans="1:10" s="45" customFormat="1">
      <c r="A51" s="586"/>
      <c r="B51" s="771"/>
      <c r="C51" s="102" t="s">
        <v>943</v>
      </c>
      <c r="D51" s="772" t="s">
        <v>139</v>
      </c>
      <c r="E51" s="1310">
        <f>174+15</f>
        <v>189</v>
      </c>
      <c r="F51" s="587">
        <v>2640</v>
      </c>
      <c r="G51" s="774">
        <f>+E51*F51</f>
        <v>498960</v>
      </c>
      <c r="I51" s="44"/>
      <c r="J51" s="44"/>
    </row>
    <row r="52" spans="1:10" s="45" customFormat="1">
      <c r="A52" s="586"/>
      <c r="B52" s="771"/>
      <c r="C52" s="102" t="s">
        <v>1101</v>
      </c>
      <c r="D52" s="772" t="s">
        <v>139</v>
      </c>
      <c r="E52" s="1528">
        <f>+E51</f>
        <v>189</v>
      </c>
      <c r="F52" s="587">
        <v>5190</v>
      </c>
      <c r="G52" s="774">
        <f t="shared" ref="G52:G57" si="4">+E52*F52</f>
        <v>980910</v>
      </c>
      <c r="I52" s="44"/>
      <c r="J52" s="44"/>
    </row>
    <row r="53" spans="1:10" s="45" customFormat="1">
      <c r="A53" s="586"/>
      <c r="B53" s="771"/>
      <c r="C53" s="102" t="s">
        <v>941</v>
      </c>
      <c r="D53" s="777" t="s">
        <v>139</v>
      </c>
      <c r="E53" s="1528">
        <v>10</v>
      </c>
      <c r="F53" s="1317">
        <v>10530</v>
      </c>
      <c r="G53" s="774">
        <f t="shared" si="4"/>
        <v>105300</v>
      </c>
      <c r="I53" s="44"/>
      <c r="J53" s="44"/>
    </row>
    <row r="54" spans="1:10" s="45" customFormat="1">
      <c r="A54" s="586"/>
      <c r="B54" s="771"/>
      <c r="C54" s="102" t="s">
        <v>497</v>
      </c>
      <c r="D54" s="777" t="s">
        <v>56</v>
      </c>
      <c r="E54" s="1528">
        <f>+'[4]Cantidad de obra Quitapereza'!$K$90</f>
        <v>0</v>
      </c>
      <c r="F54" s="587">
        <v>17220</v>
      </c>
      <c r="G54" s="774">
        <f t="shared" si="4"/>
        <v>0</v>
      </c>
      <c r="I54" s="44"/>
      <c r="J54" s="44"/>
    </row>
    <row r="55" spans="1:10" s="45" customFormat="1">
      <c r="A55" s="586"/>
      <c r="B55" s="771"/>
      <c r="C55" s="782" t="s">
        <v>1598</v>
      </c>
      <c r="D55" s="772" t="s">
        <v>139</v>
      </c>
      <c r="E55" s="1465">
        <f>+'[3]Cantidad de obra Quitapereza'!$J$71</f>
        <v>26.090174999999999</v>
      </c>
      <c r="F55" s="587">
        <v>630777</v>
      </c>
      <c r="G55" s="774">
        <f t="shared" si="4"/>
        <v>16457082.315974999</v>
      </c>
      <c r="I55" s="44"/>
      <c r="J55" s="44"/>
    </row>
    <row r="56" spans="1:10" s="45" customFormat="1">
      <c r="A56" s="586"/>
      <c r="B56" s="771"/>
      <c r="C56" s="102" t="s">
        <v>976</v>
      </c>
      <c r="D56" s="772" t="s">
        <v>139</v>
      </c>
      <c r="E56" s="1465">
        <f>+'[4]Cantidad de obra Quitapereza'!$J$89</f>
        <v>71.400000000000006</v>
      </c>
      <c r="F56" s="587">
        <v>650208</v>
      </c>
      <c r="G56" s="774">
        <f t="shared" si="4"/>
        <v>46424851.200000003</v>
      </c>
      <c r="I56" s="44"/>
      <c r="J56" s="44"/>
    </row>
    <row r="57" spans="1:10" s="45" customFormat="1">
      <c r="A57" s="586"/>
      <c r="B57" s="771"/>
      <c r="C57" s="102" t="s">
        <v>1599</v>
      </c>
      <c r="D57" s="772" t="s">
        <v>139</v>
      </c>
      <c r="E57" s="1465">
        <f>+'[4]Cantidad de obra Quitapereza'!$J$77</f>
        <v>3.6</v>
      </c>
      <c r="F57" s="587">
        <v>630777</v>
      </c>
      <c r="G57" s="774">
        <f t="shared" si="4"/>
        <v>2270797.2000000002</v>
      </c>
      <c r="I57" s="44"/>
      <c r="J57" s="44"/>
    </row>
    <row r="58" spans="1:10" s="45" customFormat="1">
      <c r="A58" s="586"/>
      <c r="B58" s="838"/>
      <c r="C58" s="215"/>
      <c r="D58" s="216"/>
      <c r="E58" s="829"/>
      <c r="F58" s="95"/>
      <c r="G58" s="836"/>
      <c r="I58" s="44"/>
      <c r="J58" s="44"/>
    </row>
    <row r="59" spans="1:10" s="45" customFormat="1" ht="15.75" thickBot="1">
      <c r="A59" s="586"/>
      <c r="B59" s="113"/>
      <c r="C59" s="114"/>
      <c r="D59" s="115"/>
      <c r="E59" s="116"/>
      <c r="F59" s="789" t="s">
        <v>968</v>
      </c>
      <c r="G59" s="118">
        <f>SUM(G51:G58)</f>
        <v>66737900.715975001</v>
      </c>
      <c r="I59" s="44"/>
      <c r="J59" s="44"/>
    </row>
    <row r="60" spans="1:10" s="45" customFormat="1">
      <c r="A60" s="586"/>
      <c r="B60" s="771"/>
      <c r="C60" s="102"/>
      <c r="D60" s="772"/>
      <c r="E60" s="780"/>
      <c r="F60" s="587"/>
      <c r="G60" s="774"/>
      <c r="I60" s="44"/>
      <c r="J60" s="44"/>
    </row>
    <row r="61" spans="1:10" s="45" customFormat="1">
      <c r="A61" s="586"/>
      <c r="B61" s="771"/>
      <c r="C61" s="787" t="s">
        <v>948</v>
      </c>
      <c r="D61" s="772"/>
      <c r="E61" s="780"/>
      <c r="F61" s="587"/>
      <c r="G61" s="774">
        <f>+E61*F62</f>
        <v>0</v>
      </c>
      <c r="I61" s="44"/>
      <c r="J61" s="44"/>
    </row>
    <row r="62" spans="1:10" s="45" customFormat="1">
      <c r="A62" s="586"/>
      <c r="B62" s="771"/>
      <c r="C62" s="102" t="s">
        <v>522</v>
      </c>
      <c r="D62" s="772" t="s">
        <v>142</v>
      </c>
      <c r="E62" s="1465">
        <f>+[5]Floculador!$J$82</f>
        <v>10580.359999999999</v>
      </c>
      <c r="F62" s="773">
        <v>3250</v>
      </c>
      <c r="G62" s="774">
        <f t="shared" ref="G62:G84" si="5">+E62*F62</f>
        <v>34386169.999999993</v>
      </c>
      <c r="I62" s="44"/>
      <c r="J62" s="44"/>
    </row>
    <row r="63" spans="1:10" s="45" customFormat="1">
      <c r="A63" s="586"/>
      <c r="B63" s="779"/>
      <c r="C63" s="102" t="s">
        <v>949</v>
      </c>
      <c r="D63" s="772" t="s">
        <v>540</v>
      </c>
      <c r="E63" s="773">
        <v>21</v>
      </c>
      <c r="F63" s="587">
        <v>48740</v>
      </c>
      <c r="G63" s="774">
        <f t="shared" si="5"/>
        <v>1023540</v>
      </c>
      <c r="I63" s="44"/>
      <c r="J63" s="44"/>
    </row>
    <row r="64" spans="1:10" s="45" customFormat="1">
      <c r="A64" s="586"/>
      <c r="B64" s="779"/>
      <c r="C64" s="782" t="s">
        <v>950</v>
      </c>
      <c r="D64" s="772" t="s">
        <v>540</v>
      </c>
      <c r="E64" s="1466">
        <f>+[6]Floculador!$J$38</f>
        <v>142.69999999999999</v>
      </c>
      <c r="F64" s="587">
        <v>18670</v>
      </c>
      <c r="G64" s="774">
        <f t="shared" si="5"/>
        <v>2664209</v>
      </c>
      <c r="I64" s="44"/>
      <c r="J64" s="44"/>
    </row>
    <row r="65" spans="1:10" s="45" customFormat="1" ht="26.25" customHeight="1">
      <c r="A65" s="586"/>
      <c r="B65" s="779"/>
      <c r="C65" s="988" t="s">
        <v>937</v>
      </c>
      <c r="D65" s="820" t="s">
        <v>22</v>
      </c>
      <c r="E65" s="969">
        <f>+'[4]Cantidad de obra Quitapereza'!$J$143</f>
        <v>154</v>
      </c>
      <c r="F65" s="858">
        <f>42200*1.25</f>
        <v>52750</v>
      </c>
      <c r="G65" s="774">
        <f t="shared" si="5"/>
        <v>8123500</v>
      </c>
      <c r="I65" s="44"/>
      <c r="J65" s="44"/>
    </row>
    <row r="66" spans="1:10" s="45" customFormat="1" ht="16.5" customHeight="1">
      <c r="A66" s="586"/>
      <c r="B66" s="987"/>
      <c r="C66" s="988" t="s">
        <v>1559</v>
      </c>
      <c r="D66" s="820" t="s">
        <v>22</v>
      </c>
      <c r="E66" s="969">
        <v>6</v>
      </c>
      <c r="F66" s="1462">
        <v>1082140.8</v>
      </c>
      <c r="G66" s="990">
        <f t="shared" si="5"/>
        <v>6492844.8000000007</v>
      </c>
      <c r="I66" s="44"/>
      <c r="J66" s="44"/>
    </row>
    <row r="67" spans="1:10" s="45" customFormat="1">
      <c r="A67" s="586"/>
      <c r="B67" s="987"/>
      <c r="C67" s="1613" t="s">
        <v>1472</v>
      </c>
      <c r="D67" s="820" t="s">
        <v>500</v>
      </c>
      <c r="E67" s="969">
        <v>9</v>
      </c>
      <c r="F67" s="858">
        <v>89900</v>
      </c>
      <c r="G67" s="990">
        <f t="shared" si="5"/>
        <v>809100</v>
      </c>
      <c r="I67" s="44"/>
      <c r="J67" s="44"/>
    </row>
    <row r="68" spans="1:10" s="45" customFormat="1">
      <c r="A68" s="586"/>
      <c r="B68" s="987"/>
      <c r="C68" s="988" t="s">
        <v>1473</v>
      </c>
      <c r="D68" s="820" t="s">
        <v>500</v>
      </c>
      <c r="E68" s="969">
        <v>22</v>
      </c>
      <c r="F68" s="858">
        <v>59620</v>
      </c>
      <c r="G68" s="990">
        <f t="shared" si="5"/>
        <v>1311640</v>
      </c>
      <c r="I68" s="44"/>
      <c r="J68" s="44"/>
    </row>
    <row r="69" spans="1:10" s="45" customFormat="1" ht="15.75" customHeight="1">
      <c r="A69" s="586"/>
      <c r="B69" s="987"/>
      <c r="C69" s="988" t="s">
        <v>509</v>
      </c>
      <c r="D69" s="820" t="s">
        <v>56</v>
      </c>
      <c r="E69" s="969">
        <f>+'[4]Cantidad de obra Quitapereza'!$J$149</f>
        <v>72.400000000000006</v>
      </c>
      <c r="F69" s="858">
        <v>150170</v>
      </c>
      <c r="G69" s="990">
        <f t="shared" si="5"/>
        <v>10872308</v>
      </c>
      <c r="I69" s="44"/>
      <c r="J69" s="44"/>
    </row>
    <row r="70" spans="1:10" s="45" customFormat="1" ht="63.75" customHeight="1">
      <c r="A70" s="586"/>
      <c r="B70" s="987"/>
      <c r="C70" s="1044" t="s">
        <v>1474</v>
      </c>
      <c r="D70" s="820"/>
      <c r="E70" s="969"/>
      <c r="F70" s="858"/>
      <c r="G70" s="990"/>
      <c r="I70" s="44"/>
      <c r="J70" s="44"/>
    </row>
    <row r="71" spans="1:10" s="45" customFormat="1" ht="18.75" customHeight="1">
      <c r="A71" s="586"/>
      <c r="B71" s="1309"/>
      <c r="C71" s="988" t="s">
        <v>1659</v>
      </c>
      <c r="D71" s="820" t="s">
        <v>22</v>
      </c>
      <c r="E71" s="969">
        <v>2</v>
      </c>
      <c r="F71" s="1462">
        <v>6766396</v>
      </c>
      <c r="G71" s="990">
        <f t="shared" si="5"/>
        <v>13532792</v>
      </c>
      <c r="H71" s="43">
        <f>4487000*1.16</f>
        <v>5204920</v>
      </c>
      <c r="I71" s="1354"/>
      <c r="J71" s="1320" t="s">
        <v>954</v>
      </c>
    </row>
    <row r="72" spans="1:10" s="45" customFormat="1" ht="18.75" customHeight="1">
      <c r="A72" s="586"/>
      <c r="B72" s="1309"/>
      <c r="C72" s="988" t="s">
        <v>1553</v>
      </c>
      <c r="D72" s="820" t="s">
        <v>22</v>
      </c>
      <c r="E72" s="969">
        <v>2</v>
      </c>
      <c r="F72" s="1462">
        <v>6813144</v>
      </c>
      <c r="G72" s="990">
        <f t="shared" si="5"/>
        <v>13626288</v>
      </c>
      <c r="H72" s="43">
        <f>1788000*1.16*1.3</f>
        <v>2696304</v>
      </c>
      <c r="I72" s="1354"/>
      <c r="J72" s="1320" t="s">
        <v>955</v>
      </c>
    </row>
    <row r="73" spans="1:10" s="45" customFormat="1" ht="18.75" customHeight="1">
      <c r="A73" s="586"/>
      <c r="B73" s="1309"/>
      <c r="C73" s="988" t="s">
        <v>1557</v>
      </c>
      <c r="D73" s="820" t="s">
        <v>22</v>
      </c>
      <c r="E73" s="969">
        <v>2</v>
      </c>
      <c r="F73" s="1462">
        <v>7766200</v>
      </c>
      <c r="G73" s="990">
        <f t="shared" si="5"/>
        <v>15532400</v>
      </c>
      <c r="H73" s="43"/>
      <c r="I73" s="1354"/>
      <c r="J73" s="1320"/>
    </row>
    <row r="74" spans="1:10" s="45" customFormat="1" ht="18.75" customHeight="1">
      <c r="A74" s="586"/>
      <c r="B74" s="1309"/>
      <c r="C74" s="988" t="s">
        <v>1691</v>
      </c>
      <c r="D74" s="820" t="s">
        <v>22</v>
      </c>
      <c r="E74" s="969">
        <v>6</v>
      </c>
      <c r="F74" s="858">
        <v>3301916.8000000003</v>
      </c>
      <c r="G74" s="774">
        <f>+E74*F74</f>
        <v>19811500.800000001</v>
      </c>
      <c r="H74" s="43"/>
      <c r="I74" s="1354"/>
      <c r="J74" s="1320"/>
    </row>
    <row r="75" spans="1:10" s="45" customFormat="1" ht="18.75" customHeight="1">
      <c r="A75" s="586"/>
      <c r="B75" s="1614"/>
      <c r="C75" s="988" t="s">
        <v>1687</v>
      </c>
      <c r="D75" s="820" t="s">
        <v>22</v>
      </c>
      <c r="E75" s="969">
        <v>6</v>
      </c>
      <c r="F75" s="858">
        <v>2445976</v>
      </c>
      <c r="G75" s="990">
        <f t="shared" ref="G75:G77" si="6">+E75*F75</f>
        <v>14675856</v>
      </c>
      <c r="H75" s="43"/>
      <c r="I75" s="1354"/>
      <c r="J75" s="1320"/>
    </row>
    <row r="76" spans="1:10" s="45" customFormat="1" ht="18.75" customHeight="1">
      <c r="A76" s="586"/>
      <c r="B76" s="1309"/>
      <c r="C76" s="988" t="s">
        <v>1688</v>
      </c>
      <c r="D76" s="820" t="s">
        <v>22</v>
      </c>
      <c r="E76" s="969">
        <v>2</v>
      </c>
      <c r="F76" s="1462">
        <v>2696304</v>
      </c>
      <c r="G76" s="990">
        <f t="shared" si="6"/>
        <v>5392608</v>
      </c>
      <c r="H76" s="43"/>
      <c r="I76" s="1354"/>
      <c r="J76" s="1320"/>
    </row>
    <row r="77" spans="1:10" s="45" customFormat="1" ht="18.75" customHeight="1">
      <c r="A77" s="586"/>
      <c r="B77" s="1309"/>
      <c r="C77" s="988" t="s">
        <v>1689</v>
      </c>
      <c r="D77" s="820" t="s">
        <v>22</v>
      </c>
      <c r="E77" s="969">
        <v>3</v>
      </c>
      <c r="F77" s="1462">
        <f>89900*4</f>
        <v>359600</v>
      </c>
      <c r="G77" s="990">
        <f t="shared" si="6"/>
        <v>1078800</v>
      </c>
      <c r="H77" s="43"/>
      <c r="I77" s="1354"/>
      <c r="J77" s="1320"/>
    </row>
    <row r="78" spans="1:10" s="45" customFormat="1">
      <c r="A78" s="586"/>
      <c r="B78" s="857"/>
      <c r="C78" s="102" t="s">
        <v>1692</v>
      </c>
      <c r="D78" s="772" t="s">
        <v>22</v>
      </c>
      <c r="E78" s="773">
        <v>1</v>
      </c>
      <c r="F78" s="858">
        <v>920450</v>
      </c>
      <c r="G78" s="774">
        <f t="shared" ref="G78" si="7">+E78*F78</f>
        <v>920450</v>
      </c>
      <c r="H78" s="43"/>
      <c r="I78" s="43"/>
      <c r="J78" s="44"/>
    </row>
    <row r="79" spans="1:10" s="45" customFormat="1">
      <c r="A79" s="586"/>
      <c r="B79" s="779"/>
      <c r="C79" s="102" t="s">
        <v>503</v>
      </c>
      <c r="D79" s="772" t="s">
        <v>22</v>
      </c>
      <c r="E79" s="773">
        <v>3</v>
      </c>
      <c r="F79" s="858">
        <v>1092275</v>
      </c>
      <c r="G79" s="774">
        <f t="shared" si="5"/>
        <v>3276825</v>
      </c>
      <c r="H79" s="1354"/>
      <c r="I79" s="43"/>
      <c r="J79" s="44"/>
    </row>
    <row r="80" spans="1:10" s="45" customFormat="1">
      <c r="A80" s="586"/>
      <c r="B80" s="1615"/>
      <c r="C80" s="102" t="s">
        <v>1690</v>
      </c>
      <c r="D80" s="772" t="s">
        <v>22</v>
      </c>
      <c r="E80" s="773">
        <v>1</v>
      </c>
      <c r="F80" s="858">
        <v>268632</v>
      </c>
      <c r="G80" s="774">
        <f t="shared" si="5"/>
        <v>268632</v>
      </c>
      <c r="H80" s="1354"/>
      <c r="I80" s="43"/>
      <c r="J80" s="44"/>
    </row>
    <row r="81" spans="1:10" s="45" customFormat="1">
      <c r="A81" s="586"/>
      <c r="B81" s="779"/>
      <c r="C81" s="102" t="s">
        <v>505</v>
      </c>
      <c r="D81" s="772" t="s">
        <v>22</v>
      </c>
      <c r="E81" s="773">
        <v>1</v>
      </c>
      <c r="F81" s="858">
        <v>188160</v>
      </c>
      <c r="G81" s="774">
        <f t="shared" si="5"/>
        <v>188160</v>
      </c>
      <c r="H81" s="1354"/>
      <c r="I81" s="43"/>
      <c r="J81" s="44"/>
    </row>
    <row r="82" spans="1:10" s="45" customFormat="1" ht="318.75" hidden="1" customHeight="1">
      <c r="A82" s="586"/>
      <c r="B82" s="779"/>
      <c r="C82" s="102" t="s">
        <v>1555</v>
      </c>
      <c r="D82" s="772" t="s">
        <v>22</v>
      </c>
      <c r="E82" s="773">
        <v>1</v>
      </c>
      <c r="F82" s="858">
        <v>127500</v>
      </c>
      <c r="G82" s="774">
        <f t="shared" si="5"/>
        <v>127500</v>
      </c>
      <c r="I82" s="44"/>
      <c r="J82" s="44"/>
    </row>
    <row r="83" spans="1:10" s="45" customFormat="1" ht="22.5" hidden="1" customHeight="1">
      <c r="A83" s="586"/>
      <c r="B83" s="779"/>
      <c r="C83" s="102" t="s">
        <v>1556</v>
      </c>
      <c r="D83" s="772" t="s">
        <v>22</v>
      </c>
      <c r="E83" s="773">
        <v>1</v>
      </c>
      <c r="F83" s="858">
        <v>127500</v>
      </c>
      <c r="G83" s="774">
        <f t="shared" si="5"/>
        <v>127500</v>
      </c>
      <c r="I83" s="44"/>
      <c r="J83" s="44"/>
    </row>
    <row r="84" spans="1:10" s="45" customFormat="1">
      <c r="A84" s="586"/>
      <c r="B84" s="779"/>
      <c r="C84" s="102" t="s">
        <v>1558</v>
      </c>
      <c r="D84" s="772" t="s">
        <v>22</v>
      </c>
      <c r="E84" s="773">
        <v>6</v>
      </c>
      <c r="F84" s="1462">
        <v>127500</v>
      </c>
      <c r="G84" s="774">
        <f t="shared" si="5"/>
        <v>765000</v>
      </c>
      <c r="I84" s="44"/>
      <c r="J84" s="44"/>
    </row>
    <row r="85" spans="1:10" s="45" customFormat="1" ht="15.75" thickBot="1">
      <c r="A85" s="586"/>
      <c r="B85" s="771"/>
      <c r="C85" s="114"/>
      <c r="D85" s="115"/>
      <c r="E85" s="116"/>
      <c r="F85" s="117" t="s">
        <v>957</v>
      </c>
      <c r="G85" s="118">
        <f>SUM(G61:G84)</f>
        <v>155007623.59999999</v>
      </c>
      <c r="I85" s="44"/>
      <c r="J85" s="44"/>
    </row>
    <row r="86" spans="1:10" s="45" customFormat="1">
      <c r="A86" s="586"/>
      <c r="B86" s="771"/>
      <c r="C86" s="102"/>
      <c r="D86" s="772"/>
      <c r="E86" s="773"/>
      <c r="F86" s="587"/>
      <c r="G86" s="774"/>
      <c r="I86" s="44"/>
      <c r="J86" s="44"/>
    </row>
    <row r="87" spans="1:10" s="45" customFormat="1" ht="15.75" thickBot="1">
      <c r="A87" s="586"/>
      <c r="B87" s="771"/>
      <c r="C87" s="871"/>
      <c r="D87" s="873"/>
      <c r="E87" s="874"/>
      <c r="F87" s="1531" t="s">
        <v>958</v>
      </c>
      <c r="G87" s="1504">
        <f>+G59+G85</f>
        <v>221745524.31597501</v>
      </c>
      <c r="I87" s="44"/>
      <c r="J87" s="44"/>
    </row>
    <row r="88" spans="1:10" s="45" customFormat="1" ht="15.75" thickBot="1">
      <c r="A88" s="586"/>
      <c r="B88" s="838"/>
      <c r="C88" s="824"/>
      <c r="D88" s="821"/>
      <c r="E88" s="825"/>
      <c r="F88" s="43"/>
      <c r="G88" s="1024"/>
      <c r="I88" s="44"/>
      <c r="J88" s="44"/>
    </row>
    <row r="89" spans="1:10" s="45" customFormat="1">
      <c r="A89" s="586"/>
      <c r="B89" s="74">
        <v>4</v>
      </c>
      <c r="C89" s="75" t="s">
        <v>475</v>
      </c>
      <c r="D89" s="76"/>
      <c r="E89" s="76"/>
      <c r="F89" s="76"/>
      <c r="G89" s="126"/>
      <c r="I89" s="44"/>
      <c r="J89" s="44"/>
    </row>
    <row r="90" spans="1:10" s="45" customFormat="1">
      <c r="A90" s="586"/>
      <c r="B90" s="771"/>
      <c r="C90" s="788" t="s">
        <v>947</v>
      </c>
      <c r="D90" s="772"/>
      <c r="E90" s="773"/>
      <c r="F90" s="587"/>
      <c r="G90" s="774"/>
      <c r="I90" s="44"/>
      <c r="J90" s="44"/>
    </row>
    <row r="91" spans="1:10" s="45" customFormat="1">
      <c r="A91" s="586"/>
      <c r="B91" s="771"/>
      <c r="C91" s="102" t="s">
        <v>943</v>
      </c>
      <c r="D91" s="772" t="s">
        <v>139</v>
      </c>
      <c r="E91" s="587">
        <f>+'[4]Cantidad de obra Quitapereza'!$J$163</f>
        <v>328.41199999999998</v>
      </c>
      <c r="F91" s="587">
        <f>+F51</f>
        <v>2640</v>
      </c>
      <c r="G91" s="774">
        <f t="shared" ref="G91:G97" si="8">+E91*F91</f>
        <v>867007.67999999993</v>
      </c>
      <c r="I91" s="44"/>
      <c r="J91" s="44"/>
    </row>
    <row r="92" spans="1:10" s="45" customFormat="1">
      <c r="A92" s="586"/>
      <c r="B92" s="771"/>
      <c r="C92" s="102" t="s">
        <v>1101</v>
      </c>
      <c r="D92" s="772" t="s">
        <v>139</v>
      </c>
      <c r="E92" s="1529">
        <f>+'[4]Cantidad de obra Quitapereza'!$J$166</f>
        <v>227.86399999999998</v>
      </c>
      <c r="F92" s="587">
        <v>5190</v>
      </c>
      <c r="G92" s="774">
        <f t="shared" si="8"/>
        <v>1182614.1599999999</v>
      </c>
      <c r="I92" s="44"/>
      <c r="J92" s="44"/>
    </row>
    <row r="93" spans="1:10" s="45" customFormat="1">
      <c r="A93" s="586"/>
      <c r="B93" s="771"/>
      <c r="C93" s="102" t="s">
        <v>941</v>
      </c>
      <c r="D93" s="777" t="s">
        <v>139</v>
      </c>
      <c r="E93" s="587">
        <f>+'[4]Cantidad de obra Quitapereza'!$J$171</f>
        <v>100.548</v>
      </c>
      <c r="F93" s="587">
        <f>+F53</f>
        <v>10530</v>
      </c>
      <c r="G93" s="774">
        <f t="shared" si="8"/>
        <v>1058770.44</v>
      </c>
      <c r="I93" s="44"/>
      <c r="J93" s="44"/>
    </row>
    <row r="94" spans="1:10" s="45" customFormat="1">
      <c r="A94" s="586"/>
      <c r="B94" s="771"/>
      <c r="C94" s="102" t="s">
        <v>497</v>
      </c>
      <c r="D94" s="777" t="s">
        <v>56</v>
      </c>
      <c r="E94" s="587">
        <v>48</v>
      </c>
      <c r="F94" s="587">
        <v>17220</v>
      </c>
      <c r="G94" s="774">
        <f t="shared" si="8"/>
        <v>826560</v>
      </c>
      <c r="I94" s="44"/>
      <c r="J94" s="44"/>
    </row>
    <row r="95" spans="1:10" s="45" customFormat="1">
      <c r="A95" s="586"/>
      <c r="B95" s="771"/>
      <c r="C95" s="782" t="s">
        <v>1598</v>
      </c>
      <c r="D95" s="772" t="s">
        <v>139</v>
      </c>
      <c r="E95" s="1465">
        <f>+'[4]Cantidad de obra Quitapereza'!$J$178</f>
        <v>20.336500000000001</v>
      </c>
      <c r="F95" s="587">
        <f>+F55</f>
        <v>630777</v>
      </c>
      <c r="G95" s="774">
        <f t="shared" si="8"/>
        <v>12827796.4605</v>
      </c>
      <c r="I95" s="44"/>
      <c r="J95" s="44"/>
    </row>
    <row r="96" spans="1:10" s="45" customFormat="1">
      <c r="A96" s="586"/>
      <c r="B96" s="771"/>
      <c r="C96" s="102" t="s">
        <v>976</v>
      </c>
      <c r="D96" s="772" t="s">
        <v>139</v>
      </c>
      <c r="E96" s="1465">
        <f>+'[4]Cantidad de obra Quitapereza'!$J$193</f>
        <v>54.8</v>
      </c>
      <c r="F96" s="587">
        <f>+F56</f>
        <v>650208</v>
      </c>
      <c r="G96" s="774">
        <f t="shared" si="8"/>
        <v>35631398.399999999</v>
      </c>
      <c r="I96" s="44"/>
      <c r="J96" s="44"/>
    </row>
    <row r="97" spans="1:10" s="45" customFormat="1">
      <c r="A97" s="586"/>
      <c r="B97" s="771"/>
      <c r="C97" s="102" t="s">
        <v>1599</v>
      </c>
      <c r="D97" s="772" t="s">
        <v>139</v>
      </c>
      <c r="E97" s="1465">
        <f>+'[4]Cantidad de obra Quitapereza'!$J$184</f>
        <v>3.3</v>
      </c>
      <c r="F97" s="587">
        <f>+F57</f>
        <v>630777</v>
      </c>
      <c r="G97" s="774">
        <f t="shared" si="8"/>
        <v>2081564.0999999999</v>
      </c>
      <c r="I97" s="44"/>
      <c r="J97" s="44"/>
    </row>
    <row r="98" spans="1:10" s="45" customFormat="1">
      <c r="A98" s="586"/>
      <c r="B98" s="838"/>
      <c r="C98" s="215"/>
      <c r="D98" s="216"/>
      <c r="E98" s="95"/>
      <c r="F98" s="95"/>
      <c r="G98" s="774"/>
      <c r="I98" s="44"/>
      <c r="J98" s="44"/>
    </row>
    <row r="99" spans="1:10" s="45" customFormat="1" ht="15.75" thickBot="1">
      <c r="A99" s="586"/>
      <c r="B99" s="1551"/>
      <c r="C99" s="114"/>
      <c r="D99" s="115"/>
      <c r="E99" s="116"/>
      <c r="F99" s="117" t="s">
        <v>966</v>
      </c>
      <c r="G99" s="118">
        <f>SUM(G91:G98)</f>
        <v>54475711.240499996</v>
      </c>
      <c r="I99" s="44"/>
      <c r="J99" s="44"/>
    </row>
    <row r="100" spans="1:10" s="45" customFormat="1">
      <c r="A100" s="586"/>
      <c r="B100" s="771"/>
      <c r="C100" s="102"/>
      <c r="D100" s="772"/>
      <c r="E100" s="773"/>
      <c r="F100" s="587"/>
      <c r="G100" s="774"/>
      <c r="I100" s="44"/>
      <c r="J100" s="44"/>
    </row>
    <row r="101" spans="1:10" s="45" customFormat="1">
      <c r="A101" s="586"/>
      <c r="B101" s="771"/>
      <c r="C101" s="787" t="s">
        <v>948</v>
      </c>
      <c r="D101" s="772"/>
      <c r="E101" s="773"/>
      <c r="F101" s="587"/>
      <c r="G101" s="774"/>
      <c r="I101" s="44"/>
      <c r="J101" s="44"/>
    </row>
    <row r="102" spans="1:10" s="45" customFormat="1" ht="78.75" customHeight="1">
      <c r="A102" s="586"/>
      <c r="B102" s="844"/>
      <c r="C102" s="102" t="s">
        <v>1025</v>
      </c>
      <c r="D102" s="772"/>
      <c r="E102" s="780"/>
      <c r="F102" s="587"/>
      <c r="G102" s="774"/>
      <c r="I102" s="44"/>
      <c r="J102" s="44"/>
    </row>
    <row r="103" spans="1:10" s="45" customFormat="1">
      <c r="A103" s="586"/>
      <c r="B103" s="779"/>
      <c r="C103" s="102" t="s">
        <v>1693</v>
      </c>
      <c r="D103" s="777" t="s">
        <v>22</v>
      </c>
      <c r="E103" s="587">
        <v>2</v>
      </c>
      <c r="F103" s="1463">
        <v>8042164</v>
      </c>
      <c r="G103" s="774">
        <f t="shared" ref="G103:G121" si="9">+E103*F103</f>
        <v>16084328</v>
      </c>
      <c r="I103" s="44"/>
      <c r="J103" s="44"/>
    </row>
    <row r="104" spans="1:10" s="45" customFormat="1">
      <c r="A104" s="586"/>
      <c r="B104" s="779"/>
      <c r="C104" s="102" t="s">
        <v>1694</v>
      </c>
      <c r="D104" s="777" t="s">
        <v>22</v>
      </c>
      <c r="E104" s="587">
        <v>2</v>
      </c>
      <c r="F104" s="1462">
        <v>6913144</v>
      </c>
      <c r="G104" s="774">
        <f t="shared" si="9"/>
        <v>13826288</v>
      </c>
      <c r="I104" s="44"/>
      <c r="J104" s="44"/>
    </row>
    <row r="105" spans="1:10" s="45" customFormat="1">
      <c r="A105" s="586"/>
      <c r="B105" s="987"/>
      <c r="C105" s="988" t="s">
        <v>1660</v>
      </c>
      <c r="D105" s="820" t="s">
        <v>22</v>
      </c>
      <c r="E105" s="858">
        <v>2</v>
      </c>
      <c r="F105" s="858">
        <v>11558820</v>
      </c>
      <c r="G105" s="990">
        <f t="shared" si="9"/>
        <v>23117640</v>
      </c>
      <c r="H105" s="858"/>
      <c r="I105" s="44"/>
      <c r="J105" s="44"/>
    </row>
    <row r="106" spans="1:10" s="45" customFormat="1" ht="25.5">
      <c r="A106" s="586"/>
      <c r="B106" s="987"/>
      <c r="C106" s="988" t="s">
        <v>1019</v>
      </c>
      <c r="D106" s="989" t="s">
        <v>512</v>
      </c>
      <c r="E106" s="858">
        <v>2</v>
      </c>
      <c r="F106" s="858">
        <v>1936272</v>
      </c>
      <c r="G106" s="990">
        <f t="shared" si="9"/>
        <v>3872544</v>
      </c>
      <c r="I106" s="44"/>
      <c r="J106" s="44"/>
    </row>
    <row r="107" spans="1:10" s="45" customFormat="1">
      <c r="A107" s="586"/>
      <c r="B107" s="987"/>
      <c r="C107" s="988" t="s">
        <v>522</v>
      </c>
      <c r="D107" s="820" t="s">
        <v>142</v>
      </c>
      <c r="E107" s="858">
        <f>+'[4]Cantidad de obra Quitapereza'!$J$219</f>
        <v>10179.704000000002</v>
      </c>
      <c r="F107" s="858">
        <v>3250</v>
      </c>
      <c r="G107" s="990">
        <f t="shared" si="9"/>
        <v>33084038.000000004</v>
      </c>
      <c r="I107" s="44"/>
      <c r="J107" s="44"/>
    </row>
    <row r="108" spans="1:10" s="45" customFormat="1">
      <c r="A108" s="586"/>
      <c r="B108" s="779"/>
      <c r="C108" s="782" t="s">
        <v>950</v>
      </c>
      <c r="D108" s="772" t="s">
        <v>540</v>
      </c>
      <c r="E108" s="587">
        <f>+'[4]Cantidad de obra Quitapereza'!$J$197</f>
        <v>43.5</v>
      </c>
      <c r="F108" s="587">
        <v>18670</v>
      </c>
      <c r="G108" s="774">
        <f t="shared" si="9"/>
        <v>812145</v>
      </c>
      <c r="I108" s="44"/>
      <c r="J108" s="44"/>
    </row>
    <row r="109" spans="1:10" s="45" customFormat="1" ht="24.75" customHeight="1">
      <c r="A109" s="586"/>
      <c r="B109" s="779"/>
      <c r="C109" s="782" t="s">
        <v>964</v>
      </c>
      <c r="D109" s="772" t="s">
        <v>22</v>
      </c>
      <c r="E109" s="587">
        <v>110</v>
      </c>
      <c r="F109" s="587">
        <v>59200</v>
      </c>
      <c r="G109" s="774">
        <f t="shared" si="9"/>
        <v>6512000</v>
      </c>
      <c r="I109" s="44"/>
      <c r="J109" s="44"/>
    </row>
    <row r="110" spans="1:10" s="45" customFormat="1" ht="15" customHeight="1">
      <c r="A110" s="586"/>
      <c r="B110" s="779"/>
      <c r="C110" s="102" t="s">
        <v>509</v>
      </c>
      <c r="D110" s="772" t="s">
        <v>56</v>
      </c>
      <c r="E110" s="587">
        <f>+'[4]Cantidad de obra Quitapereza'!$J$234</f>
        <v>39.879999999999995</v>
      </c>
      <c r="F110" s="587">
        <v>150170</v>
      </c>
      <c r="G110" s="774">
        <f t="shared" si="9"/>
        <v>5988779.5999999996</v>
      </c>
      <c r="I110" s="44"/>
      <c r="J110" s="44"/>
    </row>
    <row r="111" spans="1:10" s="45" customFormat="1" ht="25.5">
      <c r="A111" s="586"/>
      <c r="B111" s="779"/>
      <c r="C111" s="102" t="s">
        <v>1675</v>
      </c>
      <c r="D111" s="777" t="s">
        <v>22</v>
      </c>
      <c r="E111" s="587">
        <v>26</v>
      </c>
      <c r="F111" s="587">
        <v>65000</v>
      </c>
      <c r="G111" s="774">
        <f t="shared" si="9"/>
        <v>1690000</v>
      </c>
      <c r="I111" s="44"/>
      <c r="J111" s="44"/>
    </row>
    <row r="112" spans="1:10" s="45" customFormat="1" ht="25.5">
      <c r="A112" s="586"/>
      <c r="B112" s="779"/>
      <c r="C112" s="102" t="s">
        <v>1018</v>
      </c>
      <c r="D112" s="777" t="s">
        <v>512</v>
      </c>
      <c r="E112" s="587">
        <v>30</v>
      </c>
      <c r="F112" s="587">
        <v>30550</v>
      </c>
      <c r="G112" s="774">
        <f t="shared" si="9"/>
        <v>916500</v>
      </c>
      <c r="I112" s="44"/>
      <c r="J112" s="44"/>
    </row>
    <row r="113" spans="1:10" s="45" customFormat="1">
      <c r="A113" s="586"/>
      <c r="B113" s="987"/>
      <c r="C113" s="102" t="s">
        <v>543</v>
      </c>
      <c r="D113" s="777" t="s">
        <v>512</v>
      </c>
      <c r="E113" s="587">
        <v>24</v>
      </c>
      <c r="F113" s="587">
        <v>21450</v>
      </c>
      <c r="G113" s="774">
        <f t="shared" si="9"/>
        <v>514800</v>
      </c>
      <c r="I113" s="44"/>
      <c r="J113" s="44"/>
    </row>
    <row r="114" spans="1:10" s="45" customFormat="1">
      <c r="A114" s="586"/>
      <c r="B114" s="987"/>
      <c r="C114" s="102" t="s">
        <v>545</v>
      </c>
      <c r="D114" s="777" t="s">
        <v>500</v>
      </c>
      <c r="E114" s="587">
        <f>24*0.2</f>
        <v>4.8000000000000007</v>
      </c>
      <c r="F114" s="587">
        <v>18028</v>
      </c>
      <c r="G114" s="774">
        <f t="shared" si="9"/>
        <v>86534.400000000009</v>
      </c>
      <c r="H114" s="44"/>
      <c r="I114" s="44"/>
      <c r="J114" s="44"/>
    </row>
    <row r="115" spans="1:10" s="45" customFormat="1">
      <c r="A115" s="586"/>
      <c r="B115" s="987"/>
      <c r="C115" s="102" t="s">
        <v>1696</v>
      </c>
      <c r="D115" s="772" t="s">
        <v>540</v>
      </c>
      <c r="E115" s="1310">
        <f>2.7*24</f>
        <v>64.800000000000011</v>
      </c>
      <c r="F115" s="587">
        <v>29330</v>
      </c>
      <c r="G115" s="774">
        <f t="shared" si="9"/>
        <v>1900584.0000000002</v>
      </c>
      <c r="H115" s="44"/>
      <c r="I115" s="44"/>
      <c r="J115" s="44"/>
    </row>
    <row r="116" spans="1:10" s="45" customFormat="1">
      <c r="A116" s="586"/>
      <c r="B116" s="987"/>
      <c r="C116" s="102" t="s">
        <v>965</v>
      </c>
      <c r="D116" s="772" t="s">
        <v>512</v>
      </c>
      <c r="E116" s="587">
        <v>24</v>
      </c>
      <c r="F116" s="587">
        <v>3720</v>
      </c>
      <c r="G116" s="774">
        <f t="shared" si="9"/>
        <v>89280</v>
      </c>
      <c r="H116" s="44"/>
      <c r="I116" s="44"/>
      <c r="J116" s="44"/>
    </row>
    <row r="117" spans="1:10" s="45" customFormat="1">
      <c r="A117" s="586"/>
      <c r="B117" s="779"/>
      <c r="C117" s="102" t="s">
        <v>1695</v>
      </c>
      <c r="D117" s="777" t="s">
        <v>22</v>
      </c>
      <c r="E117" s="587">
        <v>1</v>
      </c>
      <c r="F117" s="858">
        <v>138000</v>
      </c>
      <c r="G117" s="774">
        <f t="shared" si="9"/>
        <v>138000</v>
      </c>
      <c r="H117" s="1354"/>
      <c r="I117" s="44"/>
      <c r="J117" s="44"/>
    </row>
    <row r="118" spans="1:10" s="45" customFormat="1">
      <c r="A118" s="586"/>
      <c r="B118" s="779"/>
      <c r="C118" s="102" t="s">
        <v>548</v>
      </c>
      <c r="D118" s="777" t="s">
        <v>22</v>
      </c>
      <c r="E118" s="587">
        <v>5</v>
      </c>
      <c r="F118" s="858">
        <v>562800</v>
      </c>
      <c r="G118" s="774">
        <f t="shared" si="9"/>
        <v>2814000</v>
      </c>
      <c r="H118" s="1354"/>
      <c r="I118" s="44"/>
      <c r="J118" s="44"/>
    </row>
    <row r="119" spans="1:10" s="45" customFormat="1">
      <c r="A119" s="586"/>
      <c r="B119" s="779"/>
      <c r="C119" s="988" t="s">
        <v>513</v>
      </c>
      <c r="D119" s="989" t="s">
        <v>22</v>
      </c>
      <c r="E119" s="858">
        <v>676</v>
      </c>
      <c r="F119" s="858">
        <v>53000</v>
      </c>
      <c r="G119" s="774">
        <f t="shared" si="9"/>
        <v>35828000</v>
      </c>
      <c r="H119" s="44"/>
      <c r="I119" s="44"/>
      <c r="J119" s="44"/>
    </row>
    <row r="120" spans="1:10" s="45" customFormat="1">
      <c r="A120" s="586"/>
      <c r="B120" s="779"/>
      <c r="C120" s="102" t="s">
        <v>514</v>
      </c>
      <c r="D120" s="777" t="s">
        <v>22</v>
      </c>
      <c r="E120" s="587">
        <v>676</v>
      </c>
      <c r="F120" s="858">
        <v>14047</v>
      </c>
      <c r="G120" s="774">
        <f t="shared" si="9"/>
        <v>9495772</v>
      </c>
      <c r="I120" s="44"/>
      <c r="J120" s="44"/>
    </row>
    <row r="121" spans="1:10" s="45" customFormat="1">
      <c r="A121" s="586"/>
      <c r="B121" s="779"/>
      <c r="C121" s="102" t="s">
        <v>515</v>
      </c>
      <c r="D121" s="772" t="s">
        <v>22</v>
      </c>
      <c r="E121" s="587">
        <v>1372</v>
      </c>
      <c r="F121" s="858">
        <v>2923</v>
      </c>
      <c r="G121" s="774">
        <f t="shared" si="9"/>
        <v>4010356</v>
      </c>
      <c r="I121" s="44"/>
      <c r="J121" s="44"/>
    </row>
    <row r="122" spans="1:10" s="45" customFormat="1" ht="15.75" thickBot="1">
      <c r="A122" s="586"/>
      <c r="B122" s="1551"/>
      <c r="C122" s="114"/>
      <c r="D122" s="115"/>
      <c r="E122" s="116"/>
      <c r="F122" s="117" t="s">
        <v>959</v>
      </c>
      <c r="G122" s="1152">
        <f>SUM(G102:G121)</f>
        <v>160781589</v>
      </c>
      <c r="I122" s="44"/>
      <c r="J122" s="44"/>
    </row>
    <row r="123" spans="1:10" s="45" customFormat="1">
      <c r="A123" s="586"/>
      <c r="B123" s="771"/>
      <c r="C123" s="102"/>
      <c r="D123" s="772"/>
      <c r="E123" s="773"/>
      <c r="F123" s="587"/>
      <c r="G123" s="774"/>
      <c r="I123" s="44"/>
      <c r="J123" s="44"/>
    </row>
    <row r="124" spans="1:10" s="45" customFormat="1" ht="15.75" thickBot="1">
      <c r="A124" s="586"/>
      <c r="B124" s="1338"/>
      <c r="C124" s="871"/>
      <c r="D124" s="873"/>
      <c r="E124" s="874"/>
      <c r="F124" s="1531" t="s">
        <v>960</v>
      </c>
      <c r="G124" s="1504">
        <f>+G122+G99</f>
        <v>215257300.2405</v>
      </c>
      <c r="I124" s="44"/>
      <c r="J124" s="44"/>
    </row>
    <row r="125" spans="1:10" s="45" customFormat="1" ht="15.75" thickBot="1">
      <c r="A125" s="586"/>
      <c r="B125" s="771"/>
      <c r="C125" s="102"/>
      <c r="D125" s="772"/>
      <c r="E125" s="773"/>
      <c r="F125" s="587"/>
      <c r="G125" s="774"/>
      <c r="I125" s="44"/>
      <c r="J125" s="44"/>
    </row>
    <row r="126" spans="1:10" s="45" customFormat="1">
      <c r="A126" s="586"/>
      <c r="B126" s="74">
        <v>5</v>
      </c>
      <c r="C126" s="75" t="s">
        <v>476</v>
      </c>
      <c r="D126" s="76"/>
      <c r="E126" s="76"/>
      <c r="F126" s="76"/>
      <c r="G126" s="126"/>
      <c r="I126" s="44"/>
      <c r="J126" s="44"/>
    </row>
    <row r="127" spans="1:10" s="45" customFormat="1">
      <c r="A127" s="586"/>
      <c r="B127" s="1361"/>
      <c r="C127" s="1362" t="s">
        <v>947</v>
      </c>
      <c r="D127" s="1256"/>
      <c r="E127" s="1363"/>
      <c r="F127" s="1340"/>
      <c r="G127" s="1300"/>
      <c r="I127" s="44"/>
      <c r="J127" s="44"/>
    </row>
    <row r="128" spans="1:10" s="45" customFormat="1">
      <c r="A128" s="586"/>
      <c r="B128" s="1552"/>
      <c r="C128" s="1365" t="s">
        <v>943</v>
      </c>
      <c r="D128" s="1366" t="s">
        <v>139</v>
      </c>
      <c r="E128" s="1282">
        <f>+'[4]Cantidad de obra Quitapereza'!$J$253</f>
        <v>779.47079999999983</v>
      </c>
      <c r="F128" s="1282">
        <f>+F51</f>
        <v>2640</v>
      </c>
      <c r="G128" s="1553">
        <f t="shared" ref="G128:G134" si="10">+E128*F128</f>
        <v>2057802.9119999995</v>
      </c>
      <c r="I128" s="44"/>
      <c r="J128" s="44"/>
    </row>
    <row r="129" spans="1:10" s="45" customFormat="1">
      <c r="A129" s="586"/>
      <c r="B129" s="1552"/>
      <c r="C129" s="1365" t="s">
        <v>1101</v>
      </c>
      <c r="D129" s="1366" t="s">
        <v>139</v>
      </c>
      <c r="E129" s="1282">
        <f>+E128-E130</f>
        <v>506.67399999999986</v>
      </c>
      <c r="F129" s="1282">
        <f>+F52</f>
        <v>5190</v>
      </c>
      <c r="G129" s="1553">
        <f t="shared" si="10"/>
        <v>2629638.0599999991</v>
      </c>
      <c r="I129" s="44"/>
      <c r="J129" s="44"/>
    </row>
    <row r="130" spans="1:10" s="45" customFormat="1">
      <c r="A130" s="586"/>
      <c r="B130" s="1554"/>
      <c r="C130" s="1297" t="s">
        <v>941</v>
      </c>
      <c r="D130" s="1368" t="s">
        <v>139</v>
      </c>
      <c r="E130" s="1303">
        <f>+'[4]Cantidad de obra Quitapereza'!$J$261</f>
        <v>272.79679999999996</v>
      </c>
      <c r="F130" s="1282">
        <f>+F53</f>
        <v>10530</v>
      </c>
      <c r="G130" s="1553">
        <f t="shared" si="10"/>
        <v>2872550.3039999995</v>
      </c>
      <c r="I130" s="44"/>
      <c r="J130" s="44"/>
    </row>
    <row r="131" spans="1:10" s="45" customFormat="1">
      <c r="A131" s="586"/>
      <c r="B131" s="1552"/>
      <c r="C131" s="1365" t="s">
        <v>497</v>
      </c>
      <c r="D131" s="1346" t="s">
        <v>56</v>
      </c>
      <c r="E131" s="1282">
        <v>88</v>
      </c>
      <c r="F131" s="1282">
        <f>+F54</f>
        <v>17220</v>
      </c>
      <c r="G131" s="1553">
        <f t="shared" si="10"/>
        <v>1515360</v>
      </c>
      <c r="I131" s="44"/>
      <c r="J131" s="44"/>
    </row>
    <row r="132" spans="1:10" s="45" customFormat="1">
      <c r="A132" s="586"/>
      <c r="B132" s="1552"/>
      <c r="C132" s="782" t="s">
        <v>1598</v>
      </c>
      <c r="D132" s="772" t="s">
        <v>139</v>
      </c>
      <c r="E132" s="1465">
        <f>+'[4]Cantidad de obra Quitapereza'!$J$270</f>
        <v>34.299999999999997</v>
      </c>
      <c r="F132" s="587">
        <v>630777</v>
      </c>
      <c r="G132" s="1553">
        <f t="shared" si="10"/>
        <v>21635651.099999998</v>
      </c>
      <c r="I132" s="44"/>
      <c r="J132" s="44"/>
    </row>
    <row r="133" spans="1:10" s="45" customFormat="1">
      <c r="A133" s="586"/>
      <c r="B133" s="1552"/>
      <c r="C133" s="102" t="s">
        <v>976</v>
      </c>
      <c r="D133" s="772" t="s">
        <v>139</v>
      </c>
      <c r="E133" s="1465">
        <f>+'[4]Cantidad de obra Quitapereza'!$J$285</f>
        <v>108.7</v>
      </c>
      <c r="F133" s="587">
        <v>650208</v>
      </c>
      <c r="G133" s="1553">
        <f t="shared" si="10"/>
        <v>70677609.600000009</v>
      </c>
      <c r="I133" s="44"/>
      <c r="J133" s="44"/>
    </row>
    <row r="134" spans="1:10" s="45" customFormat="1">
      <c r="A134" s="586"/>
      <c r="B134" s="1552"/>
      <c r="C134" s="102" t="s">
        <v>1599</v>
      </c>
      <c r="D134" s="772" t="s">
        <v>139</v>
      </c>
      <c r="E134" s="1465">
        <f>+'[4]Cantidad de obra Quitapereza'!$J$275</f>
        <v>5</v>
      </c>
      <c r="F134" s="587">
        <v>630777</v>
      </c>
      <c r="G134" s="1553">
        <f t="shared" si="10"/>
        <v>3153885</v>
      </c>
      <c r="I134" s="44"/>
      <c r="J134" s="44"/>
    </row>
    <row r="135" spans="1:10" s="45" customFormat="1">
      <c r="A135" s="586"/>
      <c r="B135" s="771"/>
      <c r="C135" s="215"/>
      <c r="D135" s="216"/>
      <c r="E135" s="95"/>
      <c r="F135" s="95"/>
      <c r="G135" s="774"/>
      <c r="I135" s="44"/>
      <c r="J135" s="44"/>
    </row>
    <row r="136" spans="1:10" s="45" customFormat="1" ht="15.75" thickBot="1">
      <c r="A136" s="586"/>
      <c r="B136" s="1551"/>
      <c r="C136" s="114"/>
      <c r="D136" s="115"/>
      <c r="E136" s="116"/>
      <c r="F136" s="117" t="s">
        <v>967</v>
      </c>
      <c r="G136" s="118">
        <f>SUM(G128:G135)</f>
        <v>104542496.97600001</v>
      </c>
      <c r="I136" s="44"/>
      <c r="J136" s="44"/>
    </row>
    <row r="137" spans="1:10" s="45" customFormat="1">
      <c r="A137" s="586"/>
      <c r="B137" s="771"/>
      <c r="C137" s="787" t="s">
        <v>948</v>
      </c>
      <c r="D137" s="772"/>
      <c r="E137" s="773"/>
      <c r="F137" s="587"/>
      <c r="G137" s="774"/>
      <c r="I137" s="44"/>
      <c r="J137" s="44"/>
    </row>
    <row r="138" spans="1:10" s="45" customFormat="1" ht="105.75" customHeight="1">
      <c r="A138" s="586"/>
      <c r="B138" s="771"/>
      <c r="C138" s="1248" t="s">
        <v>1008</v>
      </c>
      <c r="D138" s="772"/>
      <c r="E138" s="1059"/>
      <c r="F138" s="587"/>
      <c r="G138" s="774">
        <f>E138*F138</f>
        <v>0</v>
      </c>
      <c r="H138" s="44"/>
      <c r="I138" s="44"/>
      <c r="J138" s="44"/>
    </row>
    <row r="139" spans="1:10" s="45" customFormat="1">
      <c r="A139" s="586"/>
      <c r="B139" s="1370"/>
      <c r="C139" s="1371" t="s">
        <v>1564</v>
      </c>
      <c r="D139" s="1372" t="s">
        <v>22</v>
      </c>
      <c r="E139" s="1373">
        <v>4</v>
      </c>
      <c r="F139" s="1374">
        <v>8135660</v>
      </c>
      <c r="G139" s="1375">
        <f t="shared" ref="G139:G156" si="11">+E139*F139</f>
        <v>32542640</v>
      </c>
      <c r="H139" s="44"/>
      <c r="I139" s="1023"/>
      <c r="J139" s="44"/>
    </row>
    <row r="140" spans="1:10" s="45" customFormat="1" ht="15" customHeight="1">
      <c r="A140" s="586"/>
      <c r="B140" s="1554"/>
      <c r="C140" s="1297" t="s">
        <v>1661</v>
      </c>
      <c r="D140" s="1368" t="s">
        <v>22</v>
      </c>
      <c r="E140" s="1376">
        <v>4</v>
      </c>
      <c r="F140" s="1303">
        <v>9845732</v>
      </c>
      <c r="G140" s="1555">
        <f t="shared" si="11"/>
        <v>39382928</v>
      </c>
      <c r="H140" s="44"/>
      <c r="I140" s="1023"/>
      <c r="J140" s="44">
        <f>0.8+0.55</f>
        <v>1.35</v>
      </c>
    </row>
    <row r="141" spans="1:10" s="45" customFormat="1">
      <c r="A141" s="586"/>
      <c r="B141" s="1552"/>
      <c r="C141" s="1365" t="s">
        <v>1566</v>
      </c>
      <c r="D141" s="1346" t="s">
        <v>22</v>
      </c>
      <c r="E141" s="1377">
        <v>1</v>
      </c>
      <c r="F141" s="1282">
        <v>12261548</v>
      </c>
      <c r="G141" s="1553">
        <f t="shared" si="11"/>
        <v>12261548</v>
      </c>
      <c r="H141" s="44"/>
      <c r="I141" s="215"/>
      <c r="J141" s="44">
        <f>+J140/2</f>
        <v>0.67500000000000004</v>
      </c>
    </row>
    <row r="142" spans="1:10" s="45" customFormat="1">
      <c r="A142" s="586"/>
      <c r="B142" s="1552"/>
      <c r="C142" s="1365" t="s">
        <v>1662</v>
      </c>
      <c r="D142" s="1366" t="s">
        <v>22</v>
      </c>
      <c r="E142" s="1377">
        <v>4</v>
      </c>
      <c r="F142" s="1282">
        <v>11168248</v>
      </c>
      <c r="G142" s="1553">
        <f t="shared" si="11"/>
        <v>44672992</v>
      </c>
      <c r="H142" s="44"/>
      <c r="I142" s="215"/>
      <c r="J142" s="44"/>
    </row>
    <row r="143" spans="1:10" s="45" customFormat="1">
      <c r="A143" s="586"/>
      <c r="B143" s="1552"/>
      <c r="C143" s="1365" t="s">
        <v>1663</v>
      </c>
      <c r="D143" s="1366" t="s">
        <v>22</v>
      </c>
      <c r="E143" s="1377">
        <v>1</v>
      </c>
      <c r="F143" s="1282">
        <v>8803704</v>
      </c>
      <c r="G143" s="1553">
        <f t="shared" si="11"/>
        <v>8803704</v>
      </c>
      <c r="H143" s="44"/>
      <c r="I143" s="215"/>
      <c r="J143" s="44"/>
    </row>
    <row r="144" spans="1:10" s="45" customFormat="1">
      <c r="A144" s="586"/>
      <c r="B144" s="1556"/>
      <c r="C144" s="1297" t="s">
        <v>925</v>
      </c>
      <c r="D144" s="1368" t="s">
        <v>22</v>
      </c>
      <c r="E144" s="1376">
        <v>4</v>
      </c>
      <c r="F144" s="1303">
        <v>536430</v>
      </c>
      <c r="G144" s="1553">
        <f t="shared" si="11"/>
        <v>2145720</v>
      </c>
      <c r="H144" s="44"/>
      <c r="I144" s="1023"/>
      <c r="J144" s="44"/>
    </row>
    <row r="145" spans="1:10" s="45" customFormat="1">
      <c r="A145" s="586"/>
      <c r="B145" s="1557"/>
      <c r="C145" s="1379" t="s">
        <v>1570</v>
      </c>
      <c r="D145" s="1380" t="s">
        <v>22</v>
      </c>
      <c r="E145" s="1377">
        <v>1</v>
      </c>
      <c r="F145" s="1381">
        <v>823368</v>
      </c>
      <c r="G145" s="1553">
        <f t="shared" si="11"/>
        <v>823368</v>
      </c>
      <c r="H145" s="44"/>
      <c r="I145" s="1456"/>
      <c r="J145" s="44"/>
    </row>
    <row r="146" spans="1:10" s="45" customFormat="1">
      <c r="A146" s="586"/>
      <c r="B146" s="1557"/>
      <c r="C146" s="1379" t="s">
        <v>1573</v>
      </c>
      <c r="D146" s="1380" t="s">
        <v>512</v>
      </c>
      <c r="E146" s="1377">
        <v>12</v>
      </c>
      <c r="F146" s="1381">
        <v>1936272</v>
      </c>
      <c r="G146" s="1553">
        <f t="shared" si="11"/>
        <v>23235264</v>
      </c>
      <c r="H146" s="44"/>
      <c r="I146" s="1456"/>
      <c r="J146" s="44"/>
    </row>
    <row r="147" spans="1:10" s="45" customFormat="1">
      <c r="A147" s="586"/>
      <c r="B147" s="1557"/>
      <c r="C147" s="1379" t="s">
        <v>1569</v>
      </c>
      <c r="D147" s="1380" t="s">
        <v>512</v>
      </c>
      <c r="E147" s="1377">
        <v>1</v>
      </c>
      <c r="F147" s="1381">
        <v>2352480</v>
      </c>
      <c r="G147" s="1553">
        <f t="shared" si="11"/>
        <v>2352480</v>
      </c>
      <c r="H147" s="44"/>
      <c r="I147" s="1456"/>
      <c r="J147" s="44"/>
    </row>
    <row r="148" spans="1:10" s="45" customFormat="1">
      <c r="A148" s="586"/>
      <c r="B148" s="1557"/>
      <c r="C148" s="1379" t="s">
        <v>1572</v>
      </c>
      <c r="D148" s="1382" t="s">
        <v>22</v>
      </c>
      <c r="E148" s="1377">
        <v>4</v>
      </c>
      <c r="F148" s="1381">
        <v>370968</v>
      </c>
      <c r="G148" s="1553">
        <f t="shared" si="11"/>
        <v>1483872</v>
      </c>
      <c r="H148" s="44"/>
      <c r="I148" s="1456"/>
      <c r="J148" s="44"/>
    </row>
    <row r="149" spans="1:10" s="45" customFormat="1" ht="25.5">
      <c r="A149" s="586"/>
      <c r="B149" s="1557"/>
      <c r="C149" s="1365" t="s">
        <v>1018</v>
      </c>
      <c r="D149" s="1366" t="s">
        <v>22</v>
      </c>
      <c r="E149" s="1377">
        <v>30</v>
      </c>
      <c r="F149" s="1303">
        <v>30550</v>
      </c>
      <c r="G149" s="1553">
        <f t="shared" si="11"/>
        <v>916500</v>
      </c>
      <c r="H149" s="44"/>
      <c r="I149" s="44"/>
      <c r="J149" s="44"/>
    </row>
    <row r="150" spans="1:10" s="45" customFormat="1">
      <c r="A150" s="586"/>
      <c r="B150" s="1557"/>
      <c r="C150" s="1365" t="s">
        <v>522</v>
      </c>
      <c r="D150" s="1366" t="s">
        <v>142</v>
      </c>
      <c r="E150" s="1282">
        <f>+'[4]Cantidad de obra Quitapereza'!$J$313</f>
        <v>17146.432000000001</v>
      </c>
      <c r="F150" s="1282">
        <v>3250</v>
      </c>
      <c r="G150" s="1553">
        <f t="shared" si="11"/>
        <v>55725904</v>
      </c>
      <c r="H150" s="44"/>
      <c r="I150" s="44"/>
      <c r="J150" s="44"/>
    </row>
    <row r="151" spans="1:10" s="45" customFormat="1">
      <c r="A151" s="586"/>
      <c r="B151" s="1557"/>
      <c r="C151" s="1365" t="s">
        <v>509</v>
      </c>
      <c r="D151" s="1346" t="s">
        <v>56</v>
      </c>
      <c r="E151" s="1377">
        <v>45</v>
      </c>
      <c r="F151" s="1282">
        <v>150170</v>
      </c>
      <c r="G151" s="1553">
        <f t="shared" si="11"/>
        <v>6757650</v>
      </c>
      <c r="H151" s="44"/>
      <c r="I151" s="44"/>
      <c r="J151" s="44"/>
    </row>
    <row r="152" spans="1:10" s="45" customFormat="1">
      <c r="A152" s="586"/>
      <c r="B152" s="1557"/>
      <c r="C152" s="1365" t="s">
        <v>508</v>
      </c>
      <c r="D152" s="1346" t="s">
        <v>500</v>
      </c>
      <c r="E152" s="1467">
        <f>+'[4]Cantidad de obra Quitapereza'!$J$289</f>
        <v>94.5</v>
      </c>
      <c r="F152" s="1282">
        <v>18670</v>
      </c>
      <c r="G152" s="1553">
        <f t="shared" si="11"/>
        <v>1764315</v>
      </c>
      <c r="H152" s="44"/>
      <c r="I152" s="44"/>
      <c r="J152" s="44"/>
    </row>
    <row r="153" spans="1:10" s="45" customFormat="1" ht="85.5" customHeight="1">
      <c r="A153" s="586"/>
      <c r="B153" s="1557"/>
      <c r="C153" s="1421" t="s">
        <v>1481</v>
      </c>
      <c r="D153" s="1384" t="s">
        <v>22</v>
      </c>
      <c r="E153" s="1385">
        <f>8*4</f>
        <v>32</v>
      </c>
      <c r="F153" s="1386">
        <v>298652</v>
      </c>
      <c r="G153" s="1558">
        <f t="shared" si="11"/>
        <v>9556864</v>
      </c>
      <c r="H153" s="44"/>
      <c r="I153" s="44"/>
      <c r="J153" s="44"/>
    </row>
    <row r="154" spans="1:10" s="45" customFormat="1" ht="25.5">
      <c r="A154" s="586"/>
      <c r="B154" s="1557"/>
      <c r="C154" s="1365" t="s">
        <v>930</v>
      </c>
      <c r="D154" s="1366" t="s">
        <v>139</v>
      </c>
      <c r="E154" s="1467">
        <f>+'[4]Cantidad de obra Quitapereza'!$J$331</f>
        <v>10.670399999999999</v>
      </c>
      <c r="F154" s="1303">
        <v>572686</v>
      </c>
      <c r="G154" s="1553">
        <f t="shared" si="11"/>
        <v>6110788.6943999995</v>
      </c>
      <c r="H154" s="44"/>
      <c r="I154" s="44"/>
      <c r="J154" s="44"/>
    </row>
    <row r="155" spans="1:10" s="45" customFormat="1" ht="25.5">
      <c r="A155" s="586"/>
      <c r="B155" s="1557"/>
      <c r="C155" s="1365" t="s">
        <v>931</v>
      </c>
      <c r="D155" s="1346" t="s">
        <v>139</v>
      </c>
      <c r="E155" s="1467">
        <f>+'[4]Cantidad de obra Quitapereza'!$J$332</f>
        <v>7.1135999999999999</v>
      </c>
      <c r="F155" s="1303">
        <f>105259*1.06</f>
        <v>111574.54000000001</v>
      </c>
      <c r="G155" s="1553">
        <f t="shared" si="11"/>
        <v>793696.64774400007</v>
      </c>
      <c r="H155" s="44"/>
      <c r="I155" s="44"/>
      <c r="J155" s="44"/>
    </row>
    <row r="156" spans="1:10" s="45" customFormat="1">
      <c r="A156" s="586"/>
      <c r="B156" s="1557"/>
      <c r="C156" s="1365" t="s">
        <v>932</v>
      </c>
      <c r="D156" s="1346" t="s">
        <v>139</v>
      </c>
      <c r="E156" s="1467">
        <f>+'[4]Cantidad de obra Quitapereza'!$J$333</f>
        <v>10.196160000000001</v>
      </c>
      <c r="F156" s="1387">
        <v>95240</v>
      </c>
      <c r="G156" s="1553">
        <f t="shared" si="11"/>
        <v>971082.27840000007</v>
      </c>
      <c r="H156" s="44"/>
      <c r="I156" s="1457"/>
      <c r="J156" s="44"/>
    </row>
    <row r="157" spans="1:10" s="45" customFormat="1">
      <c r="A157" s="138">
        <v>200314</v>
      </c>
      <c r="B157" s="771"/>
      <c r="C157" s="102"/>
      <c r="D157" s="777"/>
      <c r="E157" s="780"/>
      <c r="F157" s="776"/>
      <c r="G157" s="774"/>
      <c r="H157" s="44"/>
      <c r="I157" s="44"/>
      <c r="J157" s="44"/>
    </row>
    <row r="158" spans="1:10" s="45" customFormat="1" ht="15.75" thickBot="1">
      <c r="A158" s="143">
        <v>140404</v>
      </c>
      <c r="B158" s="1551"/>
      <c r="C158" s="114"/>
      <c r="D158" s="115"/>
      <c r="E158" s="116"/>
      <c r="F158" s="117" t="s">
        <v>987</v>
      </c>
      <c r="G158" s="1152">
        <f>SUM(G138:G157)</f>
        <v>250301316.62054402</v>
      </c>
      <c r="H158" s="44"/>
      <c r="I158" s="44"/>
      <c r="J158" s="44"/>
    </row>
    <row r="159" spans="1:10" s="45" customFormat="1">
      <c r="A159" s="105"/>
      <c r="B159" s="592"/>
      <c r="C159" s="593"/>
      <c r="D159" s="999"/>
      <c r="E159" s="1000"/>
      <c r="F159" s="575"/>
      <c r="G159" s="795"/>
      <c r="H159" s="44"/>
      <c r="I159" s="44"/>
      <c r="J159" s="44">
        <f>+I159*60970</f>
        <v>0</v>
      </c>
    </row>
    <row r="160" spans="1:10" s="45" customFormat="1" ht="23.1" customHeight="1" thickBot="1">
      <c r="A160" s="124"/>
      <c r="B160" s="876"/>
      <c r="C160" s="871"/>
      <c r="D160" s="873"/>
      <c r="E160" s="874"/>
      <c r="F160" s="1531" t="s">
        <v>972</v>
      </c>
      <c r="G160" s="1504">
        <f>+G158+G136</f>
        <v>354843813.59654403</v>
      </c>
      <c r="H160" s="44"/>
      <c r="I160" s="44"/>
      <c r="J160" s="44"/>
    </row>
    <row r="161" spans="1:10" s="45" customFormat="1" ht="15" hidden="1" customHeight="1">
      <c r="A161" s="84" t="s">
        <v>40</v>
      </c>
      <c r="B161" s="74"/>
      <c r="C161" s="75" t="s">
        <v>477</v>
      </c>
      <c r="D161" s="811"/>
      <c r="E161" s="812"/>
      <c r="F161" s="813"/>
      <c r="G161" s="814"/>
      <c r="H161" s="44"/>
      <c r="I161" s="44"/>
      <c r="J161" s="44"/>
    </row>
    <row r="162" spans="1:10" s="45" customFormat="1" ht="15.75" thickBot="1">
      <c r="A162" s="127">
        <v>301305</v>
      </c>
      <c r="B162" s="85"/>
      <c r="C162" s="86"/>
      <c r="D162" s="1535"/>
      <c r="E162" s="1536"/>
      <c r="F162" s="1537"/>
      <c r="G162" s="818"/>
      <c r="H162" s="44"/>
      <c r="I162" s="44"/>
      <c r="J162" s="44"/>
    </row>
    <row r="163" spans="1:10" s="45" customFormat="1">
      <c r="A163" s="584"/>
      <c r="B163" s="74">
        <v>6</v>
      </c>
      <c r="C163" s="75" t="s">
        <v>534</v>
      </c>
      <c r="D163" s="76"/>
      <c r="E163" s="76"/>
      <c r="F163" s="76"/>
      <c r="G163" s="126"/>
      <c r="H163" s="44"/>
      <c r="I163" s="44"/>
      <c r="J163" s="44"/>
    </row>
    <row r="164" spans="1:10" s="45" customFormat="1">
      <c r="A164" s="584"/>
      <c r="B164" s="1370"/>
      <c r="C164" s="1388" t="s">
        <v>947</v>
      </c>
      <c r="D164" s="1372"/>
      <c r="E164" s="1373"/>
      <c r="F164" s="1374"/>
      <c r="G164" s="1375"/>
      <c r="H164" s="44"/>
      <c r="I164" s="44"/>
      <c r="J164" s="44"/>
    </row>
    <row r="165" spans="1:10" s="45" customFormat="1">
      <c r="A165" s="584"/>
      <c r="B165" s="1554"/>
      <c r="C165" s="1297" t="s">
        <v>943</v>
      </c>
      <c r="D165" s="1389" t="s">
        <v>139</v>
      </c>
      <c r="E165" s="1469">
        <f>+'[4]Cantidad de obra Quitapereza'!$J$343</f>
        <v>414.37830000000014</v>
      </c>
      <c r="F165" s="1282">
        <v>2640</v>
      </c>
      <c r="G165" s="1555">
        <f>+F165*E165</f>
        <v>1093958.7120000003</v>
      </c>
      <c r="H165" s="44"/>
      <c r="I165" s="44"/>
      <c r="J165" s="44"/>
    </row>
    <row r="166" spans="1:10" s="45" customFormat="1">
      <c r="A166" s="584"/>
      <c r="B166" s="1554"/>
      <c r="C166" s="1297" t="s">
        <v>1101</v>
      </c>
      <c r="D166" s="1389" t="s">
        <v>139</v>
      </c>
      <c r="E166" s="1469">
        <f>+'[4]Cantidad de obra Quitapereza'!$J$347</f>
        <v>268</v>
      </c>
      <c r="F166" s="1303">
        <v>5190</v>
      </c>
      <c r="G166" s="1555">
        <f t="shared" ref="G166:G171" si="12">+F166*E166</f>
        <v>1390920</v>
      </c>
      <c r="H166" s="44"/>
      <c r="I166" s="44"/>
      <c r="J166" s="44"/>
    </row>
    <row r="167" spans="1:10" s="45" customFormat="1">
      <c r="A167" s="584"/>
      <c r="B167" s="1554"/>
      <c r="C167" s="1297" t="s">
        <v>941</v>
      </c>
      <c r="D167" s="1368" t="s">
        <v>139</v>
      </c>
      <c r="E167" s="1469">
        <f>+'[4]Cantidad de obra Quitapereza'!$J$352</f>
        <v>145.69300000000001</v>
      </c>
      <c r="F167" s="1303">
        <v>10530</v>
      </c>
      <c r="G167" s="1555">
        <f t="shared" si="12"/>
        <v>1534147.29</v>
      </c>
      <c r="H167" s="44"/>
      <c r="I167" s="44"/>
      <c r="J167" s="44"/>
    </row>
    <row r="168" spans="1:10" s="45" customFormat="1">
      <c r="A168" s="584"/>
      <c r="B168" s="1554"/>
      <c r="C168" s="1297" t="s">
        <v>497</v>
      </c>
      <c r="D168" s="1368" t="s">
        <v>56</v>
      </c>
      <c r="E168" s="1469">
        <f>+'[4]Cantidad de obra Quitapereza'!$J$416</f>
        <v>56.994999999999997</v>
      </c>
      <c r="F168" s="1303">
        <f>+F54</f>
        <v>17220</v>
      </c>
      <c r="G168" s="1555">
        <f t="shared" si="12"/>
        <v>981453.89999999991</v>
      </c>
      <c r="H168" s="44"/>
      <c r="I168" s="44"/>
      <c r="J168" s="44"/>
    </row>
    <row r="169" spans="1:10" s="45" customFormat="1">
      <c r="A169" s="584"/>
      <c r="B169" s="1554"/>
      <c r="C169" s="782" t="s">
        <v>1598</v>
      </c>
      <c r="D169" s="772" t="s">
        <v>139</v>
      </c>
      <c r="E169" s="1465">
        <f>+'[4]Cantidad de obra Quitapereza'!$J$361</f>
        <v>18.2</v>
      </c>
      <c r="F169" s="587">
        <v>630777</v>
      </c>
      <c r="G169" s="1555">
        <f t="shared" si="12"/>
        <v>11480141.4</v>
      </c>
      <c r="H169" s="44"/>
      <c r="I169" s="44"/>
      <c r="J169" s="44"/>
    </row>
    <row r="170" spans="1:10" s="45" customFormat="1">
      <c r="A170" s="584"/>
      <c r="B170" s="1554"/>
      <c r="C170" s="102" t="s">
        <v>976</v>
      </c>
      <c r="D170" s="772" t="s">
        <v>139</v>
      </c>
      <c r="E170" s="1465">
        <f>+'[4]Cantidad de obra Quitapereza'!$J$379</f>
        <v>49.5</v>
      </c>
      <c r="F170" s="587">
        <v>650208</v>
      </c>
      <c r="G170" s="1555">
        <f t="shared" si="12"/>
        <v>32185296</v>
      </c>
      <c r="H170" s="44"/>
      <c r="I170" s="44"/>
      <c r="J170" s="44"/>
    </row>
    <row r="171" spans="1:10" s="45" customFormat="1">
      <c r="A171" s="584"/>
      <c r="B171" s="1554"/>
      <c r="C171" s="102" t="s">
        <v>1599</v>
      </c>
      <c r="D171" s="772" t="s">
        <v>139</v>
      </c>
      <c r="E171" s="1465">
        <f>+'[4]Cantidad de obra Quitapereza'!$J$367</f>
        <v>8.3000000000000007</v>
      </c>
      <c r="F171" s="587">
        <v>630777</v>
      </c>
      <c r="G171" s="1555">
        <f t="shared" si="12"/>
        <v>5235449.1000000006</v>
      </c>
      <c r="H171" s="44"/>
      <c r="I171" s="44"/>
      <c r="J171" s="44"/>
    </row>
    <row r="172" spans="1:10" s="45" customFormat="1">
      <c r="A172" s="584"/>
      <c r="B172" s="771"/>
      <c r="C172" s="102"/>
      <c r="D172" s="777"/>
      <c r="E172" s="780"/>
      <c r="F172" s="776"/>
      <c r="G172" s="774"/>
      <c r="H172" s="44"/>
      <c r="I172" s="44"/>
      <c r="J172" s="44"/>
    </row>
    <row r="173" spans="1:10" s="45" customFormat="1" ht="15.75" thickBot="1">
      <c r="A173" s="584"/>
      <c r="B173" s="1551"/>
      <c r="C173" s="114"/>
      <c r="D173" s="115"/>
      <c r="E173" s="116"/>
      <c r="F173" s="117" t="s">
        <v>969</v>
      </c>
      <c r="G173" s="137">
        <f>SUM(G165:G172)</f>
        <v>53901366.402000003</v>
      </c>
      <c r="H173" s="44"/>
      <c r="I173" s="44"/>
      <c r="J173" s="44"/>
    </row>
    <row r="174" spans="1:10" s="45" customFormat="1">
      <c r="A174" s="584"/>
      <c r="B174" s="771"/>
      <c r="C174" s="102"/>
      <c r="D174" s="777"/>
      <c r="E174" s="780"/>
      <c r="F174" s="776"/>
      <c r="G174" s="795"/>
      <c r="H174" s="44"/>
      <c r="I174" s="44"/>
      <c r="J174" s="44"/>
    </row>
    <row r="175" spans="1:10" s="45" customFormat="1">
      <c r="A175" s="586"/>
      <c r="B175" s="1361"/>
      <c r="C175" s="1255" t="s">
        <v>948</v>
      </c>
      <c r="D175" s="1256"/>
      <c r="E175" s="1363"/>
      <c r="F175" s="1340"/>
      <c r="G175" s="1300"/>
      <c r="H175" s="44"/>
      <c r="I175" s="44"/>
      <c r="J175" s="44"/>
    </row>
    <row r="176" spans="1:10" s="45" customFormat="1">
      <c r="A176" s="584"/>
      <c r="B176" s="1559"/>
      <c r="C176" s="1297" t="s">
        <v>522</v>
      </c>
      <c r="D176" s="1368" t="s">
        <v>142</v>
      </c>
      <c r="E176" s="1469">
        <f>+'[4]Cantidad de obra Quitapereza'!$J$411</f>
        <v>6259.5240000000003</v>
      </c>
      <c r="F176" s="1303">
        <v>3250</v>
      </c>
      <c r="G176" s="1555">
        <f t="shared" ref="G176:G187" si="13">+E176*F176</f>
        <v>20343453</v>
      </c>
      <c r="H176" s="44"/>
      <c r="I176" s="44"/>
      <c r="J176" s="44"/>
    </row>
    <row r="177" spans="1:10" s="45" customFormat="1">
      <c r="A177" s="584"/>
      <c r="B177" s="1559"/>
      <c r="C177" s="1297" t="s">
        <v>508</v>
      </c>
      <c r="D177" s="1368" t="s">
        <v>500</v>
      </c>
      <c r="E177" s="1468">
        <f>+'[4]Cantidad de obra Quitapereza'!$J$383</f>
        <v>45.5</v>
      </c>
      <c r="F177" s="1303">
        <v>18670</v>
      </c>
      <c r="G177" s="1555">
        <f t="shared" si="13"/>
        <v>849485</v>
      </c>
      <c r="H177" s="44"/>
      <c r="I177" s="44"/>
      <c r="J177" s="44"/>
    </row>
    <row r="178" spans="1:10" s="45" customFormat="1">
      <c r="A178" s="584"/>
      <c r="B178" s="1559"/>
      <c r="C178" s="1297" t="s">
        <v>904</v>
      </c>
      <c r="D178" s="1368" t="s">
        <v>22</v>
      </c>
      <c r="E178" s="1297">
        <v>8</v>
      </c>
      <c r="F178" s="1303">
        <v>10670</v>
      </c>
      <c r="G178" s="1555">
        <f t="shared" si="13"/>
        <v>85360</v>
      </c>
      <c r="H178" s="44"/>
      <c r="I178" s="44"/>
      <c r="J178" s="44"/>
    </row>
    <row r="179" spans="1:10" s="45" customFormat="1">
      <c r="A179" s="584"/>
      <c r="B179" s="1559"/>
      <c r="C179" s="1297" t="s">
        <v>996</v>
      </c>
      <c r="D179" s="1368" t="s">
        <v>540</v>
      </c>
      <c r="E179" s="1297">
        <v>2</v>
      </c>
      <c r="F179" s="1303">
        <v>21516</v>
      </c>
      <c r="G179" s="1555">
        <f t="shared" si="13"/>
        <v>43032</v>
      </c>
      <c r="H179" s="44"/>
      <c r="I179" s="44"/>
      <c r="J179" s="44"/>
    </row>
    <row r="180" spans="1:10" s="45" customFormat="1">
      <c r="A180" s="584"/>
      <c r="B180" s="1559"/>
      <c r="C180" s="1297" t="s">
        <v>895</v>
      </c>
      <c r="D180" s="1368" t="s">
        <v>22</v>
      </c>
      <c r="E180" s="1297">
        <v>4</v>
      </c>
      <c r="F180" s="1303">
        <v>10810</v>
      </c>
      <c r="G180" s="1555">
        <f t="shared" si="13"/>
        <v>43240</v>
      </c>
      <c r="H180" s="44"/>
      <c r="I180" s="44"/>
      <c r="J180" s="44"/>
    </row>
    <row r="181" spans="1:10" s="45" customFormat="1">
      <c r="A181" s="584"/>
      <c r="B181" s="1559"/>
      <c r="C181" s="1297" t="s">
        <v>1026</v>
      </c>
      <c r="D181" s="1368" t="s">
        <v>22</v>
      </c>
      <c r="E181" s="1297">
        <v>2</v>
      </c>
      <c r="F181" s="1303">
        <v>1621796</v>
      </c>
      <c r="G181" s="1555">
        <f t="shared" si="13"/>
        <v>3243592</v>
      </c>
      <c r="H181" s="44"/>
      <c r="I181" s="44"/>
      <c r="J181" s="44"/>
    </row>
    <row r="182" spans="1:10" s="45" customFormat="1" ht="25.5">
      <c r="A182" s="584"/>
      <c r="B182" s="1559"/>
      <c r="C182" s="1297" t="s">
        <v>1027</v>
      </c>
      <c r="D182" s="1368" t="s">
        <v>22</v>
      </c>
      <c r="E182" s="1297">
        <v>1</v>
      </c>
      <c r="F182" s="1303">
        <v>913848</v>
      </c>
      <c r="G182" s="1555">
        <f t="shared" si="13"/>
        <v>913848</v>
      </c>
      <c r="H182" s="44"/>
      <c r="I182" s="44"/>
      <c r="J182" s="44"/>
    </row>
    <row r="183" spans="1:10" s="45" customFormat="1">
      <c r="A183" s="584"/>
      <c r="B183" s="1559"/>
      <c r="C183" s="1297" t="s">
        <v>1409</v>
      </c>
      <c r="D183" s="1368" t="s">
        <v>540</v>
      </c>
      <c r="E183" s="1297">
        <v>24</v>
      </c>
      <c r="F183" s="1303">
        <v>48740</v>
      </c>
      <c r="G183" s="1555">
        <f t="shared" si="13"/>
        <v>1169760</v>
      </c>
      <c r="H183" s="44"/>
      <c r="I183" s="44"/>
      <c r="J183" s="44"/>
    </row>
    <row r="184" spans="1:10" s="45" customFormat="1">
      <c r="A184" s="584"/>
      <c r="B184" s="1559"/>
      <c r="C184" s="1297" t="s">
        <v>1410</v>
      </c>
      <c r="D184" s="1368" t="s">
        <v>540</v>
      </c>
      <c r="E184" s="1297">
        <v>7</v>
      </c>
      <c r="F184" s="1303">
        <v>69240</v>
      </c>
      <c r="G184" s="1555">
        <f t="shared" si="13"/>
        <v>484680</v>
      </c>
      <c r="H184" s="44"/>
      <c r="I184" s="44"/>
      <c r="J184" s="44"/>
    </row>
    <row r="185" spans="1:10" s="45" customFormat="1">
      <c r="A185" s="584"/>
      <c r="B185" s="1559"/>
      <c r="C185" s="1297" t="s">
        <v>1007</v>
      </c>
      <c r="D185" s="1368" t="s">
        <v>512</v>
      </c>
      <c r="E185" s="1297">
        <v>1</v>
      </c>
      <c r="F185" s="1390">
        <v>628300</v>
      </c>
      <c r="G185" s="1555">
        <f t="shared" si="13"/>
        <v>628300</v>
      </c>
      <c r="H185" s="44"/>
      <c r="I185" s="44"/>
      <c r="J185" s="44"/>
    </row>
    <row r="186" spans="1:10" s="45" customFormat="1">
      <c r="A186" s="584"/>
      <c r="B186" s="1559"/>
      <c r="C186" s="1297" t="s">
        <v>1021</v>
      </c>
      <c r="D186" s="1368" t="s">
        <v>22</v>
      </c>
      <c r="E186" s="1297">
        <v>4</v>
      </c>
      <c r="F186" s="1390">
        <v>523120</v>
      </c>
      <c r="G186" s="1555">
        <f t="shared" si="13"/>
        <v>2092480</v>
      </c>
      <c r="H186" s="1542"/>
      <c r="I186" s="44"/>
      <c r="J186" s="44"/>
    </row>
    <row r="187" spans="1:10" s="45" customFormat="1">
      <c r="A187" s="584"/>
      <c r="B187" s="1559"/>
      <c r="C187" s="1297" t="s">
        <v>1697</v>
      </c>
      <c r="D187" s="1368" t="s">
        <v>22</v>
      </c>
      <c r="E187" s="1297">
        <v>1</v>
      </c>
      <c r="F187" s="1390">
        <v>562800</v>
      </c>
      <c r="G187" s="1555">
        <f t="shared" si="13"/>
        <v>562800</v>
      </c>
      <c r="H187" s="1542"/>
      <c r="I187" s="44"/>
      <c r="J187" s="44"/>
    </row>
    <row r="188" spans="1:10" s="45" customFormat="1">
      <c r="A188" s="138">
        <v>200314</v>
      </c>
      <c r="B188" s="779"/>
      <c r="C188" s="1297" t="s">
        <v>1518</v>
      </c>
      <c r="D188" s="1368" t="s">
        <v>22</v>
      </c>
      <c r="E188" s="1297">
        <v>1</v>
      </c>
      <c r="F188" s="1390">
        <v>608400</v>
      </c>
      <c r="G188" s="1555">
        <f t="shared" ref="G188" si="14">+E188*F188</f>
        <v>608400</v>
      </c>
      <c r="H188" s="44"/>
      <c r="I188" s="44"/>
      <c r="J188" s="44"/>
    </row>
    <row r="189" spans="1:10" s="45" customFormat="1" ht="15.75" thickBot="1">
      <c r="A189" s="143">
        <v>140404</v>
      </c>
      <c r="B189" s="1338"/>
      <c r="C189" s="871"/>
      <c r="D189" s="873"/>
      <c r="E189" s="874"/>
      <c r="F189" s="1531" t="s">
        <v>973</v>
      </c>
      <c r="G189" s="1004">
        <f>SUM(G176:G188)</f>
        <v>31068430</v>
      </c>
      <c r="H189" s="44"/>
      <c r="I189" s="44"/>
      <c r="J189" s="44"/>
    </row>
    <row r="190" spans="1:10" s="45" customFormat="1" ht="15.75" thickBot="1">
      <c r="A190" s="584"/>
      <c r="B190" s="876"/>
      <c r="C190" s="871"/>
      <c r="D190" s="873"/>
      <c r="E190" s="874"/>
      <c r="F190" s="1531" t="s">
        <v>1519</v>
      </c>
      <c r="G190" s="1504">
        <f>+G189+G173</f>
        <v>84969796.40200001</v>
      </c>
      <c r="H190" s="44"/>
      <c r="I190" s="44"/>
      <c r="J190" s="44"/>
    </row>
    <row r="191" spans="1:10" s="45" customFormat="1" ht="15.75" thickBot="1">
      <c r="A191" s="584"/>
      <c r="B191" s="771"/>
      <c r="C191" s="102"/>
      <c r="D191" s="777"/>
      <c r="E191" s="780"/>
      <c r="F191" s="776"/>
      <c r="G191" s="774"/>
      <c r="H191" s="44"/>
      <c r="I191" s="44"/>
      <c r="J191" s="44"/>
    </row>
    <row r="192" spans="1:10" s="45" customFormat="1" ht="15.75" hidden="1" customHeight="1" thickBot="1">
      <c r="A192" s="84" t="s">
        <v>40</v>
      </c>
      <c r="B192" s="74"/>
      <c r="C192" s="75" t="s">
        <v>478</v>
      </c>
      <c r="D192" s="87"/>
      <c r="E192" s="88"/>
      <c r="F192" s="89"/>
      <c r="G192" s="90"/>
      <c r="H192" s="44"/>
      <c r="I192" s="44"/>
      <c r="J192" s="44"/>
    </row>
    <row r="193" spans="1:10" s="45" customFormat="1">
      <c r="A193" s="586"/>
      <c r="B193" s="74">
        <v>7</v>
      </c>
      <c r="C193" s="75" t="s">
        <v>478</v>
      </c>
      <c r="D193" s="76"/>
      <c r="E193" s="76"/>
      <c r="F193" s="76"/>
      <c r="G193" s="126"/>
      <c r="H193" s="44"/>
      <c r="I193" s="44"/>
      <c r="J193" s="44"/>
    </row>
    <row r="194" spans="1:10" s="45" customFormat="1">
      <c r="A194" s="586"/>
      <c r="B194" s="1361"/>
      <c r="C194" s="1362" t="s">
        <v>947</v>
      </c>
      <c r="D194" s="1256"/>
      <c r="E194" s="1363"/>
      <c r="F194" s="1340"/>
      <c r="G194" s="1300"/>
      <c r="H194" s="44"/>
      <c r="I194" s="44"/>
      <c r="J194" s="44"/>
    </row>
    <row r="195" spans="1:10" s="45" customFormat="1">
      <c r="A195" s="586"/>
      <c r="B195" s="1554"/>
      <c r="C195" s="1297" t="s">
        <v>943</v>
      </c>
      <c r="D195" s="1389" t="s">
        <v>139</v>
      </c>
      <c r="E195" s="1303">
        <v>1943</v>
      </c>
      <c r="F195" s="1303">
        <f>+F51</f>
        <v>2640</v>
      </c>
      <c r="G195" s="1553">
        <f t="shared" ref="G195:G207" si="15">+E195*F195</f>
        <v>5129520</v>
      </c>
      <c r="H195" s="44"/>
      <c r="I195" s="44"/>
      <c r="J195" s="44"/>
    </row>
    <row r="196" spans="1:10" s="45" customFormat="1">
      <c r="A196" s="586"/>
      <c r="B196" s="1554"/>
      <c r="C196" s="1297" t="s">
        <v>1101</v>
      </c>
      <c r="D196" s="1389" t="s">
        <v>139</v>
      </c>
      <c r="E196" s="1303">
        <f>+E195</f>
        <v>1943</v>
      </c>
      <c r="F196" s="1303">
        <f>+F52</f>
        <v>5190</v>
      </c>
      <c r="G196" s="1553">
        <f t="shared" si="15"/>
        <v>10084170</v>
      </c>
      <c r="H196" s="44"/>
      <c r="I196" s="44"/>
      <c r="J196" s="44"/>
    </row>
    <row r="197" spans="1:10" s="45" customFormat="1">
      <c r="A197" s="586"/>
      <c r="B197" s="1554"/>
      <c r="C197" s="1297" t="s">
        <v>941</v>
      </c>
      <c r="D197" s="1368" t="s">
        <v>139</v>
      </c>
      <c r="E197" s="1469">
        <v>20</v>
      </c>
      <c r="F197" s="1303">
        <f>+F53</f>
        <v>10530</v>
      </c>
      <c r="G197" s="1553">
        <f t="shared" si="15"/>
        <v>210600</v>
      </c>
      <c r="H197" s="44"/>
      <c r="I197" s="44"/>
      <c r="J197" s="44"/>
    </row>
    <row r="198" spans="1:10" s="45" customFormat="1">
      <c r="A198" s="586"/>
      <c r="B198" s="1554"/>
      <c r="C198" s="1297" t="s">
        <v>497</v>
      </c>
      <c r="D198" s="1368" t="s">
        <v>56</v>
      </c>
      <c r="E198" s="1303">
        <f>+'[4]Cantidad de obra Quitapereza'!$J$456</f>
        <v>618.9</v>
      </c>
      <c r="F198" s="1303">
        <f>+F54</f>
        <v>17220</v>
      </c>
      <c r="G198" s="1553">
        <f t="shared" si="15"/>
        <v>10657458</v>
      </c>
      <c r="H198" s="44"/>
      <c r="I198" s="44"/>
      <c r="J198" s="44"/>
    </row>
    <row r="199" spans="1:10" s="45" customFormat="1" ht="25.5">
      <c r="A199" s="127">
        <v>290304</v>
      </c>
      <c r="B199" s="1554"/>
      <c r="C199" s="1297" t="s">
        <v>1600</v>
      </c>
      <c r="D199" s="1389" t="s">
        <v>139</v>
      </c>
      <c r="E199" s="1303">
        <f>+'[4]Cantidad de obra Quitapereza'!$J$462</f>
        <v>214.3</v>
      </c>
      <c r="F199" s="1303">
        <f>+F55</f>
        <v>630777</v>
      </c>
      <c r="G199" s="1553">
        <f t="shared" si="15"/>
        <v>135175511.09999999</v>
      </c>
      <c r="H199" s="44"/>
      <c r="I199" s="44"/>
      <c r="J199" s="44"/>
    </row>
    <row r="200" spans="1:10" s="45" customFormat="1">
      <c r="A200" s="584"/>
      <c r="B200" s="1554"/>
      <c r="C200" s="1297" t="s">
        <v>993</v>
      </c>
      <c r="D200" s="1389" t="s">
        <v>56</v>
      </c>
      <c r="E200" s="1303">
        <f>+'[4]Cantidad de obra Quitapereza'!$J$540</f>
        <v>922.12</v>
      </c>
      <c r="F200" s="1303">
        <v>30000</v>
      </c>
      <c r="G200" s="1553">
        <f t="shared" si="15"/>
        <v>27663600</v>
      </c>
      <c r="H200" s="44"/>
      <c r="I200" s="44"/>
      <c r="J200" s="44"/>
    </row>
    <row r="201" spans="1:10" s="45" customFormat="1">
      <c r="A201" s="143">
        <v>290430</v>
      </c>
      <c r="B201" s="1552"/>
      <c r="C201" s="1365" t="s">
        <v>976</v>
      </c>
      <c r="D201" s="1366" t="s">
        <v>139</v>
      </c>
      <c r="E201" s="1303">
        <f>+'[4]Cantidad de obra Quitapereza'!$J$542</f>
        <v>48.519999999999989</v>
      </c>
      <c r="F201" s="1392">
        <f>+F56</f>
        <v>650208</v>
      </c>
      <c r="G201" s="1553">
        <f t="shared" si="15"/>
        <v>31548092.159999993</v>
      </c>
      <c r="H201" s="44"/>
      <c r="I201" s="44"/>
      <c r="J201" s="44"/>
    </row>
    <row r="202" spans="1:10" s="45" customFormat="1">
      <c r="A202" s="584"/>
      <c r="B202" s="1552"/>
      <c r="C202" s="1365" t="s">
        <v>1601</v>
      </c>
      <c r="D202" s="1366" t="s">
        <v>139</v>
      </c>
      <c r="E202" s="1303">
        <f>+'[4]Cantidad de obra Quitapereza'!$J$468</f>
        <v>92.6</v>
      </c>
      <c r="F202" s="1392">
        <f>+F57</f>
        <v>630777</v>
      </c>
      <c r="G202" s="1553">
        <f t="shared" si="15"/>
        <v>58409950.199999996</v>
      </c>
      <c r="H202" s="44"/>
      <c r="I202" s="44"/>
      <c r="J202" s="44"/>
    </row>
    <row r="203" spans="1:10" s="45" customFormat="1">
      <c r="A203" s="584"/>
      <c r="B203" s="1552"/>
      <c r="C203" s="1365" t="s">
        <v>1603</v>
      </c>
      <c r="D203" s="1366" t="s">
        <v>139</v>
      </c>
      <c r="E203" s="1303">
        <f>+'[4]Cantidad de obra Quitapereza'!$J$478</f>
        <v>3.4</v>
      </c>
      <c r="F203" s="1392">
        <f>+F202</f>
        <v>630777</v>
      </c>
      <c r="G203" s="1553">
        <f t="shared" si="15"/>
        <v>2144641.7999999998</v>
      </c>
      <c r="H203" s="44"/>
      <c r="I203" s="44"/>
      <c r="J203" s="44"/>
    </row>
    <row r="204" spans="1:10" s="45" customFormat="1">
      <c r="A204" s="584"/>
      <c r="B204" s="1552"/>
      <c r="C204" s="1365" t="s">
        <v>1602</v>
      </c>
      <c r="D204" s="1366" t="s">
        <v>139</v>
      </c>
      <c r="E204" s="1303">
        <f>+'[4]Cantidad de obra Quitapereza'!$J$474</f>
        <v>28.1</v>
      </c>
      <c r="F204" s="1392">
        <f>+F203</f>
        <v>630777</v>
      </c>
      <c r="G204" s="1553">
        <f t="shared" si="15"/>
        <v>17724833.699999999</v>
      </c>
      <c r="H204" s="44"/>
      <c r="I204" s="44"/>
      <c r="J204" s="44"/>
    </row>
    <row r="205" spans="1:10" s="45" customFormat="1">
      <c r="A205" s="584"/>
      <c r="B205" s="1552"/>
      <c r="C205" s="1365" t="s">
        <v>985</v>
      </c>
      <c r="D205" s="1366" t="s">
        <v>22</v>
      </c>
      <c r="E205" s="1282">
        <v>2</v>
      </c>
      <c r="F205" s="1282">
        <v>1011100</v>
      </c>
      <c r="G205" s="1553">
        <f t="shared" si="15"/>
        <v>2022200</v>
      </c>
      <c r="H205" s="44"/>
      <c r="I205" s="44"/>
      <c r="J205" s="44"/>
    </row>
    <row r="206" spans="1:10" s="45" customFormat="1">
      <c r="A206" s="584"/>
      <c r="B206" s="1552"/>
      <c r="C206" s="1365" t="s">
        <v>986</v>
      </c>
      <c r="D206" s="1366" t="s">
        <v>22</v>
      </c>
      <c r="E206" s="1282">
        <v>2</v>
      </c>
      <c r="F206" s="1282">
        <v>2202372</v>
      </c>
      <c r="G206" s="1553">
        <f t="shared" si="15"/>
        <v>4404744</v>
      </c>
      <c r="H206" s="44"/>
      <c r="I206" s="44"/>
      <c r="J206" s="44"/>
    </row>
    <row r="207" spans="1:10" s="45" customFormat="1">
      <c r="A207" s="584"/>
      <c r="B207" s="1552"/>
      <c r="C207" s="1365" t="s">
        <v>994</v>
      </c>
      <c r="D207" s="1346" t="s">
        <v>22</v>
      </c>
      <c r="E207" s="1393">
        <v>2</v>
      </c>
      <c r="F207" s="1282">
        <v>118070</v>
      </c>
      <c r="G207" s="1553">
        <f t="shared" si="15"/>
        <v>236140</v>
      </c>
      <c r="H207" s="44"/>
      <c r="I207" s="44"/>
      <c r="J207" s="44"/>
    </row>
    <row r="208" spans="1:10" s="45" customFormat="1">
      <c r="A208" s="105"/>
      <c r="B208" s="101"/>
      <c r="C208" s="102"/>
      <c r="D208" s="772"/>
      <c r="E208" s="773"/>
      <c r="F208" s="587"/>
      <c r="G208" s="774"/>
      <c r="H208" s="44"/>
      <c r="I208" s="44"/>
      <c r="J208" s="44"/>
    </row>
    <row r="209" spans="1:10" s="45" customFormat="1" ht="15.75" thickBot="1">
      <c r="A209" s="112" t="s">
        <v>46</v>
      </c>
      <c r="B209" s="113"/>
      <c r="C209" s="114"/>
      <c r="D209" s="115"/>
      <c r="E209" s="116"/>
      <c r="F209" s="117" t="s">
        <v>479</v>
      </c>
      <c r="G209" s="118">
        <f>SUM(G195:G208)</f>
        <v>305411460.95999998</v>
      </c>
      <c r="H209" s="44"/>
      <c r="I209" s="44"/>
      <c r="J209" s="44"/>
    </row>
    <row r="210" spans="1:10" s="45" customFormat="1" ht="15" hidden="1" customHeight="1">
      <c r="A210" s="84" t="s">
        <v>40</v>
      </c>
      <c r="B210" s="987"/>
      <c r="C210" s="988"/>
      <c r="D210" s="989"/>
      <c r="E210" s="969"/>
      <c r="F210" s="879">
        <v>38550</v>
      </c>
      <c r="G210" s="774">
        <f t="shared" ref="G210" si="16">E210*F210</f>
        <v>0</v>
      </c>
      <c r="H210" s="44"/>
      <c r="I210" s="44"/>
      <c r="J210" s="44"/>
    </row>
    <row r="211" spans="1:10" s="45" customFormat="1">
      <c r="A211" s="586"/>
      <c r="B211" s="1370"/>
      <c r="C211" s="1371"/>
      <c r="D211" s="1394"/>
      <c r="E211" s="1373"/>
      <c r="F211" s="1374"/>
      <c r="G211" s="1300"/>
      <c r="H211" s="44"/>
      <c r="I211" s="44"/>
      <c r="J211" s="44"/>
    </row>
    <row r="212" spans="1:10" s="45" customFormat="1">
      <c r="A212" s="586"/>
      <c r="B212" s="1554"/>
      <c r="C212" s="1297" t="s">
        <v>522</v>
      </c>
      <c r="D212" s="1368" t="s">
        <v>142</v>
      </c>
      <c r="E212" s="1468">
        <f>+'[4]Cantidad de obra Quitapereza'!$J$526+'[4]Cantidad de obra Quitapereza'!$J$534</f>
        <v>54469.140500000001</v>
      </c>
      <c r="F212" s="1303">
        <v>3250</v>
      </c>
      <c r="G212" s="1553">
        <f t="shared" ref="G212:G235" si="17">+E212*F212</f>
        <v>177024706.625</v>
      </c>
      <c r="H212" s="44"/>
      <c r="I212" s="44"/>
      <c r="J212" s="44"/>
    </row>
    <row r="213" spans="1:10" s="45" customFormat="1">
      <c r="A213" s="586"/>
      <c r="B213" s="1554"/>
      <c r="C213" s="1297" t="s">
        <v>508</v>
      </c>
      <c r="D213" s="1368" t="s">
        <v>500</v>
      </c>
      <c r="E213" s="1468">
        <f>+'[4]Cantidad de obra Quitapereza'!$J$489</f>
        <v>123</v>
      </c>
      <c r="F213" s="1303">
        <v>18670</v>
      </c>
      <c r="G213" s="1553">
        <f t="shared" si="17"/>
        <v>2296410</v>
      </c>
      <c r="H213" s="44"/>
      <c r="I213" s="44"/>
      <c r="J213" s="44"/>
    </row>
    <row r="214" spans="1:10" s="45" customFormat="1">
      <c r="A214" s="586"/>
      <c r="B214" s="1554"/>
      <c r="C214" s="1297" t="s">
        <v>1428</v>
      </c>
      <c r="D214" s="1368" t="s">
        <v>22</v>
      </c>
      <c r="E214" s="1376">
        <v>1</v>
      </c>
      <c r="F214" s="1303">
        <v>21450</v>
      </c>
      <c r="G214" s="1553">
        <f t="shared" si="17"/>
        <v>21450</v>
      </c>
      <c r="H214" s="44"/>
      <c r="I214" s="44"/>
      <c r="J214" s="44"/>
    </row>
    <row r="215" spans="1:10" s="45" customFormat="1">
      <c r="A215" s="586"/>
      <c r="B215" s="1554"/>
      <c r="C215" s="1297" t="s">
        <v>999</v>
      </c>
      <c r="D215" s="1389" t="s">
        <v>22</v>
      </c>
      <c r="E215" s="1303">
        <v>2</v>
      </c>
      <c r="F215" s="1303">
        <v>1212432</v>
      </c>
      <c r="G215" s="1553">
        <f t="shared" si="17"/>
        <v>2424864</v>
      </c>
      <c r="H215" s="44"/>
      <c r="I215" s="44"/>
      <c r="J215" s="44"/>
    </row>
    <row r="216" spans="1:10" s="45" customFormat="1">
      <c r="A216" s="586"/>
      <c r="B216" s="1554"/>
      <c r="C216" s="1297" t="s">
        <v>995</v>
      </c>
      <c r="D216" s="1368" t="s">
        <v>22</v>
      </c>
      <c r="E216" s="1303">
        <v>2</v>
      </c>
      <c r="F216" s="1303">
        <v>1076712</v>
      </c>
      <c r="G216" s="1553">
        <f t="shared" si="17"/>
        <v>2153424</v>
      </c>
      <c r="H216" s="44"/>
      <c r="I216" s="44"/>
      <c r="J216" s="44"/>
    </row>
    <row r="217" spans="1:10" s="45" customFormat="1">
      <c r="A217" s="586"/>
      <c r="B217" s="1554"/>
      <c r="C217" s="1297" t="s">
        <v>1422</v>
      </c>
      <c r="D217" s="1368" t="s">
        <v>22</v>
      </c>
      <c r="E217" s="1303">
        <v>2</v>
      </c>
      <c r="F217" s="1303">
        <v>823368</v>
      </c>
      <c r="G217" s="1553">
        <f t="shared" si="17"/>
        <v>1646736</v>
      </c>
      <c r="H217" s="44"/>
      <c r="I217" s="44"/>
      <c r="J217" s="44"/>
    </row>
    <row r="218" spans="1:10" s="45" customFormat="1">
      <c r="A218" s="586"/>
      <c r="B218" s="1554"/>
      <c r="C218" s="1297" t="s">
        <v>884</v>
      </c>
      <c r="D218" s="1389" t="s">
        <v>22</v>
      </c>
      <c r="E218" s="1303">
        <v>2</v>
      </c>
      <c r="F218" s="1303">
        <v>915506.8</v>
      </c>
      <c r="G218" s="1553">
        <f t="shared" si="17"/>
        <v>1831013.6</v>
      </c>
      <c r="H218" s="44"/>
      <c r="I218" s="44"/>
      <c r="J218" s="44"/>
    </row>
    <row r="219" spans="1:10" s="45" customFormat="1">
      <c r="A219" s="586"/>
      <c r="B219" s="1554"/>
      <c r="C219" s="1297" t="s">
        <v>1030</v>
      </c>
      <c r="D219" s="1368" t="s">
        <v>22</v>
      </c>
      <c r="E219" s="1303">
        <v>2</v>
      </c>
      <c r="F219" s="1303">
        <v>2640658.7999999998</v>
      </c>
      <c r="G219" s="1553">
        <f t="shared" si="17"/>
        <v>5281317.5999999996</v>
      </c>
      <c r="H219" s="44"/>
      <c r="I219" s="44"/>
      <c r="J219" s="44"/>
    </row>
    <row r="220" spans="1:10" s="45" customFormat="1">
      <c r="A220" s="586"/>
      <c r="B220" s="1554"/>
      <c r="C220" s="1395" t="s">
        <v>881</v>
      </c>
      <c r="D220" s="1368" t="s">
        <v>22</v>
      </c>
      <c r="E220" s="1303">
        <v>2</v>
      </c>
      <c r="F220" s="1303">
        <v>1621796</v>
      </c>
      <c r="G220" s="1553">
        <f t="shared" si="17"/>
        <v>3243592</v>
      </c>
      <c r="H220" s="44"/>
      <c r="I220" s="44"/>
      <c r="J220" s="44"/>
    </row>
    <row r="221" spans="1:10" s="45" customFormat="1">
      <c r="A221" s="586"/>
      <c r="B221" s="1554"/>
      <c r="C221" s="1395" t="s">
        <v>1029</v>
      </c>
      <c r="D221" s="1368" t="s">
        <v>22</v>
      </c>
      <c r="E221" s="1303">
        <v>2</v>
      </c>
      <c r="F221" s="1303">
        <v>1096084</v>
      </c>
      <c r="G221" s="1553">
        <f t="shared" si="17"/>
        <v>2192168</v>
      </c>
      <c r="H221" s="44"/>
      <c r="I221" s="44"/>
      <c r="J221" s="44"/>
    </row>
    <row r="222" spans="1:10" s="45" customFormat="1">
      <c r="A222" s="586"/>
      <c r="B222" s="1554"/>
      <c r="C222" s="1297" t="s">
        <v>904</v>
      </c>
      <c r="D222" s="1368" t="s">
        <v>22</v>
      </c>
      <c r="E222" s="1297">
        <v>2</v>
      </c>
      <c r="F222" s="1390">
        <v>10670</v>
      </c>
      <c r="G222" s="1553">
        <f t="shared" si="17"/>
        <v>21340</v>
      </c>
      <c r="H222" s="44"/>
      <c r="I222" s="44"/>
      <c r="J222" s="44"/>
    </row>
    <row r="223" spans="1:10" s="45" customFormat="1">
      <c r="A223" s="586"/>
      <c r="B223" s="1554"/>
      <c r="C223" s="1297" t="s">
        <v>1423</v>
      </c>
      <c r="D223" s="1368" t="s">
        <v>22</v>
      </c>
      <c r="E223" s="1297">
        <v>2</v>
      </c>
      <c r="F223" s="1390">
        <v>182000</v>
      </c>
      <c r="G223" s="1553">
        <f t="shared" si="17"/>
        <v>364000</v>
      </c>
      <c r="H223" s="44"/>
      <c r="I223" s="44"/>
      <c r="J223" s="44"/>
    </row>
    <row r="224" spans="1:10" s="45" customFormat="1">
      <c r="A224" s="586"/>
      <c r="B224" s="1554"/>
      <c r="C224" s="1297" t="s">
        <v>996</v>
      </c>
      <c r="D224" s="1389" t="s">
        <v>500</v>
      </c>
      <c r="E224" s="1303">
        <v>16</v>
      </c>
      <c r="F224" s="1390">
        <v>21516</v>
      </c>
      <c r="G224" s="1553">
        <f t="shared" si="17"/>
        <v>344256</v>
      </c>
      <c r="H224" s="44"/>
      <c r="I224" s="44"/>
      <c r="J224" s="44"/>
    </row>
    <row r="225" spans="1:10" s="45" customFormat="1">
      <c r="A225" s="586"/>
      <c r="B225" s="1554"/>
      <c r="C225" s="1297" t="s">
        <v>1425</v>
      </c>
      <c r="D225" s="1368" t="s">
        <v>22</v>
      </c>
      <c r="E225" s="1297">
        <v>31</v>
      </c>
      <c r="F225" s="1390">
        <v>10670</v>
      </c>
      <c r="G225" s="1553">
        <f t="shared" si="17"/>
        <v>330770</v>
      </c>
      <c r="H225" s="44"/>
      <c r="I225" s="44"/>
      <c r="J225" s="44"/>
    </row>
    <row r="226" spans="1:10" s="45" customFormat="1">
      <c r="A226" s="586"/>
      <c r="B226" s="1554"/>
      <c r="C226" s="1297" t="s">
        <v>1429</v>
      </c>
      <c r="D226" s="1368" t="s">
        <v>22</v>
      </c>
      <c r="E226" s="1297">
        <v>3</v>
      </c>
      <c r="F226" s="1390">
        <v>113600</v>
      </c>
      <c r="G226" s="1553">
        <f t="shared" si="17"/>
        <v>340800</v>
      </c>
      <c r="H226" s="44"/>
      <c r="I226" s="44"/>
      <c r="J226" s="44"/>
    </row>
    <row r="227" spans="1:10" s="45" customFormat="1">
      <c r="A227" s="586"/>
      <c r="B227" s="1554"/>
      <c r="C227" s="1297" t="s">
        <v>1430</v>
      </c>
      <c r="D227" s="1368" t="s">
        <v>22</v>
      </c>
      <c r="E227" s="1297">
        <v>3</v>
      </c>
      <c r="F227" s="1390">
        <v>85700</v>
      </c>
      <c r="G227" s="1553">
        <f t="shared" si="17"/>
        <v>257100</v>
      </c>
      <c r="H227" s="44"/>
      <c r="I227" s="44"/>
      <c r="J227" s="44"/>
    </row>
    <row r="228" spans="1:10" s="45" customFormat="1">
      <c r="A228" s="586"/>
      <c r="B228" s="1554"/>
      <c r="C228" s="1297" t="s">
        <v>1426</v>
      </c>
      <c r="D228" s="1368" t="s">
        <v>22</v>
      </c>
      <c r="E228" s="1297">
        <v>1</v>
      </c>
      <c r="F228" s="1390">
        <v>115000</v>
      </c>
      <c r="G228" s="1553">
        <f t="shared" si="17"/>
        <v>115000</v>
      </c>
      <c r="H228" s="44"/>
      <c r="I228" s="44"/>
      <c r="J228" s="44"/>
    </row>
    <row r="229" spans="1:10" s="45" customFormat="1">
      <c r="A229" s="586"/>
      <c r="B229" s="1554"/>
      <c r="C229" s="1297" t="s">
        <v>1431</v>
      </c>
      <c r="D229" s="1368" t="s">
        <v>500</v>
      </c>
      <c r="E229" s="1297">
        <f>13+16+26</f>
        <v>55</v>
      </c>
      <c r="F229" s="1390">
        <v>48740</v>
      </c>
      <c r="G229" s="1553">
        <f t="shared" si="17"/>
        <v>2680700</v>
      </c>
      <c r="H229" s="44"/>
      <c r="I229" s="44"/>
      <c r="J229" s="44"/>
    </row>
    <row r="230" spans="1:10" s="45" customFormat="1">
      <c r="A230" s="586"/>
      <c r="B230" s="1554"/>
      <c r="C230" s="1297" t="s">
        <v>1674</v>
      </c>
      <c r="D230" s="1368" t="s">
        <v>500</v>
      </c>
      <c r="E230" s="1297">
        <v>35</v>
      </c>
      <c r="F230" s="1390">
        <f>64219+5021</f>
        <v>69240</v>
      </c>
      <c r="G230" s="1553">
        <f t="shared" ref="G230" si="18">+E230*F230</f>
        <v>2423400</v>
      </c>
      <c r="H230" s="44"/>
      <c r="I230" s="44"/>
      <c r="J230" s="44"/>
    </row>
    <row r="231" spans="1:10" s="45" customFormat="1">
      <c r="A231" s="586"/>
      <c r="B231" s="1554"/>
      <c r="C231" s="1616" t="s">
        <v>1424</v>
      </c>
      <c r="D231" s="1368" t="s">
        <v>56</v>
      </c>
      <c r="E231" s="1297">
        <v>0.3</v>
      </c>
      <c r="F231" s="1390">
        <v>6000</v>
      </c>
      <c r="G231" s="1553">
        <f t="shared" si="17"/>
        <v>1800</v>
      </c>
      <c r="H231" s="44"/>
      <c r="I231" s="44"/>
      <c r="J231" s="44"/>
    </row>
    <row r="232" spans="1:10" s="45" customFormat="1" ht="25.5">
      <c r="A232" s="586"/>
      <c r="B232" s="1554"/>
      <c r="C232" s="1297" t="s">
        <v>1018</v>
      </c>
      <c r="D232" s="1389" t="s">
        <v>22</v>
      </c>
      <c r="E232" s="1376">
        <v>42</v>
      </c>
      <c r="F232" s="1303">
        <v>30550</v>
      </c>
      <c r="G232" s="1553">
        <f t="shared" si="17"/>
        <v>1283100</v>
      </c>
      <c r="H232" s="44"/>
      <c r="I232" s="44"/>
      <c r="J232" s="44"/>
    </row>
    <row r="233" spans="1:10" s="45" customFormat="1">
      <c r="A233" s="586"/>
      <c r="B233" s="1552"/>
      <c r="C233" s="1346" t="s">
        <v>1432</v>
      </c>
      <c r="D233" s="1366" t="s">
        <v>22</v>
      </c>
      <c r="E233" s="1393">
        <v>4</v>
      </c>
      <c r="F233" s="1303">
        <v>824876</v>
      </c>
      <c r="G233" s="1553">
        <f t="shared" si="17"/>
        <v>3299504</v>
      </c>
      <c r="H233" s="44"/>
      <c r="I233" s="44"/>
      <c r="J233" s="44"/>
    </row>
    <row r="234" spans="1:10" s="45" customFormat="1" ht="25.5">
      <c r="A234" s="586"/>
      <c r="B234" s="1552"/>
      <c r="C234" s="1297" t="s">
        <v>1433</v>
      </c>
      <c r="D234" s="1366" t="s">
        <v>22</v>
      </c>
      <c r="E234" s="1393">
        <v>4</v>
      </c>
      <c r="F234" s="1303">
        <v>2525900</v>
      </c>
      <c r="G234" s="1553">
        <f t="shared" si="17"/>
        <v>10103600</v>
      </c>
      <c r="H234" s="44"/>
      <c r="I234" s="44"/>
      <c r="J234" s="44"/>
    </row>
    <row r="235" spans="1:10" s="45" customFormat="1" ht="90">
      <c r="A235" s="586"/>
      <c r="B235" s="1552"/>
      <c r="C235" s="1511" t="s">
        <v>1673</v>
      </c>
      <c r="D235" s="1366" t="s">
        <v>22</v>
      </c>
      <c r="E235" s="1393">
        <v>2</v>
      </c>
      <c r="F235" s="1510">
        <v>6435000</v>
      </c>
      <c r="G235" s="1553">
        <f t="shared" si="17"/>
        <v>12870000</v>
      </c>
      <c r="H235" s="1354"/>
      <c r="I235" s="44"/>
      <c r="J235" s="44"/>
    </row>
    <row r="236" spans="1:10" s="45" customFormat="1">
      <c r="A236" s="586"/>
      <c r="B236" s="771"/>
      <c r="C236" s="44"/>
      <c r="D236" s="772"/>
      <c r="E236" s="780"/>
      <c r="F236" s="587"/>
      <c r="G236" s="774"/>
      <c r="H236" s="44"/>
      <c r="I236" s="44"/>
      <c r="J236" s="44"/>
    </row>
    <row r="237" spans="1:10" s="45" customFormat="1" ht="15.75" thickBot="1">
      <c r="A237" s="586"/>
      <c r="B237" s="1551"/>
      <c r="C237" s="114"/>
      <c r="D237" s="115"/>
      <c r="E237" s="116"/>
      <c r="F237" s="117" t="s">
        <v>970</v>
      </c>
      <c r="G237" s="118">
        <f>SUM(G212:G236)</f>
        <v>232551051.82499999</v>
      </c>
      <c r="H237" s="44"/>
      <c r="I237" s="44"/>
      <c r="J237" s="44"/>
    </row>
    <row r="238" spans="1:10" s="45" customFormat="1">
      <c r="A238" s="586"/>
      <c r="B238" s="771"/>
      <c r="C238" s="102"/>
      <c r="D238" s="772"/>
      <c r="E238" s="780"/>
      <c r="F238" s="587"/>
      <c r="G238" s="774"/>
      <c r="H238" s="44"/>
      <c r="I238" s="44"/>
      <c r="J238" s="44"/>
    </row>
    <row r="239" spans="1:10" s="45" customFormat="1" ht="15.75" thickBot="1">
      <c r="A239" s="127" t="s">
        <v>82</v>
      </c>
      <c r="B239" s="1338"/>
      <c r="C239" s="871"/>
      <c r="D239" s="873"/>
      <c r="E239" s="874"/>
      <c r="F239" s="1531" t="s">
        <v>971</v>
      </c>
      <c r="G239" s="1504">
        <f>+G237+G209</f>
        <v>537962512.78499997</v>
      </c>
      <c r="H239" s="44"/>
      <c r="I239" s="44"/>
      <c r="J239" s="44"/>
    </row>
    <row r="240" spans="1:10" s="45" customFormat="1" ht="15.75" thickBot="1">
      <c r="A240" s="143">
        <v>210134</v>
      </c>
      <c r="B240" s="592"/>
      <c r="C240" s="593"/>
      <c r="D240" s="827"/>
      <c r="E240" s="594"/>
      <c r="F240" s="575"/>
      <c r="G240" s="792">
        <f t="shared" ref="G240" si="19">+F240*E240</f>
        <v>0</v>
      </c>
      <c r="H240" s="44"/>
      <c r="I240" s="44"/>
      <c r="J240" s="44"/>
    </row>
    <row r="241" spans="1:10" s="45" customFormat="1">
      <c r="A241" s="584"/>
      <c r="B241" s="74">
        <v>8</v>
      </c>
      <c r="C241" s="75" t="s">
        <v>1023</v>
      </c>
      <c r="D241" s="76"/>
      <c r="E241" s="76"/>
      <c r="F241" s="76"/>
      <c r="G241" s="126"/>
      <c r="H241" s="44"/>
      <c r="I241" s="44"/>
      <c r="J241" s="44"/>
    </row>
    <row r="242" spans="1:10" s="45" customFormat="1">
      <c r="A242" s="584"/>
      <c r="B242" s="1361"/>
      <c r="C242" s="1362" t="s">
        <v>947</v>
      </c>
      <c r="D242" s="1256"/>
      <c r="E242" s="1363"/>
      <c r="F242" s="1340"/>
      <c r="G242" s="1300"/>
      <c r="H242" s="44"/>
      <c r="I242" s="44"/>
      <c r="J242" s="44"/>
    </row>
    <row r="243" spans="1:10" s="45" customFormat="1">
      <c r="A243" s="584"/>
      <c r="B243" s="1552"/>
      <c r="C243" s="1365" t="s">
        <v>943</v>
      </c>
      <c r="D243" s="1366" t="s">
        <v>139</v>
      </c>
      <c r="E243" s="1282">
        <v>590</v>
      </c>
      <c r="F243" s="1282">
        <f>+F51</f>
        <v>2640</v>
      </c>
      <c r="G243" s="1553">
        <f t="shared" ref="G243:G247" si="20">+E243*F243</f>
        <v>1557600</v>
      </c>
      <c r="H243" s="44"/>
      <c r="I243" s="44"/>
      <c r="J243" s="44"/>
    </row>
    <row r="244" spans="1:10" s="45" customFormat="1">
      <c r="A244" s="584"/>
      <c r="B244" s="1552"/>
      <c r="C244" s="1365" t="s">
        <v>1101</v>
      </c>
      <c r="D244" s="1366" t="s">
        <v>139</v>
      </c>
      <c r="E244" s="1282">
        <f>+E243</f>
        <v>590</v>
      </c>
      <c r="F244" s="1282">
        <f>+F52</f>
        <v>5190</v>
      </c>
      <c r="G244" s="1553">
        <f t="shared" si="20"/>
        <v>3062100</v>
      </c>
      <c r="H244" s="44"/>
      <c r="I244" s="44"/>
      <c r="J244" s="44"/>
    </row>
    <row r="245" spans="1:10" s="45" customFormat="1">
      <c r="A245" s="584"/>
      <c r="B245" s="1552"/>
      <c r="C245" s="1365" t="s">
        <v>497</v>
      </c>
      <c r="D245" s="1346" t="s">
        <v>56</v>
      </c>
      <c r="E245" s="1282">
        <v>163</v>
      </c>
      <c r="F245" s="1282">
        <f>+F54</f>
        <v>17220</v>
      </c>
      <c r="G245" s="1553">
        <f t="shared" si="20"/>
        <v>2806860</v>
      </c>
      <c r="H245" s="44"/>
      <c r="I245" s="44"/>
      <c r="J245" s="44"/>
    </row>
    <row r="246" spans="1:10" s="45" customFormat="1">
      <c r="A246" s="584"/>
      <c r="B246" s="1554"/>
      <c r="C246" s="1369" t="s">
        <v>1003</v>
      </c>
      <c r="D246" s="1397" t="s">
        <v>139</v>
      </c>
      <c r="E246" s="1393">
        <v>44</v>
      </c>
      <c r="F246" s="1282">
        <f>+F55</f>
        <v>630777</v>
      </c>
      <c r="G246" s="1553">
        <f t="shared" si="20"/>
        <v>27754188</v>
      </c>
      <c r="H246" s="44"/>
      <c r="I246" s="44"/>
      <c r="J246" s="44"/>
    </row>
    <row r="247" spans="1:10" s="45" customFormat="1">
      <c r="A247" s="584"/>
      <c r="B247" s="1552"/>
      <c r="C247" s="1365" t="s">
        <v>976</v>
      </c>
      <c r="D247" s="1366" t="s">
        <v>139</v>
      </c>
      <c r="E247" s="1282">
        <v>15</v>
      </c>
      <c r="F247" s="1392">
        <v>614040</v>
      </c>
      <c r="G247" s="1553">
        <f t="shared" si="20"/>
        <v>9210600</v>
      </c>
      <c r="H247" s="44"/>
      <c r="I247" s="44"/>
      <c r="J247" s="44"/>
    </row>
    <row r="248" spans="1:10" s="45" customFormat="1">
      <c r="A248" s="584"/>
      <c r="B248" s="771"/>
      <c r="C248" s="102"/>
      <c r="D248" s="772"/>
      <c r="E248" s="587"/>
      <c r="F248" s="587"/>
      <c r="G248" s="774">
        <f>+E248*F248</f>
        <v>0</v>
      </c>
      <c r="H248" s="44"/>
      <c r="I248" s="44"/>
      <c r="J248" s="44"/>
    </row>
    <row r="249" spans="1:10" s="45" customFormat="1" ht="15.75" thickBot="1">
      <c r="A249" s="584"/>
      <c r="B249" s="771"/>
      <c r="C249" s="114"/>
      <c r="D249" s="115"/>
      <c r="E249" s="116"/>
      <c r="F249" s="117" t="s">
        <v>1099</v>
      </c>
      <c r="G249" s="118">
        <f>SUM(G243:G248)</f>
        <v>44391348</v>
      </c>
      <c r="H249" s="44"/>
      <c r="I249" s="44"/>
      <c r="J249" s="44"/>
    </row>
    <row r="250" spans="1:10" s="45" customFormat="1">
      <c r="A250" s="584"/>
      <c r="B250" s="1361"/>
      <c r="C250" s="822"/>
      <c r="D250" s="1256"/>
      <c r="E250" s="1340"/>
      <c r="F250" s="1340"/>
      <c r="G250" s="1300"/>
      <c r="H250" s="44"/>
      <c r="I250" s="44"/>
      <c r="J250" s="44"/>
    </row>
    <row r="251" spans="1:10" s="45" customFormat="1">
      <c r="A251" s="584"/>
      <c r="B251" s="1552"/>
      <c r="C251" s="1365" t="s">
        <v>522</v>
      </c>
      <c r="D251" s="1346" t="s">
        <v>142</v>
      </c>
      <c r="E251" s="1393">
        <v>5000</v>
      </c>
      <c r="F251" s="1022">
        <v>3250</v>
      </c>
      <c r="G251" s="1553">
        <f t="shared" ref="G251:G262" si="21">+E251*F251</f>
        <v>16250000</v>
      </c>
      <c r="H251" s="44"/>
      <c r="I251" s="44"/>
      <c r="J251" s="44"/>
    </row>
    <row r="252" spans="1:10" s="45" customFormat="1">
      <c r="A252" s="584"/>
      <c r="B252" s="1552"/>
      <c r="C252" s="1365" t="s">
        <v>1411</v>
      </c>
      <c r="D252" s="1346" t="s">
        <v>500</v>
      </c>
      <c r="E252" s="1393">
        <v>90</v>
      </c>
      <c r="F252" s="1022">
        <v>18670</v>
      </c>
      <c r="G252" s="1553">
        <f t="shared" si="21"/>
        <v>1680300</v>
      </c>
      <c r="H252" s="44"/>
      <c r="I252" s="44"/>
      <c r="J252" s="44"/>
    </row>
    <row r="253" spans="1:10" s="45" customFormat="1">
      <c r="A253" s="584"/>
      <c r="B253" s="1552"/>
      <c r="C253" s="1365" t="s">
        <v>942</v>
      </c>
      <c r="D253" s="1346" t="s">
        <v>56</v>
      </c>
      <c r="E253" s="1393">
        <v>92</v>
      </c>
      <c r="F253" s="1022"/>
      <c r="G253" s="1553">
        <f t="shared" si="21"/>
        <v>0</v>
      </c>
      <c r="H253" s="44"/>
      <c r="I253" s="44"/>
      <c r="J253" s="44"/>
    </row>
    <row r="254" spans="1:10" s="45" customFormat="1">
      <c r="A254" s="584"/>
      <c r="B254" s="1560"/>
      <c r="C254" s="1365" t="s">
        <v>984</v>
      </c>
      <c r="D254" s="1346" t="s">
        <v>139</v>
      </c>
      <c r="E254" s="1393">
        <v>11</v>
      </c>
      <c r="F254" s="1399"/>
      <c r="G254" s="1553">
        <f t="shared" si="21"/>
        <v>0</v>
      </c>
      <c r="H254" s="44"/>
      <c r="I254" s="44"/>
      <c r="J254" s="44"/>
    </row>
    <row r="255" spans="1:10" s="45" customFormat="1">
      <c r="A255" s="584"/>
      <c r="B255" s="1557"/>
      <c r="C255" s="1365" t="s">
        <v>946</v>
      </c>
      <c r="D255" s="1346" t="s">
        <v>540</v>
      </c>
      <c r="E255" s="1393">
        <v>13</v>
      </c>
      <c r="F255" s="1022">
        <v>29330</v>
      </c>
      <c r="G255" s="1553">
        <f t="shared" si="21"/>
        <v>381290</v>
      </c>
      <c r="H255" s="44"/>
      <c r="I255" s="44"/>
      <c r="J255" s="44"/>
    </row>
    <row r="256" spans="1:10" s="45" customFormat="1" ht="29.25" customHeight="1">
      <c r="A256" s="584"/>
      <c r="B256" s="1557"/>
      <c r="C256" s="1369" t="s">
        <v>1102</v>
      </c>
      <c r="D256" s="1366" t="s">
        <v>22</v>
      </c>
      <c r="E256" s="1282">
        <v>4</v>
      </c>
      <c r="F256" s="1022">
        <v>1302286</v>
      </c>
      <c r="G256" s="1553">
        <f t="shared" si="21"/>
        <v>5209144</v>
      </c>
      <c r="H256" s="44"/>
      <c r="I256" s="1458"/>
      <c r="J256" s="44"/>
    </row>
    <row r="257" spans="1:10" s="45" customFormat="1">
      <c r="A257" s="584"/>
      <c r="B257" s="1557"/>
      <c r="C257" s="1369" t="s">
        <v>1108</v>
      </c>
      <c r="D257" s="1346" t="s">
        <v>22</v>
      </c>
      <c r="E257" s="1282">
        <v>12</v>
      </c>
      <c r="F257" s="1022">
        <v>40312</v>
      </c>
      <c r="G257" s="1553">
        <f t="shared" si="21"/>
        <v>483744</v>
      </c>
      <c r="H257" s="44"/>
      <c r="I257" s="44"/>
      <c r="J257" s="44"/>
    </row>
    <row r="258" spans="1:10" s="45" customFormat="1">
      <c r="A258" s="584"/>
      <c r="B258" s="1557"/>
      <c r="C258" s="1365" t="s">
        <v>1107</v>
      </c>
      <c r="D258" s="1397" t="s">
        <v>22</v>
      </c>
      <c r="E258" s="1282">
        <v>28</v>
      </c>
      <c r="F258" s="1022">
        <v>10810</v>
      </c>
      <c r="G258" s="1553">
        <f t="shared" si="21"/>
        <v>302680</v>
      </c>
      <c r="H258" s="44"/>
      <c r="I258" s="44"/>
      <c r="J258" s="44"/>
    </row>
    <row r="259" spans="1:10" s="45" customFormat="1" ht="16.5">
      <c r="A259" s="584"/>
      <c r="B259" s="1557"/>
      <c r="C259" s="1365" t="s">
        <v>1103</v>
      </c>
      <c r="D259" s="1366" t="s">
        <v>500</v>
      </c>
      <c r="E259" s="1282">
        <v>86</v>
      </c>
      <c r="F259" s="1400">
        <v>21516</v>
      </c>
      <c r="G259" s="1553">
        <f t="shared" si="21"/>
        <v>1850376</v>
      </c>
      <c r="H259" s="44"/>
      <c r="I259" s="44"/>
      <c r="J259" s="44"/>
    </row>
    <row r="260" spans="1:10" s="45" customFormat="1">
      <c r="A260" s="584"/>
      <c r="B260" s="1557"/>
      <c r="C260" s="1369" t="s">
        <v>1106</v>
      </c>
      <c r="D260" s="1346" t="s">
        <v>139</v>
      </c>
      <c r="E260" s="1282">
        <v>35</v>
      </c>
      <c r="F260" s="1399">
        <v>63050</v>
      </c>
      <c r="G260" s="1553">
        <f t="shared" si="21"/>
        <v>2206750</v>
      </c>
      <c r="H260" s="44"/>
      <c r="I260" s="44"/>
      <c r="J260" s="44"/>
    </row>
    <row r="261" spans="1:10" s="45" customFormat="1">
      <c r="A261" s="584"/>
      <c r="B261" s="1557"/>
      <c r="C261" s="1369" t="s">
        <v>166</v>
      </c>
      <c r="D261" s="1346" t="s">
        <v>139</v>
      </c>
      <c r="E261" s="1282">
        <v>30</v>
      </c>
      <c r="F261" s="1022">
        <v>63840</v>
      </c>
      <c r="G261" s="1553">
        <f t="shared" si="21"/>
        <v>1915200</v>
      </c>
      <c r="H261" s="44"/>
      <c r="I261" s="44"/>
      <c r="J261" s="44"/>
    </row>
    <row r="262" spans="1:10" s="45" customFormat="1" ht="16.5">
      <c r="A262" s="584"/>
      <c r="B262" s="1557"/>
      <c r="C262" s="1369" t="s">
        <v>1104</v>
      </c>
      <c r="D262" s="1401" t="s">
        <v>22</v>
      </c>
      <c r="E262" s="1369">
        <v>4</v>
      </c>
      <c r="F262" s="1400">
        <v>158050</v>
      </c>
      <c r="G262" s="1553">
        <f t="shared" si="21"/>
        <v>632200</v>
      </c>
      <c r="H262" s="44"/>
      <c r="I262" s="44"/>
      <c r="J262" s="44"/>
    </row>
    <row r="263" spans="1:10" s="45" customFormat="1" ht="16.5">
      <c r="A263" s="584"/>
      <c r="B263" s="779"/>
      <c r="C263" s="782"/>
      <c r="D263" s="846"/>
      <c r="E263" s="782"/>
      <c r="F263" s="893"/>
      <c r="G263" s="774"/>
      <c r="H263" s="44"/>
      <c r="I263" s="44"/>
      <c r="J263" s="44"/>
    </row>
    <row r="264" spans="1:10" s="45" customFormat="1" ht="15.75" thickBot="1">
      <c r="A264" s="584"/>
      <c r="B264" s="592"/>
      <c r="C264" s="114"/>
      <c r="D264" s="115"/>
      <c r="E264" s="116"/>
      <c r="F264" s="117" t="s">
        <v>1100</v>
      </c>
      <c r="G264" s="1109">
        <f>SUM(G251:G263)</f>
        <v>30911684</v>
      </c>
      <c r="H264" s="44"/>
      <c r="I264" s="44"/>
      <c r="J264" s="44"/>
    </row>
    <row r="265" spans="1:10" s="45" customFormat="1">
      <c r="A265" s="584"/>
      <c r="B265" s="592"/>
      <c r="C265" s="593"/>
      <c r="D265" s="999"/>
      <c r="E265" s="1000"/>
      <c r="F265" s="575"/>
      <c r="G265" s="1110"/>
      <c r="H265" s="44"/>
      <c r="I265" s="44"/>
      <c r="J265" s="44"/>
    </row>
    <row r="266" spans="1:10" s="45" customFormat="1" ht="15.75" thickBot="1">
      <c r="A266" s="584"/>
      <c r="B266" s="1026"/>
      <c r="C266" s="871"/>
      <c r="D266" s="873"/>
      <c r="E266" s="874"/>
      <c r="F266" s="1531" t="s">
        <v>1024</v>
      </c>
      <c r="G266" s="1506">
        <f>+G264+G249</f>
        <v>75303032</v>
      </c>
      <c r="H266" s="44"/>
      <c r="I266" s="44"/>
      <c r="J266" s="44"/>
    </row>
    <row r="267" spans="1:10" s="45" customFormat="1" ht="15.75" thickBot="1">
      <c r="A267" s="584"/>
      <c r="B267" s="592"/>
      <c r="C267" s="593"/>
      <c r="D267" s="827"/>
      <c r="E267" s="594"/>
      <c r="F267" s="575"/>
      <c r="G267" s="792"/>
      <c r="H267" s="44"/>
      <c r="I267" s="44"/>
      <c r="J267" s="44"/>
    </row>
    <row r="268" spans="1:10" s="45" customFormat="1" ht="15.75" thickBot="1">
      <c r="A268" s="584"/>
      <c r="B268" s="1402">
        <v>9</v>
      </c>
      <c r="C268" s="1403" t="s">
        <v>1038</v>
      </c>
      <c r="D268" s="1404"/>
      <c r="E268" s="1404"/>
      <c r="F268" s="1404"/>
      <c r="G268" s="1405"/>
      <c r="H268" s="44"/>
      <c r="I268" s="44"/>
      <c r="J268" s="44"/>
    </row>
    <row r="269" spans="1:10" s="45" customFormat="1" ht="15.75" thickTop="1">
      <c r="A269" s="584"/>
      <c r="B269" s="1561"/>
      <c r="C269" s="1471" t="s">
        <v>1623</v>
      </c>
      <c r="D269" s="1471"/>
      <c r="E269" s="1471"/>
      <c r="F269" s="1472"/>
      <c r="G269" s="1562"/>
      <c r="H269" s="44"/>
      <c r="I269" s="44"/>
      <c r="J269" s="44"/>
    </row>
    <row r="270" spans="1:10" s="45" customFormat="1" ht="26.25">
      <c r="A270" s="584"/>
      <c r="B270" s="1563"/>
      <c r="C270" s="1525" t="s">
        <v>1683</v>
      </c>
      <c r="D270" s="1513" t="s">
        <v>56</v>
      </c>
      <c r="E270" s="1513">
        <v>718.04</v>
      </c>
      <c r="F270" s="1514">
        <v>46520</v>
      </c>
      <c r="G270" s="1564">
        <f t="shared" ref="G270:G275" si="22">F270*E270</f>
        <v>33403220.799999997</v>
      </c>
      <c r="H270" s="44"/>
      <c r="I270" s="44"/>
      <c r="J270" s="44"/>
    </row>
    <row r="271" spans="1:10" s="45" customFormat="1">
      <c r="A271" s="584"/>
      <c r="B271" s="1563"/>
      <c r="C271" s="1512" t="s">
        <v>1625</v>
      </c>
      <c r="D271" s="1513" t="s">
        <v>22</v>
      </c>
      <c r="E271" s="1513">
        <v>30</v>
      </c>
      <c r="F271" s="1514">
        <v>94971.436000000016</v>
      </c>
      <c r="G271" s="1564">
        <f t="shared" si="22"/>
        <v>2849143.0800000005</v>
      </c>
      <c r="H271" s="44"/>
      <c r="I271" s="44"/>
      <c r="J271" s="44"/>
    </row>
    <row r="272" spans="1:10" s="45" customFormat="1">
      <c r="A272" s="584"/>
      <c r="B272" s="1563"/>
      <c r="C272" s="1512" t="s">
        <v>1614</v>
      </c>
      <c r="D272" s="1513" t="s">
        <v>500</v>
      </c>
      <c r="E272" s="1513">
        <v>104.8</v>
      </c>
      <c r="F272" s="1514">
        <v>41540</v>
      </c>
      <c r="G272" s="1564">
        <f t="shared" si="22"/>
        <v>4353392</v>
      </c>
      <c r="H272" s="44"/>
      <c r="I272" s="44"/>
      <c r="J272" s="44"/>
    </row>
    <row r="273" spans="1:10" s="45" customFormat="1">
      <c r="A273" s="584"/>
      <c r="B273" s="1565"/>
      <c r="C273" s="921" t="s">
        <v>1632</v>
      </c>
      <c r="D273" s="1185" t="s">
        <v>56</v>
      </c>
      <c r="E273" s="1185">
        <v>18.399999999999999</v>
      </c>
      <c r="F273" s="1473">
        <v>46160</v>
      </c>
      <c r="G273" s="1566">
        <f t="shared" si="22"/>
        <v>849343.99999999988</v>
      </c>
      <c r="H273" s="44"/>
      <c r="I273" s="44"/>
      <c r="J273" s="44"/>
    </row>
    <row r="274" spans="1:10" s="45" customFormat="1">
      <c r="A274" s="584"/>
      <c r="B274" s="1565"/>
      <c r="C274" s="1478" t="s">
        <v>1633</v>
      </c>
      <c r="D274" s="1185" t="s">
        <v>56</v>
      </c>
      <c r="E274" s="1185">
        <f>63.15+58.6</f>
        <v>121.75</v>
      </c>
      <c r="F274" s="1473">
        <v>16820</v>
      </c>
      <c r="G274" s="1566">
        <f t="shared" si="22"/>
        <v>2047835</v>
      </c>
      <c r="H274" s="44"/>
      <c r="I274" s="44"/>
      <c r="J274" s="44"/>
    </row>
    <row r="275" spans="1:10" s="45" customFormat="1" ht="15.75" thickBot="1">
      <c r="A275" s="584"/>
      <c r="B275" s="1565"/>
      <c r="C275" s="1478" t="s">
        <v>1610</v>
      </c>
      <c r="D275" s="1185" t="s">
        <v>139</v>
      </c>
      <c r="E275" s="1185">
        <v>4.45</v>
      </c>
      <c r="F275" s="1473">
        <v>640640</v>
      </c>
      <c r="G275" s="1567">
        <f t="shared" si="22"/>
        <v>2850848</v>
      </c>
      <c r="H275" s="44"/>
      <c r="I275" s="44"/>
      <c r="J275" s="44"/>
    </row>
    <row r="276" spans="1:10" s="45" customFormat="1" ht="15.75" thickTop="1">
      <c r="A276" s="584"/>
      <c r="B276" s="1561"/>
      <c r="C276" s="1516" t="s">
        <v>1626</v>
      </c>
      <c r="D276" s="1516"/>
      <c r="E276" s="1516"/>
      <c r="F276" s="1517"/>
      <c r="G276" s="1568"/>
      <c r="H276" s="44"/>
      <c r="I276" s="44"/>
      <c r="J276" s="44"/>
    </row>
    <row r="277" spans="1:10" s="45" customFormat="1">
      <c r="A277" s="584"/>
      <c r="B277" s="1563"/>
      <c r="C277" s="1512" t="s">
        <v>1627</v>
      </c>
      <c r="D277" s="1513" t="s">
        <v>56</v>
      </c>
      <c r="E277" s="1513">
        <v>30</v>
      </c>
      <c r="F277" s="1514">
        <v>60967</v>
      </c>
      <c r="G277" s="1564">
        <f t="shared" ref="G277:G283" si="23">F277*E277</f>
        <v>1829010</v>
      </c>
      <c r="H277" s="44"/>
      <c r="I277" s="44"/>
      <c r="J277" s="44"/>
    </row>
    <row r="278" spans="1:10" s="45" customFormat="1">
      <c r="A278" s="584"/>
      <c r="B278" s="1565"/>
      <c r="C278" s="1512" t="s">
        <v>1611</v>
      </c>
      <c r="D278" s="1513" t="s">
        <v>56</v>
      </c>
      <c r="E278" s="1513">
        <v>2.25</v>
      </c>
      <c r="F278" s="1514">
        <v>21740</v>
      </c>
      <c r="G278" s="1569">
        <f t="shared" si="23"/>
        <v>48915</v>
      </c>
      <c r="H278" s="44"/>
      <c r="I278" s="44"/>
      <c r="J278" s="44"/>
    </row>
    <row r="279" spans="1:10" s="45" customFormat="1">
      <c r="A279" s="584"/>
      <c r="B279" s="1563"/>
      <c r="C279" s="1512" t="s">
        <v>1634</v>
      </c>
      <c r="D279" s="1513" t="s">
        <v>56</v>
      </c>
      <c r="E279" s="1530">
        <f>+'[4]Cantidad de obra Quitapereza'!$J$652</f>
        <v>168.65</v>
      </c>
      <c r="F279" s="1514">
        <v>51440</v>
      </c>
      <c r="G279" s="1564">
        <f t="shared" si="23"/>
        <v>8675356</v>
      </c>
      <c r="H279" s="44"/>
      <c r="I279" s="44"/>
      <c r="J279" s="44"/>
    </row>
    <row r="280" spans="1:10" s="45" customFormat="1">
      <c r="A280" s="584"/>
      <c r="B280" s="1563"/>
      <c r="C280" s="1512" t="s">
        <v>1635</v>
      </c>
      <c r="D280" s="1513" t="s">
        <v>56</v>
      </c>
      <c r="E280" s="1513">
        <f>10+5.5</f>
        <v>15.5</v>
      </c>
      <c r="F280" s="1514">
        <v>84690</v>
      </c>
      <c r="G280" s="1564">
        <f t="shared" si="23"/>
        <v>1312695</v>
      </c>
      <c r="H280" s="44"/>
      <c r="I280" s="44"/>
      <c r="J280" s="44"/>
    </row>
    <row r="281" spans="1:10" s="45" customFormat="1">
      <c r="A281" s="584"/>
      <c r="B281" s="1563"/>
      <c r="C281" s="1512" t="s">
        <v>1636</v>
      </c>
      <c r="D281" s="1513" t="s">
        <v>56</v>
      </c>
      <c r="E281" s="1530">
        <f>+'[4]Cantidad de obra Quitapereza'!$J$657</f>
        <v>5.0999999999999996</v>
      </c>
      <c r="F281" s="1514">
        <v>40960</v>
      </c>
      <c r="G281" s="1564">
        <f t="shared" si="23"/>
        <v>208896</v>
      </c>
      <c r="H281" s="44"/>
      <c r="I281" s="44"/>
      <c r="J281" s="44"/>
    </row>
    <row r="282" spans="1:10" s="45" customFormat="1">
      <c r="A282" s="584"/>
      <c r="B282" s="1565"/>
      <c r="C282" s="1512" t="s">
        <v>1604</v>
      </c>
      <c r="D282" s="1513" t="s">
        <v>56</v>
      </c>
      <c r="E282" s="1513">
        <v>57</v>
      </c>
      <c r="F282" s="1514">
        <v>35930</v>
      </c>
      <c r="G282" s="1570">
        <f t="shared" si="23"/>
        <v>2048010</v>
      </c>
      <c r="H282" s="44"/>
      <c r="I282" s="44"/>
      <c r="J282" s="44"/>
    </row>
    <row r="283" spans="1:10" s="45" customFormat="1">
      <c r="A283" s="584"/>
      <c r="B283" s="1565"/>
      <c r="C283" s="1512" t="s">
        <v>1605</v>
      </c>
      <c r="D283" s="1513" t="s">
        <v>56</v>
      </c>
      <c r="E283" s="1513">
        <v>122</v>
      </c>
      <c r="F283" s="1514">
        <v>9600</v>
      </c>
      <c r="G283" s="1570">
        <f t="shared" si="23"/>
        <v>1171200</v>
      </c>
      <c r="H283" s="44"/>
      <c r="I283" s="44"/>
      <c r="J283" s="44"/>
    </row>
    <row r="284" spans="1:10" s="45" customFormat="1">
      <c r="A284" s="584"/>
      <c r="B284" s="1565"/>
      <c r="C284" s="1512" t="s">
        <v>1607</v>
      </c>
      <c r="D284" s="1513" t="s">
        <v>139</v>
      </c>
      <c r="E284" s="1513">
        <v>32.200000000000003</v>
      </c>
      <c r="F284" s="1514">
        <v>76530</v>
      </c>
      <c r="G284" s="1569">
        <f>+F284*E284</f>
        <v>2464266</v>
      </c>
      <c r="H284" s="44"/>
      <c r="I284" s="44"/>
      <c r="J284" s="44"/>
    </row>
    <row r="285" spans="1:10" s="45" customFormat="1">
      <c r="A285" s="584"/>
      <c r="B285" s="1565"/>
      <c r="C285" s="1478" t="s">
        <v>1643</v>
      </c>
      <c r="D285" s="1185" t="s">
        <v>56</v>
      </c>
      <c r="E285" s="1185">
        <v>5.5</v>
      </c>
      <c r="F285" s="1473">
        <v>41270</v>
      </c>
      <c r="G285" s="1566">
        <f>F285*E285</f>
        <v>226985</v>
      </c>
      <c r="H285" s="44"/>
      <c r="I285" s="44"/>
      <c r="J285" s="44"/>
    </row>
    <row r="286" spans="1:10" s="45" customFormat="1" ht="15.75" thickBot="1">
      <c r="A286" s="584"/>
      <c r="B286" s="1563"/>
      <c r="C286" s="1478" t="s">
        <v>1654</v>
      </c>
      <c r="D286" s="1185" t="s">
        <v>56</v>
      </c>
      <c r="E286" s="1185">
        <v>12.1</v>
      </c>
      <c r="F286" s="1473">
        <v>40960</v>
      </c>
      <c r="G286" s="1566">
        <f>F286*E286</f>
        <v>495616</v>
      </c>
      <c r="H286" s="44"/>
      <c r="I286" s="44"/>
      <c r="J286" s="44"/>
    </row>
    <row r="287" spans="1:10" s="45" customFormat="1" ht="15.75" thickTop="1">
      <c r="A287" s="584"/>
      <c r="B287" s="1561"/>
      <c r="C287" s="1471" t="s">
        <v>1071</v>
      </c>
      <c r="D287" s="1471"/>
      <c r="E287" s="1471"/>
      <c r="F287" s="1472"/>
      <c r="G287" s="1571"/>
      <c r="H287" s="44"/>
      <c r="I287" s="44"/>
      <c r="J287" s="44"/>
    </row>
    <row r="288" spans="1:10" s="45" customFormat="1">
      <c r="A288" s="584"/>
      <c r="B288" s="1563"/>
      <c r="C288" s="1512" t="s">
        <v>1628</v>
      </c>
      <c r="D288" s="1020" t="s">
        <v>22</v>
      </c>
      <c r="E288" s="1185">
        <v>6</v>
      </c>
      <c r="F288" s="1473">
        <v>112978</v>
      </c>
      <c r="G288" s="1566">
        <f t="shared" ref="G288:G293" si="24">F288*E288</f>
        <v>677868</v>
      </c>
      <c r="H288" s="44"/>
      <c r="I288" s="44"/>
      <c r="J288" s="44"/>
    </row>
    <row r="289" spans="1:10" s="45" customFormat="1">
      <c r="A289" s="584"/>
      <c r="B289" s="1563"/>
      <c r="C289" s="1520" t="s">
        <v>1629</v>
      </c>
      <c r="D289" s="1020" t="s">
        <v>22</v>
      </c>
      <c r="E289" s="1185">
        <v>10</v>
      </c>
      <c r="F289" s="1473">
        <v>235588</v>
      </c>
      <c r="G289" s="1566">
        <f t="shared" si="24"/>
        <v>2355880</v>
      </c>
      <c r="H289" s="44"/>
      <c r="I289" s="44"/>
      <c r="J289" s="44"/>
    </row>
    <row r="290" spans="1:10" s="45" customFormat="1" ht="16.5">
      <c r="A290" s="584"/>
      <c r="B290" s="1563"/>
      <c r="C290" s="1521" t="s">
        <v>1612</v>
      </c>
      <c r="D290" s="1185" t="s">
        <v>22</v>
      </c>
      <c r="E290" s="1185">
        <v>1</v>
      </c>
      <c r="F290" s="1473">
        <v>514490</v>
      </c>
      <c r="G290" s="1567">
        <f t="shared" si="24"/>
        <v>514490</v>
      </c>
      <c r="H290" s="44"/>
      <c r="I290" s="44"/>
      <c r="J290" s="44"/>
    </row>
    <row r="291" spans="1:10" s="45" customFormat="1">
      <c r="A291" s="584"/>
      <c r="B291" s="1565"/>
      <c r="C291" s="1512" t="s">
        <v>1637</v>
      </c>
      <c r="D291" s="1020" t="s">
        <v>22</v>
      </c>
      <c r="E291" s="1185">
        <v>4</v>
      </c>
      <c r="F291" s="1473">
        <v>256030</v>
      </c>
      <c r="G291" s="1566">
        <f t="shared" si="24"/>
        <v>1024120</v>
      </c>
      <c r="H291" s="44"/>
      <c r="I291" s="44"/>
      <c r="J291" s="44"/>
    </row>
    <row r="292" spans="1:10" s="45" customFormat="1">
      <c r="A292" s="584"/>
      <c r="B292" s="1565"/>
      <c r="C292" s="1512" t="s">
        <v>1644</v>
      </c>
      <c r="D292" s="1020" t="s">
        <v>22</v>
      </c>
      <c r="E292" s="1185">
        <v>6</v>
      </c>
      <c r="F292" s="1473">
        <v>216530</v>
      </c>
      <c r="G292" s="1566">
        <f t="shared" si="24"/>
        <v>1299180</v>
      </c>
      <c r="H292" s="44"/>
      <c r="I292" s="44"/>
      <c r="J292" s="44"/>
    </row>
    <row r="293" spans="1:10" s="45" customFormat="1" ht="15.75" thickBot="1">
      <c r="A293" s="584"/>
      <c r="B293" s="1565"/>
      <c r="C293" s="1512" t="s">
        <v>1645</v>
      </c>
      <c r="D293" s="1020" t="s">
        <v>22</v>
      </c>
      <c r="E293" s="1185">
        <v>3</v>
      </c>
      <c r="F293" s="1473">
        <v>315560</v>
      </c>
      <c r="G293" s="1566">
        <f t="shared" si="24"/>
        <v>946680</v>
      </c>
      <c r="H293" s="44"/>
      <c r="I293" s="44"/>
      <c r="J293" s="44"/>
    </row>
    <row r="294" spans="1:10" s="45" customFormat="1" ht="15.75" thickTop="1">
      <c r="A294" s="584"/>
      <c r="B294" s="1561"/>
      <c r="C294" s="1471" t="s">
        <v>64</v>
      </c>
      <c r="D294" s="1471"/>
      <c r="E294" s="1471"/>
      <c r="F294" s="1472"/>
      <c r="G294" s="1571"/>
      <c r="H294" s="44"/>
      <c r="I294" s="44"/>
      <c r="J294" s="44"/>
    </row>
    <row r="295" spans="1:10" s="45" customFormat="1">
      <c r="A295" s="584"/>
      <c r="B295" s="1563"/>
      <c r="C295" s="1512" t="s">
        <v>1630</v>
      </c>
      <c r="D295" s="1513" t="s">
        <v>56</v>
      </c>
      <c r="E295" s="1513">
        <f>28+28+26+10.5+10.5</f>
        <v>103</v>
      </c>
      <c r="F295" s="1514">
        <v>149876</v>
      </c>
      <c r="G295" s="1564">
        <f t="shared" ref="G295:G302" si="25">F295*E295</f>
        <v>15437228</v>
      </c>
      <c r="H295" s="44"/>
      <c r="I295" s="44"/>
      <c r="J295" s="44"/>
    </row>
    <row r="296" spans="1:10" s="45" customFormat="1">
      <c r="A296" s="584"/>
      <c r="B296" s="1563"/>
      <c r="C296" s="1512" t="s">
        <v>1640</v>
      </c>
      <c r="D296" s="1513" t="s">
        <v>500</v>
      </c>
      <c r="E296" s="1513">
        <f>20.8+24.4+20.4+8.3</f>
        <v>73.899999999999991</v>
      </c>
      <c r="F296" s="1514">
        <v>34477</v>
      </c>
      <c r="G296" s="1564">
        <f t="shared" si="25"/>
        <v>2547850.2999999998</v>
      </c>
      <c r="H296" s="44"/>
      <c r="I296" s="44"/>
      <c r="J296" s="44"/>
    </row>
    <row r="297" spans="1:10" s="45" customFormat="1">
      <c r="A297" s="584"/>
      <c r="B297" s="1563"/>
      <c r="C297" s="1512" t="s">
        <v>1631</v>
      </c>
      <c r="D297" s="1513" t="s">
        <v>500</v>
      </c>
      <c r="E297" s="1513">
        <f>4.2+4.2+4.2+2.5+2.5</f>
        <v>17.600000000000001</v>
      </c>
      <c r="F297" s="1514">
        <v>65858.2</v>
      </c>
      <c r="G297" s="1564">
        <f t="shared" si="25"/>
        <v>1159104.32</v>
      </c>
      <c r="H297" s="44"/>
      <c r="I297" s="44"/>
      <c r="J297" s="44"/>
    </row>
    <row r="298" spans="1:10" s="45" customFormat="1">
      <c r="A298" s="584"/>
      <c r="B298" s="1563"/>
      <c r="C298" s="1512" t="s">
        <v>1608</v>
      </c>
      <c r="D298" s="1513" t="s">
        <v>56</v>
      </c>
      <c r="E298" s="1513">
        <v>191</v>
      </c>
      <c r="F298" s="1514">
        <v>35150</v>
      </c>
      <c r="G298" s="1569">
        <f t="shared" si="25"/>
        <v>6713650</v>
      </c>
      <c r="H298" s="44"/>
      <c r="I298" s="44"/>
      <c r="J298" s="44"/>
    </row>
    <row r="299" spans="1:10" s="45" customFormat="1">
      <c r="A299" s="584"/>
      <c r="B299" s="1563"/>
      <c r="C299" s="1512" t="s">
        <v>1609</v>
      </c>
      <c r="D299" s="1513" t="s">
        <v>500</v>
      </c>
      <c r="E299" s="1513">
        <v>186.9</v>
      </c>
      <c r="F299" s="1514">
        <v>21807.258333333335</v>
      </c>
      <c r="G299" s="1569">
        <f t="shared" si="25"/>
        <v>4075776.5825000005</v>
      </c>
      <c r="H299" s="44"/>
      <c r="I299" s="44"/>
      <c r="J299" s="44"/>
    </row>
    <row r="300" spans="1:10" s="45" customFormat="1">
      <c r="A300" s="584"/>
      <c r="B300" s="1565"/>
      <c r="C300" s="1512" t="s">
        <v>1641</v>
      </c>
      <c r="D300" s="1513" t="s">
        <v>56</v>
      </c>
      <c r="E300" s="1513">
        <f>30+26+9.8+9.8</f>
        <v>75.599999999999994</v>
      </c>
      <c r="F300" s="1514">
        <v>32630</v>
      </c>
      <c r="G300" s="1564">
        <f t="shared" si="25"/>
        <v>2466828</v>
      </c>
      <c r="H300" s="44"/>
      <c r="I300" s="44"/>
      <c r="J300" s="44"/>
    </row>
    <row r="301" spans="1:10" s="45" customFormat="1">
      <c r="A301" s="584"/>
      <c r="B301" s="1565"/>
      <c r="C301" s="1512" t="s">
        <v>1642</v>
      </c>
      <c r="D301" s="1513" t="s">
        <v>56</v>
      </c>
      <c r="E301" s="1513">
        <v>3.75</v>
      </c>
      <c r="F301" s="1514">
        <v>84690</v>
      </c>
      <c r="G301" s="1564">
        <f t="shared" si="25"/>
        <v>317587.5</v>
      </c>
      <c r="H301" s="44"/>
      <c r="I301" s="44"/>
      <c r="J301" s="44"/>
    </row>
    <row r="302" spans="1:10" s="45" customFormat="1">
      <c r="A302" s="584"/>
      <c r="B302" s="1565"/>
      <c r="C302" s="1512" t="s">
        <v>1653</v>
      </c>
      <c r="D302" s="1513" t="s">
        <v>500</v>
      </c>
      <c r="E302" s="1513">
        <v>6.03</v>
      </c>
      <c r="F302" s="1514">
        <v>41540</v>
      </c>
      <c r="G302" s="1564">
        <f t="shared" si="25"/>
        <v>250486.2</v>
      </c>
      <c r="H302" s="44"/>
      <c r="I302" s="44"/>
      <c r="J302" s="44"/>
    </row>
    <row r="303" spans="1:10" s="45" customFormat="1" ht="15.75" thickBot="1">
      <c r="A303" s="584"/>
      <c r="B303" s="1565"/>
      <c r="C303" s="1480" t="s">
        <v>1613</v>
      </c>
      <c r="D303" s="1185" t="s">
        <v>56</v>
      </c>
      <c r="E303" s="1185">
        <v>2</v>
      </c>
      <c r="F303" s="1473">
        <v>51720</v>
      </c>
      <c r="G303" s="1567">
        <f t="shared" ref="G303" si="26">F303*E303</f>
        <v>103440</v>
      </c>
      <c r="H303" s="44"/>
      <c r="I303" s="44"/>
      <c r="J303" s="44"/>
    </row>
    <row r="304" spans="1:10" s="45" customFormat="1" ht="15.75" thickTop="1">
      <c r="A304" s="584"/>
      <c r="B304" s="1561"/>
      <c r="C304" s="1471" t="s">
        <v>1646</v>
      </c>
      <c r="D304" s="1471"/>
      <c r="E304" s="1471"/>
      <c r="F304" s="1472"/>
      <c r="G304" s="1571"/>
      <c r="H304" s="44"/>
      <c r="I304" s="44"/>
      <c r="J304" s="44"/>
    </row>
    <row r="305" spans="1:10" s="45" customFormat="1">
      <c r="A305" s="584"/>
      <c r="B305" s="1563"/>
      <c r="C305" s="1478" t="s">
        <v>1647</v>
      </c>
      <c r="D305" s="1020" t="s">
        <v>22</v>
      </c>
      <c r="E305" s="1185">
        <v>3</v>
      </c>
      <c r="F305" s="1473">
        <v>328740</v>
      </c>
      <c r="G305" s="1566">
        <f>+F305*E305</f>
        <v>986220</v>
      </c>
      <c r="H305" s="44"/>
      <c r="I305" s="44"/>
      <c r="J305" s="44"/>
    </row>
    <row r="306" spans="1:10" s="45" customFormat="1">
      <c r="A306" s="584"/>
      <c r="B306" s="1563"/>
      <c r="C306" s="1486" t="s">
        <v>1648</v>
      </c>
      <c r="D306" s="1020" t="s">
        <v>22</v>
      </c>
      <c r="E306" s="1185">
        <v>3</v>
      </c>
      <c r="F306" s="1473">
        <v>62770</v>
      </c>
      <c r="G306" s="1566">
        <f t="shared" ref="G306:G311" si="27">+F306*E306</f>
        <v>188310</v>
      </c>
      <c r="H306" s="44"/>
      <c r="I306" s="44"/>
      <c r="J306" s="44"/>
    </row>
    <row r="307" spans="1:10" s="45" customFormat="1">
      <c r="A307" s="584"/>
      <c r="B307" s="1563"/>
      <c r="C307" s="1479" t="s">
        <v>1651</v>
      </c>
      <c r="D307" s="1185" t="s">
        <v>500</v>
      </c>
      <c r="E307" s="1185">
        <f>1.4+12.3</f>
        <v>13.700000000000001</v>
      </c>
      <c r="F307" s="1473">
        <v>61080</v>
      </c>
      <c r="G307" s="1566">
        <f t="shared" si="27"/>
        <v>836796.00000000012</v>
      </c>
      <c r="H307" s="44"/>
      <c r="I307" s="44"/>
      <c r="J307" s="44"/>
    </row>
    <row r="308" spans="1:10" s="45" customFormat="1">
      <c r="A308" s="584"/>
      <c r="B308" s="1563"/>
      <c r="C308" s="1486" t="s">
        <v>1652</v>
      </c>
      <c r="D308" s="1020" t="s">
        <v>22</v>
      </c>
      <c r="E308" s="1185">
        <v>1</v>
      </c>
      <c r="F308" s="1473">
        <v>250000</v>
      </c>
      <c r="G308" s="1566">
        <f t="shared" si="27"/>
        <v>250000</v>
      </c>
      <c r="H308" s="44"/>
      <c r="I308" s="44"/>
      <c r="J308" s="44"/>
    </row>
    <row r="309" spans="1:10" s="45" customFormat="1">
      <c r="A309" s="584"/>
      <c r="B309" s="1563"/>
      <c r="C309" s="1479" t="s">
        <v>1655</v>
      </c>
      <c r="D309" s="1185" t="s">
        <v>22</v>
      </c>
      <c r="E309" s="1185">
        <v>1</v>
      </c>
      <c r="F309" s="1473">
        <v>280000</v>
      </c>
      <c r="G309" s="1566">
        <f t="shared" si="27"/>
        <v>280000</v>
      </c>
      <c r="H309" s="44"/>
      <c r="I309" s="44"/>
      <c r="J309" s="44"/>
    </row>
    <row r="310" spans="1:10" s="45" customFormat="1">
      <c r="A310" s="584"/>
      <c r="B310" s="1563"/>
      <c r="C310" s="1486" t="s">
        <v>1656</v>
      </c>
      <c r="D310" s="1185" t="s">
        <v>22</v>
      </c>
      <c r="E310" s="1185">
        <v>1</v>
      </c>
      <c r="F310" s="1473">
        <v>111300</v>
      </c>
      <c r="G310" s="1566">
        <f t="shared" si="27"/>
        <v>111300</v>
      </c>
      <c r="H310" s="44"/>
      <c r="I310" s="44"/>
      <c r="J310" s="44"/>
    </row>
    <row r="311" spans="1:10" s="45" customFormat="1" ht="15.75" thickBot="1">
      <c r="A311" s="584"/>
      <c r="B311" s="1565"/>
      <c r="C311" s="1479" t="s">
        <v>1638</v>
      </c>
      <c r="D311" s="1020" t="s">
        <v>22</v>
      </c>
      <c r="E311" s="1185">
        <v>4</v>
      </c>
      <c r="F311" s="1473">
        <v>59458</v>
      </c>
      <c r="G311" s="1566">
        <f t="shared" si="27"/>
        <v>237832</v>
      </c>
      <c r="H311" s="44"/>
      <c r="I311" s="44"/>
      <c r="J311" s="44"/>
    </row>
    <row r="312" spans="1:10" s="45" customFormat="1" ht="15.75" thickTop="1">
      <c r="A312" s="584"/>
      <c r="B312" s="1561"/>
      <c r="C312" s="1471" t="s">
        <v>1615</v>
      </c>
      <c r="D312" s="1471"/>
      <c r="E312" s="1471"/>
      <c r="F312" s="1472"/>
      <c r="G312" s="1572"/>
      <c r="H312" s="44"/>
      <c r="I312" s="44"/>
      <c r="J312" s="44"/>
    </row>
    <row r="313" spans="1:10" s="45" customFormat="1">
      <c r="A313" s="584"/>
      <c r="B313" s="1563"/>
      <c r="C313" s="921" t="s">
        <v>1616</v>
      </c>
      <c r="D313" s="1185" t="s">
        <v>56</v>
      </c>
      <c r="E313" s="1185">
        <v>3.5</v>
      </c>
      <c r="F313" s="1473">
        <v>9600</v>
      </c>
      <c r="G313" s="1567">
        <f>F313*E313</f>
        <v>33600</v>
      </c>
      <c r="H313" s="44"/>
      <c r="I313" s="44"/>
      <c r="J313" s="44"/>
    </row>
    <row r="314" spans="1:10" s="45" customFormat="1">
      <c r="A314" s="584"/>
      <c r="B314" s="1563"/>
      <c r="C314" s="921" t="s">
        <v>1617</v>
      </c>
      <c r="D314" s="1185" t="s">
        <v>500</v>
      </c>
      <c r="E314" s="1185">
        <v>15.6</v>
      </c>
      <c r="F314" s="1473">
        <v>19240</v>
      </c>
      <c r="G314" s="1567">
        <f>F314*E314</f>
        <v>300144</v>
      </c>
      <c r="H314" s="44"/>
      <c r="I314" s="44"/>
      <c r="J314" s="44"/>
    </row>
    <row r="315" spans="1:10" s="45" customFormat="1">
      <c r="A315" s="584"/>
      <c r="B315" s="1563"/>
      <c r="C315" s="1474" t="s">
        <v>1618</v>
      </c>
      <c r="D315" s="1020" t="s">
        <v>22</v>
      </c>
      <c r="E315" s="1185">
        <v>17</v>
      </c>
      <c r="F315" s="1473">
        <v>19430</v>
      </c>
      <c r="G315" s="1567">
        <f>F315*E315</f>
        <v>330310</v>
      </c>
      <c r="H315" s="44"/>
      <c r="I315" s="44"/>
      <c r="J315" s="44"/>
    </row>
    <row r="316" spans="1:10" s="45" customFormat="1" ht="15.75" thickBot="1">
      <c r="A316" s="584"/>
      <c r="B316" s="1563"/>
      <c r="C316" s="1481" t="s">
        <v>1619</v>
      </c>
      <c r="D316" s="1020" t="s">
        <v>22</v>
      </c>
      <c r="E316" s="1185">
        <v>10</v>
      </c>
      <c r="F316" s="1482">
        <v>2060</v>
      </c>
      <c r="G316" s="1567">
        <f>F316*E316</f>
        <v>20600</v>
      </c>
      <c r="H316" s="44"/>
      <c r="I316" s="44"/>
      <c r="J316" s="44"/>
    </row>
    <row r="317" spans="1:10" s="45" customFormat="1" ht="15.75" thickTop="1">
      <c r="A317" s="584"/>
      <c r="B317" s="1561"/>
      <c r="C317" s="1471" t="s">
        <v>1620</v>
      </c>
      <c r="D317" s="1471"/>
      <c r="E317" s="1471"/>
      <c r="F317" s="1472"/>
      <c r="G317" s="1572"/>
      <c r="H317" s="44"/>
      <c r="I317" s="44"/>
      <c r="J317" s="44"/>
    </row>
    <row r="318" spans="1:10" s="45" customFormat="1">
      <c r="A318" s="584"/>
      <c r="B318" s="1563"/>
      <c r="C318" s="921" t="s">
        <v>1621</v>
      </c>
      <c r="D318" s="1185" t="s">
        <v>43</v>
      </c>
      <c r="E318" s="1185">
        <v>2.8</v>
      </c>
      <c r="F318" s="1473">
        <v>48000</v>
      </c>
      <c r="G318" s="1567">
        <f>F318*E318</f>
        <v>134400</v>
      </c>
      <c r="H318" s="44"/>
      <c r="I318" s="44"/>
      <c r="J318" s="44"/>
    </row>
    <row r="319" spans="1:10" s="45" customFormat="1" ht="23.25">
      <c r="A319" s="584"/>
      <c r="B319" s="1563"/>
      <c r="C319" s="1483" t="s">
        <v>1622</v>
      </c>
      <c r="D319" s="1185" t="s">
        <v>56</v>
      </c>
      <c r="E319" s="1185">
        <v>2</v>
      </c>
      <c r="F319" s="1484">
        <v>32740</v>
      </c>
      <c r="G319" s="1573">
        <f>F319*E319</f>
        <v>65480</v>
      </c>
      <c r="H319" s="44"/>
      <c r="I319" s="44"/>
      <c r="J319" s="44"/>
    </row>
    <row r="320" spans="1:10" s="45" customFormat="1">
      <c r="A320" s="584"/>
      <c r="B320" s="1563"/>
      <c r="C320" s="921"/>
      <c r="D320" s="1185"/>
      <c r="E320" s="1185"/>
      <c r="F320" s="1473"/>
      <c r="G320" s="1574">
        <f>SUM(G270:G319)</f>
        <v>108499892.78249998</v>
      </c>
      <c r="H320" s="44"/>
      <c r="I320" s="44"/>
      <c r="J320" s="44"/>
    </row>
    <row r="321" spans="1:10" s="45" customFormat="1">
      <c r="A321" s="1487"/>
      <c r="B321" s="1575"/>
      <c r="C321" s="1538" t="s">
        <v>1682</v>
      </c>
      <c r="D321" s="1538"/>
      <c r="E321" s="1538"/>
      <c r="F321" s="1539"/>
      <c r="G321" s="1576"/>
      <c r="H321" s="44"/>
      <c r="I321" s="44"/>
      <c r="J321" s="44"/>
    </row>
    <row r="322" spans="1:10" s="45" customFormat="1">
      <c r="A322" s="1487"/>
      <c r="B322" s="1577"/>
      <c r="C322" s="1479" t="s">
        <v>1665</v>
      </c>
      <c r="D322" s="921" t="s">
        <v>142</v>
      </c>
      <c r="E322" s="921">
        <f>2043+210</f>
        <v>2253</v>
      </c>
      <c r="F322" s="1495">
        <v>3250</v>
      </c>
      <c r="G322" s="1566">
        <f>F322*E322</f>
        <v>7322250</v>
      </c>
      <c r="H322" s="44"/>
      <c r="I322" s="44"/>
      <c r="J322" s="44"/>
    </row>
    <row r="323" spans="1:10" s="45" customFormat="1">
      <c r="A323" s="1487"/>
      <c r="B323" s="1577"/>
      <c r="C323" s="1479" t="s">
        <v>1666</v>
      </c>
      <c r="D323" s="921" t="s">
        <v>139</v>
      </c>
      <c r="E323" s="921">
        <v>135</v>
      </c>
      <c r="F323" s="1495">
        <v>12390</v>
      </c>
      <c r="G323" s="1566">
        <f t="shared" ref="G323:G330" si="28">F323*E323</f>
        <v>1672650</v>
      </c>
      <c r="H323" s="44"/>
      <c r="I323" s="44"/>
      <c r="J323" s="44"/>
    </row>
    <row r="324" spans="1:10" s="45" customFormat="1">
      <c r="A324" s="1487"/>
      <c r="B324" s="1577"/>
      <c r="C324" s="1479" t="s">
        <v>1667</v>
      </c>
      <c r="D324" s="921" t="s">
        <v>139</v>
      </c>
      <c r="E324" s="921"/>
      <c r="F324" s="1495"/>
      <c r="G324" s="1566">
        <f t="shared" si="28"/>
        <v>0</v>
      </c>
      <c r="H324" s="44"/>
      <c r="I324" s="44"/>
      <c r="J324" s="44"/>
    </row>
    <row r="325" spans="1:10" s="45" customFormat="1">
      <c r="A325" s="1487"/>
      <c r="B325" s="1577"/>
      <c r="C325" s="1479" t="s">
        <v>1676</v>
      </c>
      <c r="D325" s="921" t="s">
        <v>139</v>
      </c>
      <c r="E325" s="921">
        <v>2.2000000000000002</v>
      </c>
      <c r="F325" s="1495">
        <v>630777</v>
      </c>
      <c r="G325" s="1566">
        <f t="shared" si="28"/>
        <v>1387709.4000000001</v>
      </c>
      <c r="H325" s="44"/>
      <c r="I325" s="44"/>
      <c r="J325" s="44"/>
    </row>
    <row r="326" spans="1:10" s="45" customFormat="1">
      <c r="A326" s="1487"/>
      <c r="B326" s="1577"/>
      <c r="C326" s="921" t="s">
        <v>1677</v>
      </c>
      <c r="D326" s="921" t="s">
        <v>139</v>
      </c>
      <c r="E326" s="921">
        <v>3.5</v>
      </c>
      <c r="F326" s="1495">
        <v>630777</v>
      </c>
      <c r="G326" s="1566">
        <f t="shared" si="28"/>
        <v>2207719.5</v>
      </c>
      <c r="H326" s="44"/>
      <c r="I326" s="44"/>
      <c r="J326" s="44"/>
    </row>
    <row r="327" spans="1:10" s="45" customFormat="1">
      <c r="A327" s="1487"/>
      <c r="B327" s="1577"/>
      <c r="C327" s="907" t="s">
        <v>1678</v>
      </c>
      <c r="D327" s="921" t="s">
        <v>139</v>
      </c>
      <c r="E327" s="921">
        <v>1.7</v>
      </c>
      <c r="F327" s="1495">
        <v>467430</v>
      </c>
      <c r="G327" s="1566">
        <f t="shared" si="28"/>
        <v>794631</v>
      </c>
      <c r="H327" s="44"/>
      <c r="I327" s="44"/>
      <c r="J327" s="44"/>
    </row>
    <row r="328" spans="1:10" s="45" customFormat="1">
      <c r="A328" s="1487"/>
      <c r="B328" s="1577"/>
      <c r="C328" s="921" t="s">
        <v>1679</v>
      </c>
      <c r="D328" s="921" t="s">
        <v>139</v>
      </c>
      <c r="E328" s="921">
        <v>14</v>
      </c>
      <c r="F328" s="1495">
        <v>467430</v>
      </c>
      <c r="G328" s="1566">
        <f t="shared" si="28"/>
        <v>6544020</v>
      </c>
      <c r="H328" s="44"/>
      <c r="I328" s="44"/>
      <c r="J328" s="44"/>
    </row>
    <row r="329" spans="1:10" s="45" customFormat="1">
      <c r="A329" s="1487"/>
      <c r="B329" s="1577"/>
      <c r="C329" s="921" t="s">
        <v>1680</v>
      </c>
      <c r="D329" s="921" t="s">
        <v>139</v>
      </c>
      <c r="E329" s="921">
        <v>45</v>
      </c>
      <c r="F329" s="1495">
        <v>234830</v>
      </c>
      <c r="G329" s="1566">
        <f t="shared" ref="G329" si="29">F329*E329</f>
        <v>10567350</v>
      </c>
      <c r="H329" s="44"/>
      <c r="I329" s="44"/>
      <c r="J329" s="44"/>
    </row>
    <row r="330" spans="1:10" s="45" customFormat="1">
      <c r="A330" s="1487"/>
      <c r="B330" s="1577"/>
      <c r="C330" s="921" t="s">
        <v>1681</v>
      </c>
      <c r="D330" s="921" t="s">
        <v>139</v>
      </c>
      <c r="E330" s="921">
        <v>17</v>
      </c>
      <c r="F330" s="1495">
        <f>+F325</f>
        <v>630777</v>
      </c>
      <c r="G330" s="1566">
        <f t="shared" si="28"/>
        <v>10723209</v>
      </c>
      <c r="H330" s="44"/>
      <c r="I330" s="44"/>
      <c r="J330" s="44"/>
    </row>
    <row r="331" spans="1:10" s="45" customFormat="1">
      <c r="A331" s="1487"/>
      <c r="B331" s="1577"/>
      <c r="C331" s="921"/>
      <c r="D331" s="921"/>
      <c r="E331" s="921"/>
      <c r="F331" s="1473"/>
      <c r="G331" s="1578">
        <f>SUM(G322:G330)</f>
        <v>41219538.899999999</v>
      </c>
      <c r="H331" s="44"/>
      <c r="I331" s="44"/>
      <c r="J331" s="44"/>
    </row>
    <row r="332" spans="1:10" s="45" customFormat="1" ht="15.75" thickBot="1">
      <c r="A332" s="1487"/>
      <c r="B332" s="1579"/>
      <c r="C332" s="419"/>
      <c r="D332" s="419"/>
      <c r="E332" s="419"/>
      <c r="F332" s="1540"/>
      <c r="G332" s="1580"/>
      <c r="H332" s="44"/>
      <c r="I332" s="44"/>
      <c r="J332" s="44"/>
    </row>
    <row r="333" spans="1:10" s="45" customFormat="1" ht="16.5" thickTop="1" thickBot="1">
      <c r="A333" s="1487"/>
      <c r="B333" s="1925" t="s">
        <v>1658</v>
      </c>
      <c r="C333" s="1923"/>
      <c r="D333" s="1923"/>
      <c r="E333" s="1923"/>
      <c r="F333" s="1923"/>
      <c r="G333" s="1926"/>
      <c r="H333" s="44"/>
      <c r="I333" s="44"/>
      <c r="J333" s="44"/>
    </row>
    <row r="334" spans="1:10" s="45" customFormat="1" ht="15.75" thickTop="1">
      <c r="A334" s="185"/>
      <c r="B334" s="1581"/>
      <c r="C334" s="1365" t="s">
        <v>1109</v>
      </c>
      <c r="D334" s="1020"/>
      <c r="E334" s="1281"/>
      <c r="F334" s="1282"/>
      <c r="G334" s="1553">
        <f t="shared" ref="G334:G335" si="30">+E334*F334</f>
        <v>0</v>
      </c>
      <c r="H334" s="44"/>
      <c r="I334" s="44"/>
      <c r="J334" s="44"/>
    </row>
    <row r="335" spans="1:10" s="45" customFormat="1" ht="51">
      <c r="A335" s="185"/>
      <c r="B335" s="1581"/>
      <c r="C335" s="1421" t="s">
        <v>1111</v>
      </c>
      <c r="D335" s="1020" t="s">
        <v>22</v>
      </c>
      <c r="E335" s="1281">
        <v>1</v>
      </c>
      <c r="F335" s="1282">
        <f>2739900*1.35</f>
        <v>3698865.0000000005</v>
      </c>
      <c r="G335" s="1553">
        <f t="shared" si="30"/>
        <v>3698865.0000000005</v>
      </c>
      <c r="H335" s="44"/>
      <c r="I335" s="44"/>
      <c r="J335" s="44"/>
    </row>
    <row r="336" spans="1:10" s="45" customFormat="1">
      <c r="A336" s="185"/>
      <c r="B336" s="1582"/>
      <c r="C336" s="1489"/>
      <c r="D336" s="1173"/>
      <c r="E336" s="1455"/>
      <c r="F336" s="95"/>
      <c r="G336" s="1583">
        <f>SUM(G334:G335)</f>
        <v>3698865.0000000005</v>
      </c>
      <c r="H336" s="44"/>
      <c r="I336" s="44"/>
      <c r="J336" s="44"/>
    </row>
    <row r="337" spans="1:10" s="45" customFormat="1" ht="15.75" customHeight="1" thickBot="1">
      <c r="A337" s="185"/>
      <c r="B337" s="1406"/>
      <c r="C337" s="1407"/>
      <c r="D337" s="1408"/>
      <c r="E337" s="1409"/>
      <c r="F337" s="1032" t="s">
        <v>1098</v>
      </c>
      <c r="G337" s="1505">
        <f>+G336+G331+G320</f>
        <v>153418296.68249997</v>
      </c>
      <c r="H337" s="1543"/>
      <c r="I337" s="44"/>
      <c r="J337" s="44"/>
    </row>
    <row r="338" spans="1:10" s="45" customFormat="1" ht="15.75" thickBot="1">
      <c r="A338" s="185"/>
      <c r="B338" s="884"/>
      <c r="C338" s="887"/>
      <c r="D338" s="827"/>
      <c r="E338" s="594"/>
      <c r="F338" s="575"/>
      <c r="G338" s="792"/>
      <c r="H338" s="44"/>
      <c r="I338" s="44"/>
      <c r="J338" s="44"/>
    </row>
    <row r="339" spans="1:10" s="45" customFormat="1">
      <c r="A339" s="185"/>
      <c r="B339" s="1493">
        <v>10</v>
      </c>
      <c r="C339" s="1403" t="s">
        <v>1136</v>
      </c>
      <c r="D339" s="1404"/>
      <c r="E339" s="1404"/>
      <c r="F339" s="1404"/>
      <c r="G339" s="1405"/>
      <c r="H339" s="44"/>
      <c r="I339" s="44"/>
      <c r="J339" s="44"/>
    </row>
    <row r="340" spans="1:10" s="45" customFormat="1">
      <c r="A340" s="185"/>
      <c r="B340" s="1581"/>
      <c r="C340" s="1424" t="s">
        <v>1137</v>
      </c>
      <c r="D340" s="1425"/>
      <c r="E340" s="1425"/>
      <c r="F340" s="1425"/>
      <c r="G340" s="1584"/>
      <c r="H340" s="44"/>
      <c r="I340" s="44"/>
      <c r="J340" s="44"/>
    </row>
    <row r="341" spans="1:10" s="45" customFormat="1">
      <c r="A341" s="185"/>
      <c r="B341" s="1581"/>
      <c r="C341" s="1183" t="s">
        <v>1115</v>
      </c>
      <c r="D341" s="1185" t="s">
        <v>22</v>
      </c>
      <c r="E341" s="930">
        <v>4</v>
      </c>
      <c r="F341" s="915">
        <v>664280</v>
      </c>
      <c r="G341" s="1553">
        <f t="shared" ref="G341:G404" si="31">+E341*F341</f>
        <v>2657120</v>
      </c>
      <c r="H341" s="44"/>
      <c r="I341" s="44"/>
      <c r="J341" s="44"/>
    </row>
    <row r="342" spans="1:10" s="45" customFormat="1" ht="30">
      <c r="A342" s="185"/>
      <c r="B342" s="1581"/>
      <c r="C342" s="907" t="s">
        <v>1116</v>
      </c>
      <c r="D342" s="1185" t="s">
        <v>22</v>
      </c>
      <c r="E342" s="931">
        <v>8</v>
      </c>
      <c r="F342" s="922">
        <v>250000</v>
      </c>
      <c r="G342" s="1553">
        <f t="shared" si="31"/>
        <v>2000000</v>
      </c>
      <c r="H342" s="44"/>
      <c r="I342" s="44"/>
      <c r="J342" s="44"/>
    </row>
    <row r="343" spans="1:10" s="45" customFormat="1" ht="30">
      <c r="A343" s="185"/>
      <c r="B343" s="1581"/>
      <c r="C343" s="907" t="s">
        <v>1117</v>
      </c>
      <c r="D343" s="1185" t="s">
        <v>22</v>
      </c>
      <c r="E343" s="931">
        <v>8</v>
      </c>
      <c r="F343" s="922">
        <v>45000</v>
      </c>
      <c r="G343" s="1553">
        <f t="shared" si="31"/>
        <v>360000</v>
      </c>
      <c r="H343" s="44"/>
      <c r="I343" s="44"/>
      <c r="J343" s="44"/>
    </row>
    <row r="344" spans="1:10" s="45" customFormat="1" ht="30">
      <c r="A344" s="185"/>
      <c r="B344" s="1585"/>
      <c r="C344" s="907" t="s">
        <v>1118</v>
      </c>
      <c r="D344" s="1185" t="s">
        <v>22</v>
      </c>
      <c r="E344" s="931">
        <v>4</v>
      </c>
      <c r="F344" s="922">
        <v>40000</v>
      </c>
      <c r="G344" s="1553">
        <f t="shared" si="31"/>
        <v>160000</v>
      </c>
      <c r="H344" s="44"/>
      <c r="I344" s="44"/>
      <c r="J344" s="44"/>
    </row>
    <row r="345" spans="1:10" s="45" customFormat="1">
      <c r="A345" s="185"/>
      <c r="B345" s="1585"/>
      <c r="C345" s="907" t="s">
        <v>1119</v>
      </c>
      <c r="D345" s="1185" t="s">
        <v>22</v>
      </c>
      <c r="E345" s="931">
        <v>4</v>
      </c>
      <c r="F345" s="922">
        <v>8000</v>
      </c>
      <c r="G345" s="1553">
        <f t="shared" si="31"/>
        <v>32000</v>
      </c>
      <c r="H345" s="44"/>
      <c r="I345" s="44"/>
      <c r="J345" s="44"/>
    </row>
    <row r="346" spans="1:10" s="45" customFormat="1">
      <c r="A346" s="185"/>
      <c r="B346" s="1585"/>
      <c r="C346" s="908" t="s">
        <v>1120</v>
      </c>
      <c r="D346" s="1185" t="s">
        <v>22</v>
      </c>
      <c r="E346" s="931">
        <v>28</v>
      </c>
      <c r="F346" s="922">
        <v>500</v>
      </c>
      <c r="G346" s="1553">
        <f t="shared" si="31"/>
        <v>14000</v>
      </c>
      <c r="H346" s="44"/>
      <c r="I346" s="44"/>
      <c r="J346" s="44"/>
    </row>
    <row r="347" spans="1:10" s="45" customFormat="1">
      <c r="A347" s="185"/>
      <c r="B347" s="1585"/>
      <c r="C347" s="908" t="s">
        <v>1121</v>
      </c>
      <c r="D347" s="1185" t="s">
        <v>22</v>
      </c>
      <c r="E347" s="931">
        <v>16</v>
      </c>
      <c r="F347" s="922">
        <v>2000</v>
      </c>
      <c r="G347" s="1553">
        <f t="shared" si="31"/>
        <v>32000</v>
      </c>
      <c r="H347" s="44"/>
      <c r="I347" s="44"/>
      <c r="J347" s="44"/>
    </row>
    <row r="348" spans="1:10" s="45" customFormat="1" ht="30">
      <c r="A348" s="185"/>
      <c r="B348" s="1585"/>
      <c r="C348" s="908" t="s">
        <v>1122</v>
      </c>
      <c r="D348" s="1185" t="s">
        <v>22</v>
      </c>
      <c r="E348" s="931">
        <v>6</v>
      </c>
      <c r="F348" s="922">
        <v>4800</v>
      </c>
      <c r="G348" s="1553">
        <f t="shared" si="31"/>
        <v>28800</v>
      </c>
      <c r="H348" s="44"/>
      <c r="I348" s="44"/>
      <c r="J348" s="44"/>
    </row>
    <row r="349" spans="1:10" s="45" customFormat="1">
      <c r="A349" s="185"/>
      <c r="B349" s="1585"/>
      <c r="C349" s="908" t="s">
        <v>1123</v>
      </c>
      <c r="D349" s="1185" t="s">
        <v>22</v>
      </c>
      <c r="E349" s="931">
        <v>5</v>
      </c>
      <c r="F349" s="922">
        <v>15000</v>
      </c>
      <c r="G349" s="1553">
        <f t="shared" si="31"/>
        <v>75000</v>
      </c>
      <c r="H349" s="44"/>
      <c r="I349" s="44"/>
      <c r="J349" s="44"/>
    </row>
    <row r="350" spans="1:10" s="45" customFormat="1" ht="30">
      <c r="A350" s="185"/>
      <c r="B350" s="1585"/>
      <c r="C350" s="908" t="s">
        <v>1124</v>
      </c>
      <c r="D350" s="1185" t="s">
        <v>22</v>
      </c>
      <c r="E350" s="931">
        <v>5</v>
      </c>
      <c r="F350" s="922">
        <v>1000</v>
      </c>
      <c r="G350" s="1553">
        <f t="shared" si="31"/>
        <v>5000</v>
      </c>
      <c r="H350" s="44"/>
      <c r="I350" s="44"/>
      <c r="J350" s="44"/>
    </row>
    <row r="351" spans="1:10" s="45" customFormat="1">
      <c r="A351" s="185"/>
      <c r="B351" s="1585"/>
      <c r="C351" s="907" t="s">
        <v>1125</v>
      </c>
      <c r="D351" s="1185" t="s">
        <v>22</v>
      </c>
      <c r="E351" s="931">
        <v>10</v>
      </c>
      <c r="F351" s="922">
        <v>20000</v>
      </c>
      <c r="G351" s="1553">
        <f t="shared" si="31"/>
        <v>200000</v>
      </c>
      <c r="H351" s="44"/>
      <c r="I351" s="44"/>
      <c r="J351" s="44"/>
    </row>
    <row r="352" spans="1:10" s="45" customFormat="1">
      <c r="A352" s="185"/>
      <c r="B352" s="1585"/>
      <c r="C352" s="907" t="s">
        <v>1126</v>
      </c>
      <c r="D352" s="1185" t="s">
        <v>22</v>
      </c>
      <c r="E352" s="931">
        <v>4</v>
      </c>
      <c r="F352" s="922">
        <v>25000</v>
      </c>
      <c r="G352" s="1553">
        <f t="shared" si="31"/>
        <v>100000</v>
      </c>
      <c r="H352" s="44"/>
      <c r="I352" s="44"/>
      <c r="J352" s="44"/>
    </row>
    <row r="353" spans="1:10" s="45" customFormat="1">
      <c r="A353" s="185"/>
      <c r="B353" s="1585"/>
      <c r="C353" s="907" t="s">
        <v>1127</v>
      </c>
      <c r="D353" s="1185" t="s">
        <v>22</v>
      </c>
      <c r="E353" s="931">
        <v>4</v>
      </c>
      <c r="F353" s="922">
        <v>17780</v>
      </c>
      <c r="G353" s="1553">
        <f t="shared" si="31"/>
        <v>71120</v>
      </c>
      <c r="H353" s="44"/>
      <c r="I353" s="44"/>
      <c r="J353" s="44"/>
    </row>
    <row r="354" spans="1:10" s="45" customFormat="1">
      <c r="A354" s="185"/>
      <c r="B354" s="1585"/>
      <c r="C354" s="1184" t="s">
        <v>1128</v>
      </c>
      <c r="D354" s="1185" t="s">
        <v>1139</v>
      </c>
      <c r="E354" s="1186">
        <f>605+300</f>
        <v>905</v>
      </c>
      <c r="F354" s="1187">
        <v>2643</v>
      </c>
      <c r="G354" s="1553">
        <f t="shared" si="31"/>
        <v>2391915</v>
      </c>
      <c r="H354" s="44"/>
      <c r="I354" s="44"/>
      <c r="J354" s="44"/>
    </row>
    <row r="355" spans="1:10" s="45" customFormat="1">
      <c r="A355" s="185"/>
      <c r="B355" s="1585"/>
      <c r="C355" s="1184" t="s">
        <v>1129</v>
      </c>
      <c r="D355" s="1185" t="s">
        <v>22</v>
      </c>
      <c r="E355" s="1186">
        <v>3</v>
      </c>
      <c r="F355" s="1187">
        <v>17000</v>
      </c>
      <c r="G355" s="1553">
        <f t="shared" si="31"/>
        <v>51000</v>
      </c>
      <c r="H355" s="44"/>
      <c r="I355" s="44"/>
      <c r="J355" s="44"/>
    </row>
    <row r="356" spans="1:10" s="45" customFormat="1" ht="30">
      <c r="A356" s="185"/>
      <c r="B356" s="1585"/>
      <c r="C356" s="907" t="s">
        <v>1130</v>
      </c>
      <c r="D356" s="1185" t="s">
        <v>22</v>
      </c>
      <c r="E356" s="931">
        <v>12</v>
      </c>
      <c r="F356" s="922">
        <v>14500</v>
      </c>
      <c r="G356" s="1553">
        <f t="shared" si="31"/>
        <v>174000</v>
      </c>
      <c r="H356" s="44"/>
      <c r="I356" s="44"/>
      <c r="J356" s="44"/>
    </row>
    <row r="357" spans="1:10" s="45" customFormat="1" ht="30">
      <c r="A357" s="185"/>
      <c r="B357" s="1585"/>
      <c r="C357" s="907" t="s">
        <v>1131</v>
      </c>
      <c r="D357" s="1185" t="s">
        <v>22</v>
      </c>
      <c r="E357" s="931">
        <v>3</v>
      </c>
      <c r="F357" s="922">
        <v>2000</v>
      </c>
      <c r="G357" s="1553">
        <f t="shared" si="31"/>
        <v>6000</v>
      </c>
      <c r="H357" s="44"/>
      <c r="I357" s="44"/>
      <c r="J357" s="44"/>
    </row>
    <row r="358" spans="1:10" s="45" customFormat="1">
      <c r="A358" s="185"/>
      <c r="B358" s="1585"/>
      <c r="C358" s="907" t="s">
        <v>1132</v>
      </c>
      <c r="D358" s="912" t="s">
        <v>1140</v>
      </c>
      <c r="E358" s="931">
        <v>5</v>
      </c>
      <c r="F358" s="922">
        <v>4500</v>
      </c>
      <c r="G358" s="1553">
        <f t="shared" si="31"/>
        <v>22500</v>
      </c>
      <c r="H358" s="44"/>
      <c r="I358" s="44"/>
      <c r="J358" s="44"/>
    </row>
    <row r="359" spans="1:10" s="45" customFormat="1">
      <c r="A359" s="185"/>
      <c r="B359" s="1585"/>
      <c r="C359" s="907" t="s">
        <v>1133</v>
      </c>
      <c r="D359" s="1185" t="s">
        <v>22</v>
      </c>
      <c r="E359" s="931">
        <v>3</v>
      </c>
      <c r="F359" s="922">
        <v>35000</v>
      </c>
      <c r="G359" s="1553">
        <f t="shared" si="31"/>
        <v>105000</v>
      </c>
      <c r="H359" s="44"/>
      <c r="I359" s="44"/>
      <c r="J359" s="44"/>
    </row>
    <row r="360" spans="1:10" s="45" customFormat="1">
      <c r="A360" s="185"/>
      <c r="B360" s="1585"/>
      <c r="C360" s="907" t="s">
        <v>1134</v>
      </c>
      <c r="D360" s="1185" t="s">
        <v>22</v>
      </c>
      <c r="E360" s="931">
        <v>3</v>
      </c>
      <c r="F360" s="922">
        <v>20000</v>
      </c>
      <c r="G360" s="1553">
        <f t="shared" si="31"/>
        <v>60000</v>
      </c>
      <c r="H360" s="44"/>
      <c r="I360" s="44"/>
      <c r="J360" s="44"/>
    </row>
    <row r="361" spans="1:10" s="45" customFormat="1" ht="30">
      <c r="A361" s="185"/>
      <c r="B361" s="1585"/>
      <c r="C361" s="907" t="s">
        <v>1135</v>
      </c>
      <c r="D361" s="912" t="s">
        <v>1141</v>
      </c>
      <c r="E361" s="931">
        <v>45</v>
      </c>
      <c r="F361" s="922">
        <v>4833</v>
      </c>
      <c r="G361" s="1553">
        <f t="shared" si="31"/>
        <v>217485</v>
      </c>
      <c r="H361" s="44"/>
      <c r="I361" s="44"/>
      <c r="J361" s="44"/>
    </row>
    <row r="362" spans="1:10" s="45" customFormat="1">
      <c r="A362" s="185"/>
      <c r="B362" s="1585"/>
      <c r="C362" s="907" t="s">
        <v>1178</v>
      </c>
      <c r="D362" s="1020"/>
      <c r="E362" s="1281"/>
      <c r="F362" s="1282"/>
      <c r="G362" s="1553">
        <f t="shared" si="31"/>
        <v>0</v>
      </c>
      <c r="H362" s="44"/>
      <c r="I362" s="44"/>
      <c r="J362" s="44"/>
    </row>
    <row r="363" spans="1:10" s="45" customFormat="1" ht="30">
      <c r="A363" s="185"/>
      <c r="B363" s="1585"/>
      <c r="C363" s="907" t="s">
        <v>1163</v>
      </c>
      <c r="D363" s="912" t="s">
        <v>1207</v>
      </c>
      <c r="E363" s="921">
        <v>1</v>
      </c>
      <c r="F363" s="922">
        <v>160000</v>
      </c>
      <c r="G363" s="1553">
        <f t="shared" si="31"/>
        <v>160000</v>
      </c>
      <c r="H363" s="44"/>
      <c r="I363" s="44"/>
      <c r="J363" s="44"/>
    </row>
    <row r="364" spans="1:10" s="45" customFormat="1" ht="30">
      <c r="A364" s="185"/>
      <c r="B364" s="1585"/>
      <c r="C364" s="907" t="s">
        <v>1164</v>
      </c>
      <c r="D364" s="912" t="s">
        <v>1207</v>
      </c>
      <c r="E364" s="921">
        <v>2</v>
      </c>
      <c r="F364" s="922">
        <v>115000</v>
      </c>
      <c r="G364" s="1553">
        <f t="shared" si="31"/>
        <v>230000</v>
      </c>
      <c r="H364" s="44"/>
      <c r="I364" s="44"/>
      <c r="J364" s="44"/>
    </row>
    <row r="365" spans="1:10" s="45" customFormat="1">
      <c r="A365" s="185"/>
      <c r="B365" s="1585"/>
      <c r="C365" s="907" t="s">
        <v>1165</v>
      </c>
      <c r="D365" s="912" t="s">
        <v>1207</v>
      </c>
      <c r="E365" s="921">
        <v>2</v>
      </c>
      <c r="F365" s="922">
        <v>213620</v>
      </c>
      <c r="G365" s="1553">
        <f t="shared" si="31"/>
        <v>427240</v>
      </c>
      <c r="H365" s="44"/>
      <c r="I365" s="44"/>
      <c r="J365" s="44"/>
    </row>
    <row r="366" spans="1:10" s="45" customFormat="1">
      <c r="A366" s="185"/>
      <c r="B366" s="1585"/>
      <c r="C366" s="907" t="s">
        <v>1166</v>
      </c>
      <c r="D366" s="912" t="s">
        <v>1207</v>
      </c>
      <c r="E366" s="921">
        <v>2</v>
      </c>
      <c r="F366" s="922">
        <v>15200</v>
      </c>
      <c r="G366" s="1553">
        <f t="shared" si="31"/>
        <v>30400</v>
      </c>
      <c r="H366" s="44"/>
      <c r="I366" s="44"/>
      <c r="J366" s="44"/>
    </row>
    <row r="367" spans="1:10" s="45" customFormat="1">
      <c r="A367" s="185"/>
      <c r="B367" s="1585"/>
      <c r="C367" s="907" t="s">
        <v>1167</v>
      </c>
      <c r="D367" s="912" t="s">
        <v>1207</v>
      </c>
      <c r="E367" s="921">
        <v>2</v>
      </c>
      <c r="F367" s="922">
        <v>16500</v>
      </c>
      <c r="G367" s="1553">
        <f t="shared" si="31"/>
        <v>33000</v>
      </c>
      <c r="H367" s="44"/>
      <c r="I367" s="44"/>
      <c r="J367" s="44"/>
    </row>
    <row r="368" spans="1:10" s="45" customFormat="1">
      <c r="A368" s="185"/>
      <c r="B368" s="1585"/>
      <c r="C368" s="907" t="s">
        <v>1168</v>
      </c>
      <c r="D368" s="912" t="s">
        <v>1207</v>
      </c>
      <c r="E368" s="921">
        <v>2</v>
      </c>
      <c r="F368" s="922">
        <v>22000</v>
      </c>
      <c r="G368" s="1553">
        <f t="shared" si="31"/>
        <v>44000</v>
      </c>
      <c r="H368" s="44"/>
      <c r="I368" s="44"/>
      <c r="J368" s="44"/>
    </row>
    <row r="369" spans="1:10" s="45" customFormat="1">
      <c r="A369" s="185"/>
      <c r="B369" s="1585"/>
      <c r="C369" s="907" t="s">
        <v>1169</v>
      </c>
      <c r="D369" s="912" t="s">
        <v>1207</v>
      </c>
      <c r="E369" s="921">
        <v>5</v>
      </c>
      <c r="F369" s="922">
        <v>500</v>
      </c>
      <c r="G369" s="1553">
        <f t="shared" si="31"/>
        <v>2500</v>
      </c>
      <c r="H369" s="44"/>
      <c r="I369" s="44"/>
      <c r="J369" s="44"/>
    </row>
    <row r="370" spans="1:10" s="45" customFormat="1">
      <c r="A370" s="185"/>
      <c r="B370" s="1585"/>
      <c r="C370" s="907" t="s">
        <v>1170</v>
      </c>
      <c r="D370" s="912" t="s">
        <v>1207</v>
      </c>
      <c r="E370" s="921">
        <v>2</v>
      </c>
      <c r="F370" s="922">
        <v>2500</v>
      </c>
      <c r="G370" s="1553">
        <f t="shared" si="31"/>
        <v>5000</v>
      </c>
      <c r="H370" s="44"/>
      <c r="I370" s="44"/>
      <c r="J370" s="44"/>
    </row>
    <row r="371" spans="1:10" s="45" customFormat="1">
      <c r="A371" s="185"/>
      <c r="B371" s="1585"/>
      <c r="C371" s="907" t="s">
        <v>1171</v>
      </c>
      <c r="D371" s="912" t="s">
        <v>1208</v>
      </c>
      <c r="E371" s="921">
        <v>5</v>
      </c>
      <c r="F371" s="922">
        <v>6000</v>
      </c>
      <c r="G371" s="1553">
        <f t="shared" si="31"/>
        <v>30000</v>
      </c>
      <c r="H371" s="44"/>
      <c r="I371" s="44"/>
      <c r="J371" s="44"/>
    </row>
    <row r="372" spans="1:10" s="45" customFormat="1">
      <c r="A372" s="185"/>
      <c r="B372" s="1585"/>
      <c r="C372" s="907" t="s">
        <v>1172</v>
      </c>
      <c r="D372" s="912" t="s">
        <v>1207</v>
      </c>
      <c r="E372" s="921">
        <v>2</v>
      </c>
      <c r="F372" s="922">
        <v>2000</v>
      </c>
      <c r="G372" s="1553">
        <f t="shared" si="31"/>
        <v>4000</v>
      </c>
      <c r="H372" s="44"/>
      <c r="I372" s="44"/>
      <c r="J372" s="44"/>
    </row>
    <row r="373" spans="1:10" s="45" customFormat="1">
      <c r="A373" s="185"/>
      <c r="B373" s="1585"/>
      <c r="C373" s="907" t="s">
        <v>1173</v>
      </c>
      <c r="D373" s="912" t="s">
        <v>1207</v>
      </c>
      <c r="E373" s="921">
        <v>2</v>
      </c>
      <c r="F373" s="922">
        <v>15000</v>
      </c>
      <c r="G373" s="1553">
        <f t="shared" si="31"/>
        <v>30000</v>
      </c>
      <c r="H373" s="44"/>
      <c r="I373" s="44"/>
      <c r="J373" s="44"/>
    </row>
    <row r="374" spans="1:10" s="45" customFormat="1">
      <c r="A374" s="185"/>
      <c r="B374" s="1585"/>
      <c r="C374" s="907" t="s">
        <v>1174</v>
      </c>
      <c r="D374" s="912" t="s">
        <v>1207</v>
      </c>
      <c r="E374" s="921">
        <v>2</v>
      </c>
      <c r="F374" s="922">
        <v>17780</v>
      </c>
      <c r="G374" s="1553">
        <f t="shared" si="31"/>
        <v>35560</v>
      </c>
      <c r="H374" s="44"/>
      <c r="I374" s="44"/>
      <c r="J374" s="44"/>
    </row>
    <row r="375" spans="1:10" s="45" customFormat="1">
      <c r="A375" s="185"/>
      <c r="B375" s="1585"/>
      <c r="C375" s="907" t="s">
        <v>1175</v>
      </c>
      <c r="D375" s="912" t="s">
        <v>1208</v>
      </c>
      <c r="E375" s="921">
        <v>8</v>
      </c>
      <c r="F375" s="922">
        <v>2400</v>
      </c>
      <c r="G375" s="1553">
        <f t="shared" si="31"/>
        <v>19200</v>
      </c>
      <c r="H375" s="44"/>
      <c r="I375" s="44"/>
      <c r="J375" s="44"/>
    </row>
    <row r="376" spans="1:10" s="45" customFormat="1">
      <c r="A376" s="185"/>
      <c r="B376" s="1585"/>
      <c r="C376" s="907" t="s">
        <v>1176</v>
      </c>
      <c r="D376" s="912" t="s">
        <v>1207</v>
      </c>
      <c r="E376" s="921">
        <v>2</v>
      </c>
      <c r="F376" s="922">
        <v>19500</v>
      </c>
      <c r="G376" s="1553">
        <f t="shared" si="31"/>
        <v>39000</v>
      </c>
      <c r="H376" s="44"/>
      <c r="I376" s="44"/>
      <c r="J376" s="44"/>
    </row>
    <row r="377" spans="1:10" s="45" customFormat="1" ht="30">
      <c r="A377" s="185"/>
      <c r="B377" s="1585"/>
      <c r="C377" s="907" t="s">
        <v>1177</v>
      </c>
      <c r="D377" s="912" t="s">
        <v>1207</v>
      </c>
      <c r="E377" s="921">
        <v>1</v>
      </c>
      <c r="F377" s="922">
        <v>3841910</v>
      </c>
      <c r="G377" s="1553">
        <f t="shared" si="31"/>
        <v>3841910</v>
      </c>
      <c r="H377" s="44"/>
      <c r="I377" s="44"/>
      <c r="J377" s="44"/>
    </row>
    <row r="378" spans="1:10" s="45" customFormat="1" ht="30">
      <c r="A378" s="185"/>
      <c r="B378" s="1585"/>
      <c r="C378" s="907" t="s">
        <v>1194</v>
      </c>
      <c r="D378" s="1020"/>
      <c r="E378" s="1281"/>
      <c r="F378" s="1282"/>
      <c r="G378" s="1553">
        <f t="shared" si="31"/>
        <v>0</v>
      </c>
      <c r="H378" s="44"/>
      <c r="I378" s="44"/>
      <c r="J378" s="44"/>
    </row>
    <row r="379" spans="1:10" s="45" customFormat="1">
      <c r="A379" s="185"/>
      <c r="B379" s="1585"/>
      <c r="C379" s="907" t="s">
        <v>1195</v>
      </c>
      <c r="D379" s="912" t="s">
        <v>1208</v>
      </c>
      <c r="E379" s="921">
        <v>12</v>
      </c>
      <c r="F379" s="922">
        <v>4500</v>
      </c>
      <c r="G379" s="1553">
        <f t="shared" si="31"/>
        <v>54000</v>
      </c>
      <c r="H379" s="44"/>
      <c r="I379" s="44"/>
      <c r="J379" s="44"/>
    </row>
    <row r="380" spans="1:10" s="45" customFormat="1">
      <c r="A380" s="185"/>
      <c r="B380" s="1585"/>
      <c r="C380" s="907" t="s">
        <v>1196</v>
      </c>
      <c r="D380" s="912" t="s">
        <v>1207</v>
      </c>
      <c r="E380" s="921">
        <v>3</v>
      </c>
      <c r="F380" s="922">
        <v>1000</v>
      </c>
      <c r="G380" s="1553">
        <f t="shared" si="31"/>
        <v>3000</v>
      </c>
      <c r="H380" s="44"/>
      <c r="I380" s="44"/>
      <c r="J380" s="44"/>
    </row>
    <row r="381" spans="1:10" s="45" customFormat="1">
      <c r="A381" s="185"/>
      <c r="B381" s="1585"/>
      <c r="C381" s="907" t="s">
        <v>1197</v>
      </c>
      <c r="D381" s="912" t="s">
        <v>1208</v>
      </c>
      <c r="E381" s="921">
        <v>5</v>
      </c>
      <c r="F381" s="922">
        <v>5000</v>
      </c>
      <c r="G381" s="1553">
        <f t="shared" si="31"/>
        <v>25000</v>
      </c>
      <c r="H381" s="44"/>
      <c r="I381" s="44"/>
      <c r="J381" s="44"/>
    </row>
    <row r="382" spans="1:10" s="45" customFormat="1">
      <c r="A382" s="185"/>
      <c r="B382" s="1585"/>
      <c r="C382" s="907" t="s">
        <v>1198</v>
      </c>
      <c r="D382" s="912" t="s">
        <v>1207</v>
      </c>
      <c r="E382" s="921">
        <v>1</v>
      </c>
      <c r="F382" s="922">
        <v>60000</v>
      </c>
      <c r="G382" s="1553">
        <f t="shared" si="31"/>
        <v>60000</v>
      </c>
      <c r="H382" s="44"/>
      <c r="I382" s="44"/>
      <c r="J382" s="44"/>
    </row>
    <row r="383" spans="1:10" s="45" customFormat="1">
      <c r="A383" s="185"/>
      <c r="B383" s="1585"/>
      <c r="C383" s="907" t="s">
        <v>1199</v>
      </c>
      <c r="D383" s="912" t="s">
        <v>1207</v>
      </c>
      <c r="E383" s="921">
        <v>1</v>
      </c>
      <c r="F383" s="922">
        <v>20000</v>
      </c>
      <c r="G383" s="1553">
        <f t="shared" si="31"/>
        <v>20000</v>
      </c>
      <c r="H383" s="44"/>
      <c r="I383" s="44"/>
      <c r="J383" s="44"/>
    </row>
    <row r="384" spans="1:10" s="45" customFormat="1">
      <c r="A384" s="185"/>
      <c r="B384" s="1585"/>
      <c r="C384" s="907" t="s">
        <v>1200</v>
      </c>
      <c r="D384" s="912" t="s">
        <v>1207</v>
      </c>
      <c r="E384" s="921">
        <v>1</v>
      </c>
      <c r="F384" s="922">
        <v>20000</v>
      </c>
      <c r="G384" s="1553">
        <f t="shared" si="31"/>
        <v>20000</v>
      </c>
      <c r="H384" s="44"/>
      <c r="I384" s="44"/>
      <c r="J384" s="44"/>
    </row>
    <row r="385" spans="1:10" s="45" customFormat="1" ht="31.5">
      <c r="A385" s="185"/>
      <c r="B385" s="1585"/>
      <c r="C385" s="1283" t="s">
        <v>1209</v>
      </c>
      <c r="D385" s="1020"/>
      <c r="E385" s="1281"/>
      <c r="F385" s="1282"/>
      <c r="G385" s="1553">
        <f t="shared" si="31"/>
        <v>0</v>
      </c>
      <c r="H385" s="44"/>
      <c r="I385" s="44"/>
      <c r="J385" s="44"/>
    </row>
    <row r="386" spans="1:10" s="45" customFormat="1">
      <c r="A386" s="185"/>
      <c r="B386" s="1585"/>
      <c r="C386" s="943" t="s">
        <v>1238</v>
      </c>
      <c r="D386" s="925" t="s">
        <v>525</v>
      </c>
      <c r="E386" s="932">
        <v>30</v>
      </c>
      <c r="F386" s="926">
        <v>8211</v>
      </c>
      <c r="G386" s="1553">
        <f t="shared" si="31"/>
        <v>246330</v>
      </c>
      <c r="H386" s="44"/>
      <c r="I386" s="44"/>
      <c r="J386" s="44"/>
    </row>
    <row r="387" spans="1:10" s="45" customFormat="1">
      <c r="A387" s="185"/>
      <c r="B387" s="1585"/>
      <c r="C387" s="1034" t="s">
        <v>1239</v>
      </c>
      <c r="D387" s="928" t="s">
        <v>525</v>
      </c>
      <c r="E387" s="933">
        <v>600</v>
      </c>
      <c r="F387" s="929">
        <v>3141</v>
      </c>
      <c r="G387" s="1553">
        <f t="shared" si="31"/>
        <v>1884600</v>
      </c>
      <c r="H387" s="44"/>
      <c r="I387" s="44"/>
      <c r="J387" s="44"/>
    </row>
    <row r="388" spans="1:10" s="45" customFormat="1">
      <c r="A388" s="185"/>
      <c r="B388" s="1585"/>
      <c r="C388" s="943" t="s">
        <v>1240</v>
      </c>
      <c r="D388" s="925" t="s">
        <v>525</v>
      </c>
      <c r="E388" s="932">
        <v>50</v>
      </c>
      <c r="F388" s="926">
        <v>5146.92</v>
      </c>
      <c r="G388" s="1553">
        <f t="shared" si="31"/>
        <v>257346</v>
      </c>
      <c r="H388" s="44"/>
      <c r="I388" s="44"/>
      <c r="J388" s="44"/>
    </row>
    <row r="389" spans="1:10" s="45" customFormat="1">
      <c r="A389" s="185"/>
      <c r="B389" s="1585"/>
      <c r="C389" s="943" t="s">
        <v>1241</v>
      </c>
      <c r="D389" s="1185" t="s">
        <v>22</v>
      </c>
      <c r="E389" s="932">
        <v>2</v>
      </c>
      <c r="F389" s="926">
        <v>6500</v>
      </c>
      <c r="G389" s="1553">
        <f t="shared" si="31"/>
        <v>13000</v>
      </c>
      <c r="H389" s="44"/>
      <c r="I389" s="44"/>
      <c r="J389" s="44"/>
    </row>
    <row r="390" spans="1:10" s="45" customFormat="1">
      <c r="A390" s="185"/>
      <c r="B390" s="1585"/>
      <c r="C390" s="943" t="s">
        <v>1243</v>
      </c>
      <c r="D390" s="1185" t="s">
        <v>22</v>
      </c>
      <c r="E390" s="932">
        <v>3</v>
      </c>
      <c r="F390" s="926">
        <v>3500</v>
      </c>
      <c r="G390" s="1553">
        <f t="shared" si="31"/>
        <v>10500</v>
      </c>
      <c r="H390" s="44"/>
      <c r="I390" s="44"/>
      <c r="J390" s="44"/>
    </row>
    <row r="391" spans="1:10" s="45" customFormat="1">
      <c r="A391" s="185"/>
      <c r="B391" s="1585"/>
      <c r="C391" s="943" t="s">
        <v>1244</v>
      </c>
      <c r="D391" s="1185" t="s">
        <v>22</v>
      </c>
      <c r="E391" s="932">
        <v>20</v>
      </c>
      <c r="F391" s="926">
        <v>5000</v>
      </c>
      <c r="G391" s="1553">
        <f t="shared" si="31"/>
        <v>100000</v>
      </c>
      <c r="H391" s="44"/>
      <c r="I391" s="44"/>
      <c r="J391" s="44"/>
    </row>
    <row r="392" spans="1:10" s="45" customFormat="1">
      <c r="A392" s="185"/>
      <c r="B392" s="1585"/>
      <c r="C392" s="943" t="s">
        <v>1245</v>
      </c>
      <c r="D392" s="1185" t="s">
        <v>22</v>
      </c>
      <c r="E392" s="932">
        <v>3</v>
      </c>
      <c r="F392" s="926">
        <v>1500</v>
      </c>
      <c r="G392" s="1553">
        <f t="shared" si="31"/>
        <v>4500</v>
      </c>
      <c r="H392" s="44"/>
      <c r="I392" s="44"/>
      <c r="J392" s="44"/>
    </row>
    <row r="393" spans="1:10" s="45" customFormat="1">
      <c r="A393" s="185"/>
      <c r="B393" s="1585"/>
      <c r="C393" s="943" t="s">
        <v>1246</v>
      </c>
      <c r="D393" s="1185" t="s">
        <v>22</v>
      </c>
      <c r="E393" s="932">
        <v>20</v>
      </c>
      <c r="F393" s="926">
        <v>6500</v>
      </c>
      <c r="G393" s="1553">
        <f t="shared" si="31"/>
        <v>130000</v>
      </c>
      <c r="H393" s="44"/>
      <c r="I393" s="44"/>
      <c r="J393" s="44"/>
    </row>
    <row r="394" spans="1:10" s="45" customFormat="1">
      <c r="A394" s="185"/>
      <c r="B394" s="1585"/>
      <c r="C394" s="943" t="s">
        <v>1247</v>
      </c>
      <c r="D394" s="1185" t="s">
        <v>22</v>
      </c>
      <c r="E394" s="932">
        <v>120</v>
      </c>
      <c r="F394" s="926">
        <v>3500</v>
      </c>
      <c r="G394" s="1553">
        <f t="shared" si="31"/>
        <v>420000</v>
      </c>
      <c r="H394" s="44"/>
      <c r="I394" s="44"/>
      <c r="J394" s="44"/>
    </row>
    <row r="395" spans="1:10" s="45" customFormat="1">
      <c r="A395" s="185"/>
      <c r="B395" s="1585"/>
      <c r="C395" s="943" t="s">
        <v>1248</v>
      </c>
      <c r="D395" s="1185" t="s">
        <v>22</v>
      </c>
      <c r="E395" s="932">
        <v>60</v>
      </c>
      <c r="F395" s="926">
        <v>6000</v>
      </c>
      <c r="G395" s="1553">
        <f t="shared" si="31"/>
        <v>360000</v>
      </c>
      <c r="H395" s="44"/>
      <c r="I395" s="44"/>
      <c r="J395" s="44"/>
    </row>
    <row r="396" spans="1:10" s="45" customFormat="1">
      <c r="A396" s="185"/>
      <c r="B396" s="1585"/>
      <c r="C396" s="943" t="s">
        <v>1249</v>
      </c>
      <c r="D396" s="1185" t="s">
        <v>22</v>
      </c>
      <c r="E396" s="932">
        <v>70</v>
      </c>
      <c r="F396" s="926">
        <v>5300</v>
      </c>
      <c r="G396" s="1553">
        <f t="shared" si="31"/>
        <v>371000</v>
      </c>
      <c r="H396" s="44"/>
      <c r="I396" s="44"/>
      <c r="J396" s="44"/>
    </row>
    <row r="397" spans="1:10" s="45" customFormat="1">
      <c r="A397" s="185"/>
      <c r="B397" s="1585"/>
      <c r="C397" s="943" t="s">
        <v>1250</v>
      </c>
      <c r="D397" s="1185" t="s">
        <v>22</v>
      </c>
      <c r="E397" s="932">
        <v>12</v>
      </c>
      <c r="F397" s="926">
        <v>101966</v>
      </c>
      <c r="G397" s="1553">
        <f t="shared" si="31"/>
        <v>1223592</v>
      </c>
      <c r="H397" s="44"/>
      <c r="I397" s="44"/>
      <c r="J397" s="44"/>
    </row>
    <row r="398" spans="1:10" s="45" customFormat="1">
      <c r="A398" s="185"/>
      <c r="B398" s="1585"/>
      <c r="C398" s="943" t="s">
        <v>1251</v>
      </c>
      <c r="D398" s="1185" t="s">
        <v>22</v>
      </c>
      <c r="E398" s="932">
        <v>32</v>
      </c>
      <c r="F398" s="926">
        <v>12000</v>
      </c>
      <c r="G398" s="1553">
        <f t="shared" si="31"/>
        <v>384000</v>
      </c>
      <c r="H398" s="44"/>
      <c r="I398" s="44"/>
      <c r="J398" s="44"/>
    </row>
    <row r="399" spans="1:10" s="45" customFormat="1">
      <c r="A399" s="185"/>
      <c r="B399" s="1585"/>
      <c r="C399" s="943" t="s">
        <v>1252</v>
      </c>
      <c r="D399" s="1185" t="s">
        <v>22</v>
      </c>
      <c r="E399" s="932">
        <v>6</v>
      </c>
      <c r="F399" s="926">
        <v>512220</v>
      </c>
      <c r="G399" s="1553">
        <f t="shared" si="31"/>
        <v>3073320</v>
      </c>
      <c r="H399" s="44"/>
      <c r="I399" s="44"/>
      <c r="J399" s="44"/>
    </row>
    <row r="400" spans="1:10" s="45" customFormat="1" ht="30">
      <c r="A400" s="185"/>
      <c r="B400" s="1585"/>
      <c r="C400" s="943" t="s">
        <v>1253</v>
      </c>
      <c r="D400" s="1185" t="s">
        <v>22</v>
      </c>
      <c r="E400" s="932">
        <v>5</v>
      </c>
      <c r="F400" s="926">
        <v>493080</v>
      </c>
      <c r="G400" s="1553">
        <f t="shared" si="31"/>
        <v>2465400</v>
      </c>
      <c r="H400" s="44"/>
      <c r="I400" s="44"/>
      <c r="J400" s="44"/>
    </row>
    <row r="401" spans="1:10" s="45" customFormat="1">
      <c r="A401" s="185"/>
      <c r="B401" s="1585"/>
      <c r="C401" s="943" t="s">
        <v>1254</v>
      </c>
      <c r="D401" s="1185" t="s">
        <v>22</v>
      </c>
      <c r="E401" s="932">
        <v>21</v>
      </c>
      <c r="F401" s="926">
        <v>5000</v>
      </c>
      <c r="G401" s="1553">
        <f t="shared" si="31"/>
        <v>105000</v>
      </c>
      <c r="H401" s="44"/>
      <c r="I401" s="44"/>
      <c r="J401" s="44"/>
    </row>
    <row r="402" spans="1:10" s="45" customFormat="1">
      <c r="A402" s="185"/>
      <c r="B402" s="1585"/>
      <c r="C402" s="943" t="s">
        <v>1255</v>
      </c>
      <c r="D402" s="1185" t="s">
        <v>22</v>
      </c>
      <c r="E402" s="932">
        <v>8</v>
      </c>
      <c r="F402" s="926">
        <v>44780</v>
      </c>
      <c r="G402" s="1553">
        <f t="shared" si="31"/>
        <v>358240</v>
      </c>
      <c r="H402" s="44"/>
      <c r="I402" s="44"/>
      <c r="J402" s="44"/>
    </row>
    <row r="403" spans="1:10" s="45" customFormat="1">
      <c r="A403" s="185"/>
      <c r="B403" s="1585"/>
      <c r="C403" s="943" t="s">
        <v>1256</v>
      </c>
      <c r="D403" s="1185" t="s">
        <v>22</v>
      </c>
      <c r="E403" s="932">
        <v>9</v>
      </c>
      <c r="F403" s="926">
        <v>13050</v>
      </c>
      <c r="G403" s="1553">
        <f t="shared" si="31"/>
        <v>117450</v>
      </c>
      <c r="H403" s="44"/>
      <c r="I403" s="44"/>
      <c r="J403" s="44"/>
    </row>
    <row r="404" spans="1:10" s="45" customFormat="1">
      <c r="A404" s="185"/>
      <c r="B404" s="1585"/>
      <c r="C404" s="943" t="s">
        <v>1257</v>
      </c>
      <c r="D404" s="1185" t="s">
        <v>22</v>
      </c>
      <c r="E404" s="932">
        <v>7</v>
      </c>
      <c r="F404" s="926">
        <v>10590</v>
      </c>
      <c r="G404" s="1553">
        <f t="shared" si="31"/>
        <v>74130</v>
      </c>
      <c r="H404" s="44"/>
      <c r="I404" s="44"/>
      <c r="J404" s="44"/>
    </row>
    <row r="405" spans="1:10" s="45" customFormat="1">
      <c r="A405" s="185"/>
      <c r="B405" s="1585"/>
      <c r="C405" s="943" t="s">
        <v>1258</v>
      </c>
      <c r="D405" s="1185" t="s">
        <v>22</v>
      </c>
      <c r="E405" s="932">
        <v>45</v>
      </c>
      <c r="F405" s="926">
        <v>4500</v>
      </c>
      <c r="G405" s="1553">
        <f t="shared" ref="G405:G413" si="32">+E405*F405</f>
        <v>202500</v>
      </c>
      <c r="H405" s="44"/>
      <c r="I405" s="44"/>
      <c r="J405" s="44"/>
    </row>
    <row r="406" spans="1:10" s="45" customFormat="1">
      <c r="A406" s="185"/>
      <c r="B406" s="1585"/>
      <c r="C406" s="943" t="s">
        <v>1259</v>
      </c>
      <c r="D406" s="1185" t="s">
        <v>22</v>
      </c>
      <c r="E406" s="932">
        <v>44</v>
      </c>
      <c r="F406" s="926">
        <v>4500</v>
      </c>
      <c r="G406" s="1553">
        <f t="shared" si="32"/>
        <v>198000</v>
      </c>
      <c r="H406" s="44"/>
      <c r="I406" s="44"/>
      <c r="J406" s="44"/>
    </row>
    <row r="407" spans="1:10" s="45" customFormat="1" ht="30">
      <c r="A407" s="185"/>
      <c r="B407" s="1585"/>
      <c r="C407" s="942" t="s">
        <v>1260</v>
      </c>
      <c r="D407" s="1185" t="s">
        <v>22</v>
      </c>
      <c r="E407" s="932">
        <v>1</v>
      </c>
      <c r="F407" s="926">
        <v>484080</v>
      </c>
      <c r="G407" s="1553">
        <f t="shared" si="32"/>
        <v>484080</v>
      </c>
      <c r="H407" s="44"/>
      <c r="I407" s="44"/>
      <c r="J407" s="44"/>
    </row>
    <row r="408" spans="1:10" s="45" customFormat="1">
      <c r="A408" s="185"/>
      <c r="B408" s="1585"/>
      <c r="C408" s="943" t="s">
        <v>1261</v>
      </c>
      <c r="D408" s="1185" t="s">
        <v>22</v>
      </c>
      <c r="E408" s="932">
        <v>4</v>
      </c>
      <c r="F408" s="926">
        <v>142980</v>
      </c>
      <c r="G408" s="1553">
        <f t="shared" si="32"/>
        <v>571920</v>
      </c>
      <c r="H408" s="44"/>
      <c r="I408" s="44"/>
      <c r="J408" s="44"/>
    </row>
    <row r="409" spans="1:10" s="45" customFormat="1">
      <c r="A409" s="185"/>
      <c r="B409" s="1585"/>
      <c r="C409" s="943" t="s">
        <v>1262</v>
      </c>
      <c r="D409" s="1185" t="s">
        <v>22</v>
      </c>
      <c r="E409" s="932">
        <v>1</v>
      </c>
      <c r="F409" s="926">
        <v>111060</v>
      </c>
      <c r="G409" s="1553">
        <f t="shared" si="32"/>
        <v>111060</v>
      </c>
      <c r="H409" s="44"/>
      <c r="I409" s="44"/>
      <c r="J409" s="44"/>
    </row>
    <row r="410" spans="1:10" s="45" customFormat="1" ht="30">
      <c r="A410" s="185"/>
      <c r="B410" s="1585"/>
      <c r="C410" s="943" t="s">
        <v>1263</v>
      </c>
      <c r="D410" s="1185" t="s">
        <v>22</v>
      </c>
      <c r="E410" s="932">
        <v>1</v>
      </c>
      <c r="F410" s="926">
        <v>307080</v>
      </c>
      <c r="G410" s="1553">
        <f t="shared" si="32"/>
        <v>307080</v>
      </c>
      <c r="H410" s="44"/>
      <c r="I410" s="44"/>
      <c r="J410" s="44"/>
    </row>
    <row r="411" spans="1:10" s="45" customFormat="1">
      <c r="A411" s="185"/>
      <c r="B411" s="1585"/>
      <c r="C411" s="943" t="s">
        <v>1264</v>
      </c>
      <c r="D411" s="1185" t="s">
        <v>22</v>
      </c>
      <c r="E411" s="932">
        <v>1</v>
      </c>
      <c r="F411" s="926">
        <v>61330</v>
      </c>
      <c r="G411" s="1553">
        <f t="shared" si="32"/>
        <v>61330</v>
      </c>
      <c r="H411" s="44"/>
      <c r="I411" s="44"/>
      <c r="J411" s="44"/>
    </row>
    <row r="412" spans="1:10" s="45" customFormat="1">
      <c r="A412" s="185"/>
      <c r="B412" s="1585"/>
      <c r="C412" s="943" t="s">
        <v>1265</v>
      </c>
      <c r="D412" s="1185" t="s">
        <v>22</v>
      </c>
      <c r="E412" s="932">
        <v>5</v>
      </c>
      <c r="F412" s="926">
        <v>108520</v>
      </c>
      <c r="G412" s="1553">
        <f t="shared" si="32"/>
        <v>542600</v>
      </c>
      <c r="H412" s="44"/>
      <c r="I412" s="44"/>
      <c r="J412" s="44"/>
    </row>
    <row r="413" spans="1:10" s="45" customFormat="1">
      <c r="A413" s="185"/>
      <c r="B413" s="1585"/>
      <c r="C413" s="943" t="s">
        <v>1266</v>
      </c>
      <c r="D413" s="1185" t="s">
        <v>22</v>
      </c>
      <c r="E413" s="932">
        <v>1</v>
      </c>
      <c r="F413" s="926">
        <v>877460</v>
      </c>
      <c r="G413" s="1553">
        <f t="shared" si="32"/>
        <v>877460</v>
      </c>
      <c r="H413" s="44"/>
      <c r="I413" s="44"/>
      <c r="J413" s="44"/>
    </row>
    <row r="414" spans="1:10" s="45" customFormat="1">
      <c r="A414" s="185"/>
      <c r="B414" s="1586"/>
      <c r="C414" s="1280"/>
      <c r="D414" s="104"/>
      <c r="E414" s="103"/>
      <c r="F414" s="587"/>
      <c r="G414" s="1423"/>
      <c r="H414" s="44"/>
      <c r="I414" s="44"/>
      <c r="J414" s="44"/>
    </row>
    <row r="415" spans="1:10" s="45" customFormat="1" ht="15.75" thickBot="1">
      <c r="A415" s="185"/>
      <c r="B415" s="1587"/>
      <c r="C415" s="871"/>
      <c r="D415" s="873"/>
      <c r="E415" s="874"/>
      <c r="F415" s="1531" t="s">
        <v>1268</v>
      </c>
      <c r="G415" s="1504">
        <f>SUM(G341:G414)</f>
        <v>28831188</v>
      </c>
      <c r="H415" s="44"/>
      <c r="I415" s="44"/>
      <c r="J415" s="44"/>
    </row>
    <row r="416" spans="1:10" s="45" customFormat="1" ht="16.5" hidden="1" customHeight="1" thickBot="1">
      <c r="A416" s="185"/>
      <c r="B416" s="1588"/>
      <c r="C416" s="887"/>
      <c r="D416" s="827"/>
      <c r="E416" s="594"/>
      <c r="F416" s="575"/>
      <c r="G416" s="792"/>
      <c r="H416" s="44"/>
      <c r="I416" s="44"/>
      <c r="J416" s="44"/>
    </row>
    <row r="417" spans="1:10" s="45" customFormat="1" hidden="1">
      <c r="A417" s="185"/>
      <c r="B417" s="1589">
        <v>11</v>
      </c>
      <c r="C417" s="75" t="s">
        <v>1267</v>
      </c>
      <c r="D417" s="76"/>
      <c r="E417" s="76"/>
      <c r="F417" s="76"/>
      <c r="G417" s="126"/>
      <c r="H417" s="44"/>
      <c r="I417" s="44"/>
      <c r="J417" s="44"/>
    </row>
    <row r="418" spans="1:10" s="45" customFormat="1" ht="25.5" hidden="1">
      <c r="A418" s="185"/>
      <c r="B418" s="1588">
        <v>11.1</v>
      </c>
      <c r="C418" s="887" t="s">
        <v>1269</v>
      </c>
      <c r="D418" s="827" t="s">
        <v>22</v>
      </c>
      <c r="E418" s="594"/>
      <c r="F418" s="575">
        <v>19599539</v>
      </c>
      <c r="G418" s="910">
        <f t="shared" ref="G418:G423" si="33">+F418*E418</f>
        <v>0</v>
      </c>
      <c r="H418" s="44"/>
      <c r="I418" s="44"/>
      <c r="J418" s="44"/>
    </row>
    <row r="419" spans="1:10" s="45" customFormat="1" ht="25.5" hidden="1">
      <c r="A419" s="185"/>
      <c r="B419" s="1588">
        <v>11.2</v>
      </c>
      <c r="C419" s="887" t="s">
        <v>1270</v>
      </c>
      <c r="D419" s="827" t="s">
        <v>22</v>
      </c>
      <c r="E419" s="594"/>
      <c r="F419" s="575">
        <v>20250689.461308599</v>
      </c>
      <c r="G419" s="910">
        <f t="shared" si="33"/>
        <v>0</v>
      </c>
      <c r="H419" s="44"/>
      <c r="I419" s="44"/>
      <c r="J419" s="44"/>
    </row>
    <row r="420" spans="1:10" s="45" customFormat="1" ht="25.5" hidden="1">
      <c r="A420" s="185"/>
      <c r="B420" s="1588">
        <v>11.3</v>
      </c>
      <c r="C420" s="897" t="s">
        <v>1271</v>
      </c>
      <c r="D420" s="827" t="s">
        <v>22</v>
      </c>
      <c r="E420" s="594"/>
      <c r="F420" s="575">
        <v>17742200</v>
      </c>
      <c r="G420" s="910">
        <f t="shared" si="33"/>
        <v>0</v>
      </c>
      <c r="H420" s="44"/>
      <c r="I420" s="44"/>
      <c r="J420" s="44"/>
    </row>
    <row r="421" spans="1:10" s="45" customFormat="1" ht="38.25" hidden="1">
      <c r="A421" s="185"/>
      <c r="B421" s="1588">
        <v>11.4</v>
      </c>
      <c r="C421" s="887" t="s">
        <v>1272</v>
      </c>
      <c r="D421" s="827" t="s">
        <v>22</v>
      </c>
      <c r="E421" s="594"/>
      <c r="F421" s="575">
        <v>1000000</v>
      </c>
      <c r="G421" s="910">
        <f t="shared" si="33"/>
        <v>0</v>
      </c>
      <c r="H421" s="44"/>
      <c r="I421" s="44"/>
      <c r="J421" s="44"/>
    </row>
    <row r="422" spans="1:10" s="45" customFormat="1" hidden="1">
      <c r="A422" s="185"/>
      <c r="B422" s="1588">
        <v>11.5</v>
      </c>
      <c r="C422" s="887" t="s">
        <v>1273</v>
      </c>
      <c r="D422" s="827" t="s">
        <v>22</v>
      </c>
      <c r="E422" s="594"/>
      <c r="F422" s="575">
        <v>4000000</v>
      </c>
      <c r="G422" s="910">
        <f t="shared" si="33"/>
        <v>0</v>
      </c>
      <c r="H422" s="44"/>
      <c r="I422" s="44"/>
      <c r="J422" s="44"/>
    </row>
    <row r="423" spans="1:10" s="45" customFormat="1" ht="38.25" hidden="1">
      <c r="A423" s="185"/>
      <c r="B423" s="1588">
        <v>11.6</v>
      </c>
      <c r="C423" s="887" t="s">
        <v>1274</v>
      </c>
      <c r="D423" s="827" t="s">
        <v>22</v>
      </c>
      <c r="E423" s="594"/>
      <c r="F423" s="575">
        <v>704208.11077789369</v>
      </c>
      <c r="G423" s="910">
        <f t="shared" si="33"/>
        <v>0</v>
      </c>
      <c r="H423" s="44"/>
      <c r="I423" s="44"/>
      <c r="J423" s="44"/>
    </row>
    <row r="424" spans="1:10" s="45" customFormat="1" ht="15.75" thickBot="1">
      <c r="A424" s="185"/>
      <c r="B424" s="1588"/>
      <c r="C424" s="887"/>
      <c r="D424" s="827"/>
      <c r="E424" s="594"/>
      <c r="F424" s="575"/>
      <c r="G424" s="792"/>
      <c r="H424" s="44"/>
      <c r="I424" s="44"/>
      <c r="J424" s="44"/>
    </row>
    <row r="425" spans="1:10" s="45" customFormat="1" ht="15.75" hidden="1" thickBot="1">
      <c r="A425" s="185"/>
      <c r="B425" s="1587"/>
      <c r="C425" s="871"/>
      <c r="D425" s="873"/>
      <c r="E425" s="874"/>
      <c r="F425" s="1531" t="s">
        <v>1405</v>
      </c>
      <c r="G425" s="1004">
        <f>SUM(G418:G424)</f>
        <v>0</v>
      </c>
      <c r="H425" s="44"/>
      <c r="I425" s="44"/>
      <c r="J425" s="44"/>
    </row>
    <row r="426" spans="1:10" s="45" customFormat="1" ht="15.75" hidden="1" thickBot="1">
      <c r="A426" s="185"/>
      <c r="B426" s="1588"/>
      <c r="C426" s="887"/>
      <c r="D426" s="827"/>
      <c r="E426" s="594"/>
      <c r="F426" s="575"/>
      <c r="G426" s="792"/>
      <c r="H426" s="44"/>
      <c r="I426" s="44"/>
      <c r="J426" s="44"/>
    </row>
    <row r="427" spans="1:10" s="45" customFormat="1">
      <c r="A427" s="185"/>
      <c r="B427" s="1590">
        <v>11</v>
      </c>
      <c r="C427" s="1403" t="s">
        <v>1275</v>
      </c>
      <c r="D427" s="1404"/>
      <c r="E427" s="1404"/>
      <c r="F427" s="1404"/>
      <c r="G427" s="1405"/>
      <c r="H427" s="44"/>
      <c r="I427" s="44"/>
      <c r="J427" s="44"/>
    </row>
    <row r="428" spans="1:10" s="45" customFormat="1">
      <c r="A428" s="185"/>
      <c r="B428" s="1585"/>
      <c r="C428" s="1365" t="s">
        <v>1276</v>
      </c>
      <c r="D428" s="1020" t="s">
        <v>22</v>
      </c>
      <c r="E428" s="1281">
        <v>9</v>
      </c>
      <c r="F428" s="1282">
        <v>207180</v>
      </c>
      <c r="G428" s="1591">
        <f t="shared" ref="G428:G439" si="34">+F428*E428</f>
        <v>1864620</v>
      </c>
      <c r="H428" s="44"/>
      <c r="I428" s="44"/>
      <c r="J428" s="44"/>
    </row>
    <row r="429" spans="1:10" s="45" customFormat="1">
      <c r="A429" s="185"/>
      <c r="B429" s="1585"/>
      <c r="C429" s="1365" t="s">
        <v>1279</v>
      </c>
      <c r="D429" s="1020" t="s">
        <v>22</v>
      </c>
      <c r="E429" s="1281">
        <v>14</v>
      </c>
      <c r="F429" s="1282">
        <v>492140</v>
      </c>
      <c r="G429" s="1591">
        <f t="shared" si="34"/>
        <v>6889960</v>
      </c>
      <c r="H429" s="44"/>
      <c r="I429" s="44"/>
      <c r="J429" s="44"/>
    </row>
    <row r="430" spans="1:10" s="45" customFormat="1">
      <c r="A430" s="185"/>
      <c r="B430" s="1585"/>
      <c r="C430" s="1365" t="s">
        <v>1281</v>
      </c>
      <c r="D430" s="1020" t="s">
        <v>22</v>
      </c>
      <c r="E430" s="1281">
        <v>5</v>
      </c>
      <c r="F430" s="1282">
        <v>366520</v>
      </c>
      <c r="G430" s="1591">
        <f t="shared" si="34"/>
        <v>1832600</v>
      </c>
      <c r="H430" s="44"/>
      <c r="I430" s="44"/>
      <c r="J430" s="44"/>
    </row>
    <row r="431" spans="1:10" s="45" customFormat="1" ht="25.5">
      <c r="A431" s="185"/>
      <c r="B431" s="1585"/>
      <c r="C431" s="1365" t="s">
        <v>1307</v>
      </c>
      <c r="D431" s="1020" t="s">
        <v>500</v>
      </c>
      <c r="E431" s="1281">
        <f>18+17+10</f>
        <v>45</v>
      </c>
      <c r="F431" s="1282">
        <v>140420</v>
      </c>
      <c r="G431" s="1591">
        <f t="shared" si="34"/>
        <v>6318900</v>
      </c>
      <c r="H431" s="44"/>
      <c r="I431" s="44"/>
      <c r="J431" s="44"/>
    </row>
    <row r="432" spans="1:10" s="45" customFormat="1" ht="31.5" customHeight="1">
      <c r="A432" s="185"/>
      <c r="B432" s="1592"/>
      <c r="C432" s="1297" t="s">
        <v>1304</v>
      </c>
      <c r="D432" s="1301" t="s">
        <v>500</v>
      </c>
      <c r="E432" s="1302">
        <v>110</v>
      </c>
      <c r="F432" s="1303">
        <v>48740</v>
      </c>
      <c r="G432" s="1591">
        <f t="shared" si="34"/>
        <v>5361400</v>
      </c>
      <c r="H432" s="44"/>
      <c r="I432" s="44"/>
      <c r="J432" s="44"/>
    </row>
    <row r="433" spans="1:10" s="45" customFormat="1" ht="25.5">
      <c r="A433" s="185"/>
      <c r="B433" s="1585"/>
      <c r="C433" s="1365" t="s">
        <v>1303</v>
      </c>
      <c r="D433" s="1020" t="s">
        <v>500</v>
      </c>
      <c r="E433" s="1281">
        <v>50</v>
      </c>
      <c r="F433" s="1282">
        <v>41820</v>
      </c>
      <c r="G433" s="1591">
        <f t="shared" si="34"/>
        <v>2091000</v>
      </c>
      <c r="H433" s="44"/>
      <c r="I433" s="44"/>
      <c r="J433" s="44"/>
    </row>
    <row r="434" spans="1:10" s="45" customFormat="1" ht="25.5">
      <c r="A434" s="185"/>
      <c r="B434" s="1593"/>
      <c r="C434" s="1365" t="s">
        <v>1302</v>
      </c>
      <c r="D434" s="1020" t="s">
        <v>500</v>
      </c>
      <c r="E434" s="1281">
        <v>20</v>
      </c>
      <c r="F434" s="1282">
        <v>21516</v>
      </c>
      <c r="G434" s="1591">
        <f t="shared" si="34"/>
        <v>430320</v>
      </c>
      <c r="H434" s="44"/>
      <c r="I434" s="44"/>
      <c r="J434" s="44"/>
    </row>
    <row r="435" spans="1:10" s="45" customFormat="1" ht="25.5">
      <c r="A435" s="185"/>
      <c r="B435" s="1585"/>
      <c r="C435" s="1365" t="s">
        <v>1305</v>
      </c>
      <c r="D435" s="1020" t="s">
        <v>500</v>
      </c>
      <c r="E435" s="1281">
        <v>24</v>
      </c>
      <c r="F435" s="1282">
        <v>20557</v>
      </c>
      <c r="G435" s="1591">
        <f t="shared" si="34"/>
        <v>493368</v>
      </c>
      <c r="H435" s="44"/>
      <c r="I435" s="44"/>
      <c r="J435" s="44"/>
    </row>
    <row r="436" spans="1:10" s="45" customFormat="1" ht="25.5">
      <c r="A436" s="185"/>
      <c r="B436" s="1585"/>
      <c r="C436" s="1365" t="s">
        <v>1306</v>
      </c>
      <c r="D436" s="1020" t="s">
        <v>500</v>
      </c>
      <c r="E436" s="1281">
        <v>60</v>
      </c>
      <c r="F436" s="1282">
        <v>5770</v>
      </c>
      <c r="G436" s="1591">
        <f t="shared" si="34"/>
        <v>346200</v>
      </c>
      <c r="H436" s="44"/>
      <c r="I436" s="44"/>
      <c r="J436" s="44"/>
    </row>
    <row r="437" spans="1:10" s="45" customFormat="1">
      <c r="A437" s="185"/>
      <c r="B437" s="1585"/>
      <c r="C437" s="1365" t="s">
        <v>1552</v>
      </c>
      <c r="D437" s="1020" t="s">
        <v>500</v>
      </c>
      <c r="E437" s="1281">
        <v>500</v>
      </c>
      <c r="F437" s="1303">
        <v>2610</v>
      </c>
      <c r="G437" s="1591">
        <f t="shared" si="34"/>
        <v>1305000</v>
      </c>
      <c r="H437" s="44"/>
      <c r="I437" s="44"/>
      <c r="J437" s="44"/>
    </row>
    <row r="438" spans="1:10" s="45" customFormat="1">
      <c r="A438" s="185"/>
      <c r="B438" s="1585"/>
      <c r="C438" s="1365" t="s">
        <v>1684</v>
      </c>
      <c r="D438" s="1020" t="s">
        <v>56</v>
      </c>
      <c r="E438" s="1281">
        <v>500</v>
      </c>
      <c r="F438" s="1303">
        <v>6450</v>
      </c>
      <c r="G438" s="1591">
        <f t="shared" si="34"/>
        <v>3225000</v>
      </c>
      <c r="H438" s="44"/>
      <c r="I438" s="44"/>
      <c r="J438" s="44"/>
    </row>
    <row r="439" spans="1:10" s="45" customFormat="1">
      <c r="A439" s="185"/>
      <c r="B439" s="1585"/>
      <c r="C439" s="1365" t="s">
        <v>1436</v>
      </c>
      <c r="D439" s="1020" t="s">
        <v>139</v>
      </c>
      <c r="E439" s="1281">
        <v>2</v>
      </c>
      <c r="F439" s="1282">
        <v>410360</v>
      </c>
      <c r="G439" s="1591">
        <f t="shared" si="34"/>
        <v>820720</v>
      </c>
      <c r="H439" s="44"/>
      <c r="I439" s="44"/>
      <c r="J439" s="44"/>
    </row>
    <row r="440" spans="1:10" s="45" customFormat="1" ht="15.75" thickBot="1">
      <c r="A440" s="185"/>
      <c r="B440" s="1587"/>
      <c r="C440" s="1407"/>
      <c r="D440" s="1408"/>
      <c r="E440" s="1409"/>
      <c r="F440" s="1032" t="s">
        <v>1323</v>
      </c>
      <c r="G440" s="1505">
        <f>SUM(G435:G439)</f>
        <v>6190288</v>
      </c>
      <c r="H440" s="44"/>
      <c r="I440" s="44"/>
      <c r="J440" s="44"/>
    </row>
    <row r="441" spans="1:10" s="45" customFormat="1">
      <c r="A441" s="185"/>
      <c r="B441" s="1588"/>
      <c r="C441" s="887"/>
      <c r="D441" s="827"/>
      <c r="E441" s="594"/>
      <c r="F441" s="575"/>
      <c r="G441" s="910"/>
      <c r="H441" s="44"/>
      <c r="I441" s="44"/>
      <c r="J441" s="44"/>
    </row>
    <row r="442" spans="1:10" s="45" customFormat="1">
      <c r="A442" s="185"/>
      <c r="B442" s="1594"/>
      <c r="C442" s="215"/>
      <c r="D442" s="1173"/>
      <c r="E442" s="1455"/>
      <c r="F442" s="95"/>
      <c r="G442" s="1527"/>
      <c r="H442" s="44"/>
      <c r="I442" s="44"/>
      <c r="J442" s="44"/>
    </row>
    <row r="443" spans="1:10" s="45" customFormat="1">
      <c r="A443" s="185"/>
      <c r="B443" s="1594"/>
      <c r="C443" s="215"/>
      <c r="D443" s="1173"/>
      <c r="E443" s="1455"/>
      <c r="F443" s="95"/>
      <c r="G443" s="1527"/>
      <c r="H443" s="44"/>
      <c r="I443" s="44"/>
      <c r="J443" s="44"/>
    </row>
    <row r="444" spans="1:10" s="45" customFormat="1" ht="15.75" thickBot="1">
      <c r="A444" s="185"/>
      <c r="B444" s="1594"/>
      <c r="C444" s="215"/>
      <c r="D444" s="1173"/>
      <c r="E444" s="1455"/>
      <c r="F444" s="95"/>
      <c r="G444" s="1527"/>
      <c r="H444" s="44"/>
      <c r="I444" s="44"/>
      <c r="J444" s="44"/>
    </row>
    <row r="445" spans="1:10" s="45" customFormat="1">
      <c r="A445" s="185"/>
      <c r="B445" s="1595">
        <v>12</v>
      </c>
      <c r="C445" s="1403" t="s">
        <v>1412</v>
      </c>
      <c r="D445" s="1404"/>
      <c r="E445" s="1404"/>
      <c r="F445" s="1404"/>
      <c r="G445" s="1405"/>
      <c r="H445" s="44"/>
      <c r="I445" s="44"/>
      <c r="J445" s="44"/>
    </row>
    <row r="446" spans="1:10" s="45" customFormat="1">
      <c r="A446" s="185"/>
      <c r="B446" s="1592"/>
      <c r="C446" s="1429" t="s">
        <v>1343</v>
      </c>
      <c r="D446" s="1425"/>
      <c r="E446" s="1425"/>
      <c r="F446" s="1425"/>
      <c r="G446" s="1584"/>
      <c r="H446" s="44"/>
      <c r="I446" s="44"/>
      <c r="J446" s="44"/>
    </row>
    <row r="447" spans="1:10" s="45" customFormat="1">
      <c r="A447" s="185"/>
      <c r="B447" s="1596"/>
      <c r="C447" s="1430" t="s">
        <v>1325</v>
      </c>
      <c r="D447" s="1366" t="s">
        <v>22</v>
      </c>
      <c r="E447" s="1431">
        <v>7</v>
      </c>
      <c r="F447" s="1282">
        <v>34630</v>
      </c>
      <c r="G447" s="1553">
        <f>+F447*E447</f>
        <v>242410</v>
      </c>
      <c r="H447" s="44"/>
      <c r="I447" s="44"/>
      <c r="J447" s="44"/>
    </row>
    <row r="448" spans="1:10" s="45" customFormat="1">
      <c r="A448" s="185"/>
      <c r="B448" s="1596"/>
      <c r="C448" s="1430" t="s">
        <v>1326</v>
      </c>
      <c r="D448" s="1366" t="s">
        <v>22</v>
      </c>
      <c r="E448" s="1431">
        <v>13</v>
      </c>
      <c r="F448" s="1282">
        <v>3130</v>
      </c>
      <c r="G448" s="1553">
        <f t="shared" ref="G448:G482" si="35">+F448*E448</f>
        <v>40690</v>
      </c>
      <c r="H448" s="44"/>
      <c r="I448" s="44"/>
      <c r="J448" s="44"/>
    </row>
    <row r="449" spans="1:10" s="45" customFormat="1">
      <c r="A449" s="185"/>
      <c r="B449" s="1596"/>
      <c r="C449" s="1430" t="s">
        <v>1327</v>
      </c>
      <c r="D449" s="1366" t="s">
        <v>22</v>
      </c>
      <c r="E449" s="1431">
        <v>1</v>
      </c>
      <c r="F449" s="1282">
        <v>2920</v>
      </c>
      <c r="G449" s="1553">
        <f t="shared" si="35"/>
        <v>2920</v>
      </c>
      <c r="H449" s="44"/>
      <c r="I449" s="44"/>
      <c r="J449" s="44"/>
    </row>
    <row r="450" spans="1:10" s="45" customFormat="1">
      <c r="A450" s="185"/>
      <c r="B450" s="1596"/>
      <c r="C450" s="1430" t="s">
        <v>1328</v>
      </c>
      <c r="D450" s="1366" t="s">
        <v>22</v>
      </c>
      <c r="E450" s="1431">
        <v>4</v>
      </c>
      <c r="F450" s="1282">
        <v>3100</v>
      </c>
      <c r="G450" s="1553">
        <f t="shared" si="35"/>
        <v>12400</v>
      </c>
      <c r="H450" s="44"/>
      <c r="I450" s="44"/>
      <c r="J450" s="44"/>
    </row>
    <row r="451" spans="1:10" s="45" customFormat="1">
      <c r="A451" s="185"/>
      <c r="B451" s="1596"/>
      <c r="C451" s="1430" t="s">
        <v>1329</v>
      </c>
      <c r="D451" s="1366" t="s">
        <v>22</v>
      </c>
      <c r="E451" s="1431">
        <v>1</v>
      </c>
      <c r="F451" s="1282">
        <v>3370</v>
      </c>
      <c r="G451" s="1553">
        <f t="shared" si="35"/>
        <v>3370</v>
      </c>
      <c r="H451" s="44"/>
      <c r="I451" s="44"/>
      <c r="J451" s="44"/>
    </row>
    <row r="452" spans="1:10" s="45" customFormat="1">
      <c r="A452" s="185"/>
      <c r="B452" s="1596"/>
      <c r="C452" s="1430" t="s">
        <v>1331</v>
      </c>
      <c r="D452" s="1366" t="s">
        <v>500</v>
      </c>
      <c r="E452" s="1431">
        <v>24</v>
      </c>
      <c r="F452" s="1282">
        <v>3870</v>
      </c>
      <c r="G452" s="1553">
        <f t="shared" si="35"/>
        <v>92880</v>
      </c>
      <c r="H452" s="44"/>
      <c r="I452" s="44"/>
      <c r="J452" s="44"/>
    </row>
    <row r="453" spans="1:10" s="45" customFormat="1">
      <c r="A453" s="185"/>
      <c r="B453" s="1596"/>
      <c r="C453" s="1430" t="s">
        <v>1330</v>
      </c>
      <c r="D453" s="1366" t="s">
        <v>500</v>
      </c>
      <c r="E453" s="1431">
        <v>7</v>
      </c>
      <c r="F453" s="1282">
        <v>4740</v>
      </c>
      <c r="G453" s="1553">
        <f t="shared" si="35"/>
        <v>33180</v>
      </c>
      <c r="H453" s="44"/>
      <c r="I453" s="44"/>
      <c r="J453" s="44"/>
    </row>
    <row r="454" spans="1:10" s="45" customFormat="1">
      <c r="A454" s="185"/>
      <c r="B454" s="1596"/>
      <c r="C454" s="1430" t="s">
        <v>1333</v>
      </c>
      <c r="D454" s="1366" t="s">
        <v>22</v>
      </c>
      <c r="E454" s="1431">
        <v>3</v>
      </c>
      <c r="F454" s="1282">
        <v>47640</v>
      </c>
      <c r="G454" s="1553">
        <f t="shared" si="35"/>
        <v>142920</v>
      </c>
      <c r="H454" s="44"/>
      <c r="I454" s="44"/>
      <c r="J454" s="44"/>
    </row>
    <row r="455" spans="1:10" s="45" customFormat="1">
      <c r="A455" s="185"/>
      <c r="B455" s="1596"/>
      <c r="C455" s="1430" t="s">
        <v>1332</v>
      </c>
      <c r="D455" s="1366" t="s">
        <v>22</v>
      </c>
      <c r="E455" s="1431">
        <v>3</v>
      </c>
      <c r="F455" s="1282">
        <v>33030</v>
      </c>
      <c r="G455" s="1553">
        <f t="shared" si="35"/>
        <v>99090</v>
      </c>
      <c r="H455" s="44"/>
      <c r="I455" s="44"/>
      <c r="J455" s="44"/>
    </row>
    <row r="456" spans="1:10" s="45" customFormat="1">
      <c r="A456" s="185"/>
      <c r="B456" s="1596"/>
      <c r="C456" s="1430" t="s">
        <v>1334</v>
      </c>
      <c r="D456" s="1366" t="s">
        <v>22</v>
      </c>
      <c r="E456" s="1431">
        <v>3</v>
      </c>
      <c r="F456" s="1282">
        <v>3250</v>
      </c>
      <c r="G456" s="1553">
        <f t="shared" si="35"/>
        <v>9750</v>
      </c>
      <c r="H456" s="44"/>
      <c r="I456" s="44"/>
      <c r="J456" s="44"/>
    </row>
    <row r="457" spans="1:10" s="45" customFormat="1">
      <c r="A457" s="185"/>
      <c r="B457" s="1597"/>
      <c r="C457" s="1433" t="s">
        <v>1335</v>
      </c>
      <c r="D457" s="1432"/>
      <c r="E457" s="1434"/>
      <c r="F457" s="1435"/>
      <c r="G457" s="1436"/>
      <c r="H457" s="44"/>
      <c r="I457" s="44"/>
      <c r="J457" s="44"/>
    </row>
    <row r="458" spans="1:10" s="45" customFormat="1">
      <c r="A458" s="185"/>
      <c r="B458" s="1585"/>
      <c r="C458" s="1365" t="s">
        <v>1336</v>
      </c>
      <c r="D458" s="1366" t="s">
        <v>22</v>
      </c>
      <c r="E458" s="1281">
        <v>3</v>
      </c>
      <c r="F458" s="1437">
        <v>38073</v>
      </c>
      <c r="G458" s="1553">
        <f t="shared" si="35"/>
        <v>114219</v>
      </c>
      <c r="H458" s="44"/>
      <c r="I458" s="44"/>
      <c r="J458" s="44"/>
    </row>
    <row r="459" spans="1:10" s="45" customFormat="1">
      <c r="A459" s="185"/>
      <c r="B459" s="1585"/>
      <c r="C459" s="1365" t="s">
        <v>1339</v>
      </c>
      <c r="D459" s="1366" t="s">
        <v>22</v>
      </c>
      <c r="E459" s="1281">
        <v>3</v>
      </c>
      <c r="F459" s="1437">
        <v>119840</v>
      </c>
      <c r="G459" s="1553">
        <f t="shared" si="35"/>
        <v>359520</v>
      </c>
      <c r="H459" s="44"/>
      <c r="I459" s="44"/>
      <c r="J459" s="44"/>
    </row>
    <row r="460" spans="1:10" s="45" customFormat="1">
      <c r="A460" s="185"/>
      <c r="B460" s="1585"/>
      <c r="C460" s="1365" t="s">
        <v>1340</v>
      </c>
      <c r="D460" s="1366" t="s">
        <v>22</v>
      </c>
      <c r="E460" s="1281">
        <v>5</v>
      </c>
      <c r="F460" s="1437">
        <v>34234</v>
      </c>
      <c r="G460" s="1553">
        <f t="shared" si="35"/>
        <v>171170</v>
      </c>
      <c r="H460" s="44"/>
      <c r="I460" s="44"/>
      <c r="J460" s="44"/>
    </row>
    <row r="461" spans="1:10" s="45" customFormat="1">
      <c r="A461" s="185"/>
      <c r="B461" s="1585"/>
      <c r="C461" s="1365" t="s">
        <v>1341</v>
      </c>
      <c r="D461" s="1366" t="s">
        <v>22</v>
      </c>
      <c r="E461" s="1281">
        <v>2</v>
      </c>
      <c r="F461" s="1282">
        <v>158604</v>
      </c>
      <c r="G461" s="1553">
        <f t="shared" si="35"/>
        <v>317208</v>
      </c>
      <c r="H461" s="44"/>
      <c r="I461" s="44"/>
      <c r="J461" s="44"/>
    </row>
    <row r="462" spans="1:10" s="45" customFormat="1">
      <c r="A462" s="185"/>
      <c r="B462" s="1585"/>
      <c r="C462" s="1365" t="s">
        <v>1338</v>
      </c>
      <c r="D462" s="1020" t="s">
        <v>22</v>
      </c>
      <c r="E462" s="1281">
        <v>3</v>
      </c>
      <c r="F462" s="1282">
        <v>208740</v>
      </c>
      <c r="G462" s="1553">
        <f t="shared" si="35"/>
        <v>626220</v>
      </c>
      <c r="H462" s="44"/>
      <c r="I462" s="44"/>
      <c r="J462" s="44"/>
    </row>
    <row r="463" spans="1:10" s="45" customFormat="1">
      <c r="A463" s="185"/>
      <c r="B463" s="1597"/>
      <c r="C463" s="1433" t="s">
        <v>1342</v>
      </c>
      <c r="D463" s="1432"/>
      <c r="E463" s="1434"/>
      <c r="F463" s="1435"/>
      <c r="G463" s="1436"/>
      <c r="H463" s="44"/>
      <c r="I463" s="44"/>
      <c r="J463" s="44"/>
    </row>
    <row r="464" spans="1:10" s="45" customFormat="1">
      <c r="A464" s="185"/>
      <c r="B464" s="1585"/>
      <c r="C464" s="1365" t="s">
        <v>1359</v>
      </c>
      <c r="D464" s="1020" t="s">
        <v>22</v>
      </c>
      <c r="E464" s="1281">
        <v>3</v>
      </c>
      <c r="F464" s="1282">
        <v>29260</v>
      </c>
      <c r="G464" s="1553">
        <f t="shared" si="35"/>
        <v>87780</v>
      </c>
      <c r="H464" s="44"/>
      <c r="I464" s="44"/>
      <c r="J464" s="44"/>
    </row>
    <row r="465" spans="1:10" s="45" customFormat="1">
      <c r="A465" s="185"/>
      <c r="B465" s="1585"/>
      <c r="C465" s="1365" t="s">
        <v>1360</v>
      </c>
      <c r="D465" s="1020" t="s">
        <v>22</v>
      </c>
      <c r="E465" s="1281">
        <v>3</v>
      </c>
      <c r="F465" s="1282">
        <v>39530</v>
      </c>
      <c r="G465" s="1553">
        <f t="shared" si="35"/>
        <v>118590</v>
      </c>
      <c r="H465" s="44"/>
      <c r="I465" s="44"/>
      <c r="J465" s="44"/>
    </row>
    <row r="466" spans="1:10" s="45" customFormat="1">
      <c r="A466" s="185"/>
      <c r="B466" s="1585"/>
      <c r="C466" s="1365" t="s">
        <v>1362</v>
      </c>
      <c r="D466" s="1020" t="s">
        <v>22</v>
      </c>
      <c r="E466" s="1281">
        <v>3</v>
      </c>
      <c r="F466" s="1282">
        <v>66930</v>
      </c>
      <c r="G466" s="1553">
        <f t="shared" si="35"/>
        <v>200790</v>
      </c>
      <c r="H466" s="44"/>
      <c r="I466" s="44"/>
      <c r="J466" s="44"/>
    </row>
    <row r="467" spans="1:10" s="45" customFormat="1">
      <c r="A467" s="185"/>
      <c r="B467" s="1597"/>
      <c r="C467" s="1438" t="s">
        <v>1363</v>
      </c>
      <c r="D467" s="1432"/>
      <c r="E467" s="1434"/>
      <c r="F467" s="1435"/>
      <c r="G467" s="1436"/>
      <c r="H467" s="44"/>
      <c r="I467" s="44"/>
      <c r="J467" s="44"/>
    </row>
    <row r="468" spans="1:10" s="45" customFormat="1">
      <c r="A468" s="185"/>
      <c r="B468" s="1585"/>
      <c r="C468" s="1365" t="s">
        <v>1364</v>
      </c>
      <c r="D468" s="1020" t="s">
        <v>500</v>
      </c>
      <c r="E468" s="1281">
        <v>5</v>
      </c>
      <c r="F468" s="1282">
        <v>22210</v>
      </c>
      <c r="G468" s="1553">
        <f t="shared" si="35"/>
        <v>111050</v>
      </c>
      <c r="H468" s="44"/>
      <c r="I468" s="44"/>
      <c r="J468" s="44"/>
    </row>
    <row r="469" spans="1:10" s="45" customFormat="1">
      <c r="A469" s="185"/>
      <c r="B469" s="1585"/>
      <c r="C469" s="1365" t="s">
        <v>1365</v>
      </c>
      <c r="D469" s="1020" t="s">
        <v>500</v>
      </c>
      <c r="E469" s="1281">
        <v>5</v>
      </c>
      <c r="F469" s="1282">
        <v>20970</v>
      </c>
      <c r="G469" s="1553">
        <f t="shared" si="35"/>
        <v>104850</v>
      </c>
      <c r="H469" s="44"/>
      <c r="I469" s="44"/>
      <c r="J469" s="44"/>
    </row>
    <row r="470" spans="1:10" s="45" customFormat="1">
      <c r="A470" s="185"/>
      <c r="B470" s="1585"/>
      <c r="C470" s="1365" t="s">
        <v>1366</v>
      </c>
      <c r="D470" s="1020" t="s">
        <v>500</v>
      </c>
      <c r="E470" s="1281">
        <v>4</v>
      </c>
      <c r="F470" s="1282">
        <v>18270</v>
      </c>
      <c r="G470" s="1553">
        <f t="shared" si="35"/>
        <v>73080</v>
      </c>
      <c r="H470" s="44"/>
      <c r="I470" s="44"/>
      <c r="J470" s="44"/>
    </row>
    <row r="471" spans="1:10" s="45" customFormat="1">
      <c r="A471" s="185"/>
      <c r="B471" s="1597"/>
      <c r="C471" s="1441" t="s">
        <v>1367</v>
      </c>
      <c r="D471" s="1442"/>
      <c r="E471" s="1442"/>
      <c r="F471" s="1442"/>
      <c r="G471" s="1443"/>
      <c r="H471" s="44"/>
      <c r="I471" s="44"/>
      <c r="J471" s="44"/>
    </row>
    <row r="472" spans="1:10" s="45" customFormat="1">
      <c r="A472" s="185"/>
      <c r="B472" s="1585"/>
      <c r="C472" s="1365" t="s">
        <v>1364</v>
      </c>
      <c r="D472" s="1020" t="s">
        <v>22</v>
      </c>
      <c r="E472" s="1281">
        <v>2</v>
      </c>
      <c r="F472" s="1282">
        <v>8658</v>
      </c>
      <c r="G472" s="1553">
        <f t="shared" si="35"/>
        <v>17316</v>
      </c>
      <c r="H472" s="44"/>
      <c r="I472" s="44"/>
      <c r="J472" s="44"/>
    </row>
    <row r="473" spans="1:10" s="45" customFormat="1">
      <c r="A473" s="185"/>
      <c r="B473" s="1585"/>
      <c r="C473" s="1365" t="s">
        <v>1365</v>
      </c>
      <c r="D473" s="1020" t="s">
        <v>22</v>
      </c>
      <c r="E473" s="1281">
        <v>6</v>
      </c>
      <c r="F473" s="1282">
        <v>5510</v>
      </c>
      <c r="G473" s="1553">
        <f t="shared" si="35"/>
        <v>33060</v>
      </c>
      <c r="H473" s="44"/>
      <c r="I473" s="44"/>
      <c r="J473" s="44"/>
    </row>
    <row r="474" spans="1:10" s="45" customFormat="1">
      <c r="A474" s="185"/>
      <c r="B474" s="1585"/>
      <c r="C474" s="1365" t="s">
        <v>1366</v>
      </c>
      <c r="D474" s="1020" t="s">
        <v>22</v>
      </c>
      <c r="E474" s="1281">
        <v>2</v>
      </c>
      <c r="F474" s="1282">
        <v>2169</v>
      </c>
      <c r="G474" s="1553">
        <f t="shared" si="35"/>
        <v>4338</v>
      </c>
      <c r="H474" s="44"/>
      <c r="I474" s="44"/>
      <c r="J474" s="44"/>
    </row>
    <row r="475" spans="1:10" s="45" customFormat="1">
      <c r="A475" s="185"/>
      <c r="B475" s="1444"/>
      <c r="C475" s="1439" t="s">
        <v>1368</v>
      </c>
      <c r="D475" s="1440"/>
      <c r="E475" s="1440"/>
      <c r="F475" s="1440"/>
      <c r="G475" s="1445"/>
      <c r="H475" s="44"/>
      <c r="I475" s="44"/>
      <c r="J475" s="44"/>
    </row>
    <row r="476" spans="1:10" s="45" customFormat="1">
      <c r="A476" s="185"/>
      <c r="B476" s="1598"/>
      <c r="C476" s="1365" t="s">
        <v>1365</v>
      </c>
      <c r="D476" s="1020" t="s">
        <v>22</v>
      </c>
      <c r="E476" s="1281">
        <v>3</v>
      </c>
      <c r="F476" s="1282">
        <v>6465</v>
      </c>
      <c r="G476" s="1553">
        <f t="shared" si="35"/>
        <v>19395</v>
      </c>
      <c r="H476" s="44"/>
      <c r="I476" s="44"/>
      <c r="J476" s="44"/>
    </row>
    <row r="477" spans="1:10" s="45" customFormat="1">
      <c r="A477" s="185"/>
      <c r="B477" s="1598"/>
      <c r="C477" s="1365" t="s">
        <v>1366</v>
      </c>
      <c r="D477" s="1020" t="s">
        <v>22</v>
      </c>
      <c r="E477" s="1281">
        <v>1</v>
      </c>
      <c r="F477" s="1282">
        <v>4785</v>
      </c>
      <c r="G477" s="1553">
        <f t="shared" si="35"/>
        <v>4785</v>
      </c>
      <c r="H477" s="44"/>
      <c r="I477" s="44"/>
      <c r="J477" s="44"/>
    </row>
    <row r="478" spans="1:10" s="45" customFormat="1">
      <c r="A478" s="185"/>
      <c r="B478" s="1446"/>
      <c r="C478" s="1447" t="s">
        <v>1369</v>
      </c>
      <c r="D478" s="1448"/>
      <c r="E478" s="1448"/>
      <c r="F478" s="1448"/>
      <c r="G478" s="1449"/>
      <c r="H478" s="44"/>
      <c r="I478" s="44"/>
      <c r="J478" s="44"/>
    </row>
    <row r="479" spans="1:10" s="45" customFormat="1">
      <c r="A479" s="185"/>
      <c r="B479" s="1585"/>
      <c r="C479" s="1365" t="s">
        <v>1371</v>
      </c>
      <c r="D479" s="1020" t="s">
        <v>22</v>
      </c>
      <c r="E479" s="1281">
        <v>2</v>
      </c>
      <c r="F479" s="1282">
        <v>24760</v>
      </c>
      <c r="G479" s="1553">
        <f t="shared" si="35"/>
        <v>49520</v>
      </c>
      <c r="H479" s="44"/>
      <c r="I479" s="44"/>
      <c r="J479" s="44"/>
    </row>
    <row r="480" spans="1:10" s="45" customFormat="1">
      <c r="A480" s="185"/>
      <c r="B480" s="1585"/>
      <c r="C480" s="1365" t="s">
        <v>1370</v>
      </c>
      <c r="D480" s="1020" t="s">
        <v>22</v>
      </c>
      <c r="E480" s="1281">
        <v>2</v>
      </c>
      <c r="F480" s="1282">
        <v>29900</v>
      </c>
      <c r="G480" s="1553">
        <f t="shared" si="35"/>
        <v>59800</v>
      </c>
      <c r="H480" s="44"/>
      <c r="I480" s="44"/>
      <c r="J480" s="44"/>
    </row>
    <row r="481" spans="1:10" s="45" customFormat="1">
      <c r="A481" s="185"/>
      <c r="B481" s="1446"/>
      <c r="C481" s="1447" t="s">
        <v>1372</v>
      </c>
      <c r="D481" s="1448"/>
      <c r="E481" s="1448"/>
      <c r="F481" s="1448"/>
      <c r="G481" s="1449"/>
      <c r="H481" s="44"/>
      <c r="I481" s="44"/>
      <c r="J481" s="44"/>
    </row>
    <row r="482" spans="1:10" s="45" customFormat="1">
      <c r="A482" s="185"/>
      <c r="B482" s="1598"/>
      <c r="C482" s="1365" t="s">
        <v>1365</v>
      </c>
      <c r="D482" s="1020" t="s">
        <v>500</v>
      </c>
      <c r="E482" s="1281">
        <v>6</v>
      </c>
      <c r="F482" s="1282">
        <v>10451</v>
      </c>
      <c r="G482" s="1553">
        <f t="shared" si="35"/>
        <v>62706</v>
      </c>
      <c r="H482" s="44"/>
      <c r="I482" s="44"/>
      <c r="J482" s="44"/>
    </row>
    <row r="483" spans="1:10" s="45" customFormat="1" ht="15.75" thickBot="1">
      <c r="A483" s="185"/>
      <c r="B483" s="1587"/>
      <c r="C483" s="1407"/>
      <c r="D483" s="1408"/>
      <c r="E483" s="1409"/>
      <c r="F483" s="1032" t="s">
        <v>1404</v>
      </c>
      <c r="G483" s="1490">
        <f>SUM(G447:G482)</f>
        <v>3215007</v>
      </c>
      <c r="H483" s="44"/>
      <c r="I483" s="44"/>
      <c r="J483" s="44"/>
    </row>
    <row r="484" spans="1:10" s="45" customFormat="1">
      <c r="A484" s="185"/>
      <c r="B484" s="74"/>
      <c r="C484" s="75" t="s">
        <v>1389</v>
      </c>
      <c r="D484" s="76"/>
      <c r="E484" s="76"/>
      <c r="F484" s="76"/>
      <c r="G484" s="77"/>
      <c r="H484" s="44"/>
      <c r="I484" s="44"/>
      <c r="J484" s="44"/>
    </row>
    <row r="485" spans="1:10" s="45" customFormat="1">
      <c r="A485" s="185"/>
      <c r="B485" s="1598"/>
      <c r="C485" s="1365" t="s">
        <v>1390</v>
      </c>
      <c r="D485" s="1020" t="s">
        <v>22</v>
      </c>
      <c r="E485" s="1281">
        <v>1</v>
      </c>
      <c r="F485" s="1282">
        <v>78639</v>
      </c>
      <c r="G485" s="1553">
        <v>78639</v>
      </c>
      <c r="H485" s="44"/>
      <c r="I485" s="44"/>
      <c r="J485" s="44"/>
    </row>
    <row r="486" spans="1:10" s="45" customFormat="1">
      <c r="A486" s="185"/>
      <c r="B486" s="1598"/>
      <c r="C486" s="1365" t="s">
        <v>1391</v>
      </c>
      <c r="D486" s="1020" t="s">
        <v>22</v>
      </c>
      <c r="E486" s="1281">
        <v>1</v>
      </c>
      <c r="F486" s="1282">
        <v>942239</v>
      </c>
      <c r="G486" s="1553">
        <v>942239</v>
      </c>
      <c r="H486" s="44"/>
      <c r="I486" s="44"/>
      <c r="J486" s="44"/>
    </row>
    <row r="487" spans="1:10" s="45" customFormat="1">
      <c r="A487" s="185"/>
      <c r="B487" s="1598"/>
      <c r="C487" s="1365" t="s">
        <v>1392</v>
      </c>
      <c r="D487" s="1020" t="s">
        <v>22</v>
      </c>
      <c r="E487" s="1281">
        <v>2</v>
      </c>
      <c r="F487" s="1282">
        <v>212089</v>
      </c>
      <c r="G487" s="1553">
        <v>424178</v>
      </c>
      <c r="H487" s="44"/>
      <c r="I487" s="44"/>
      <c r="J487" s="44"/>
    </row>
    <row r="488" spans="1:10" s="45" customFormat="1">
      <c r="A488" s="185"/>
      <c r="B488" s="1599"/>
      <c r="C488" s="1450"/>
      <c r="D488" s="820"/>
      <c r="E488" s="969"/>
      <c r="F488" s="858"/>
      <c r="G488" s="1451"/>
      <c r="H488" s="44"/>
      <c r="I488" s="44"/>
      <c r="J488" s="44"/>
    </row>
    <row r="489" spans="1:10" s="45" customFormat="1" ht="15.75" thickBot="1">
      <c r="A489" s="185"/>
      <c r="B489" s="1587"/>
      <c r="C489" s="871"/>
      <c r="D489" s="873"/>
      <c r="E489" s="874"/>
      <c r="F489" s="1531" t="s">
        <v>1547</v>
      </c>
      <c r="G489" s="1491">
        <f>SUM(G485:G488)</f>
        <v>1445056</v>
      </c>
      <c r="H489" s="44"/>
      <c r="I489" s="44"/>
      <c r="J489" s="44"/>
    </row>
    <row r="490" spans="1:10" s="45" customFormat="1" ht="15.75" thickBot="1">
      <c r="A490" s="185"/>
      <c r="B490" s="1600"/>
      <c r="C490" s="1023"/>
      <c r="D490" s="821"/>
      <c r="E490" s="825"/>
      <c r="F490" s="826"/>
      <c r="G490" s="1024"/>
      <c r="H490" s="44"/>
      <c r="I490" s="44"/>
      <c r="J490" s="44"/>
    </row>
    <row r="491" spans="1:10" s="45" customFormat="1">
      <c r="A491" s="185"/>
      <c r="B491" s="74"/>
      <c r="C491" s="75" t="s">
        <v>1387</v>
      </c>
      <c r="D491" s="76"/>
      <c r="E491" s="76"/>
      <c r="F491" s="76"/>
      <c r="G491" s="126"/>
      <c r="H491" s="44"/>
      <c r="I491" s="44"/>
      <c r="J491" s="44"/>
    </row>
    <row r="492" spans="1:10" s="45" customFormat="1" ht="25.5">
      <c r="A492" s="185"/>
      <c r="B492" s="1598"/>
      <c r="C492" s="1365" t="s">
        <v>1388</v>
      </c>
      <c r="D492" s="1020" t="s">
        <v>22</v>
      </c>
      <c r="E492" s="1281">
        <v>2</v>
      </c>
      <c r="F492" s="1282">
        <v>3177088</v>
      </c>
      <c r="G492" s="1553">
        <f t="shared" ref="G492" si="36">+F492*E492</f>
        <v>6354176</v>
      </c>
      <c r="H492" s="44"/>
      <c r="I492" s="44"/>
      <c r="J492" s="44"/>
    </row>
    <row r="493" spans="1:10" s="45" customFormat="1" ht="15.75" thickBot="1">
      <c r="A493" s="185"/>
      <c r="B493" s="1587"/>
      <c r="C493" s="1407"/>
      <c r="D493" s="1408"/>
      <c r="E493" s="1409"/>
      <c r="F493" s="1032" t="s">
        <v>1394</v>
      </c>
      <c r="G493" s="1490">
        <f>+G492</f>
        <v>6354176</v>
      </c>
      <c r="H493" s="960"/>
      <c r="I493" s="44"/>
      <c r="J493" s="44"/>
    </row>
    <row r="494" spans="1:10" s="45" customFormat="1">
      <c r="A494" s="185"/>
      <c r="B494" s="1600"/>
      <c r="C494" s="1023"/>
      <c r="D494" s="821"/>
      <c r="E494" s="825"/>
      <c r="F494" s="826"/>
      <c r="G494" s="1024"/>
      <c r="H494" s="960"/>
      <c r="I494" s="44"/>
      <c r="J494" s="44"/>
    </row>
    <row r="495" spans="1:10" s="45" customFormat="1">
      <c r="A495" s="185"/>
      <c r="B495" s="1600"/>
      <c r="C495" s="1023"/>
      <c r="D495" s="821"/>
      <c r="E495" s="825"/>
      <c r="F495" s="826"/>
      <c r="G495" s="1024"/>
      <c r="H495" s="960"/>
      <c r="I495" s="44"/>
      <c r="J495" s="44"/>
    </row>
    <row r="496" spans="1:10" s="45" customFormat="1">
      <c r="A496" s="185"/>
      <c r="B496" s="1600"/>
      <c r="C496" s="1023"/>
      <c r="D496" s="821"/>
      <c r="E496" s="825"/>
      <c r="F496" s="826"/>
      <c r="G496" s="1024"/>
      <c r="H496" s="960"/>
      <c r="I496" s="44"/>
      <c r="J496" s="44"/>
    </row>
    <row r="497" spans="1:10" s="45" customFormat="1">
      <c r="A497" s="185"/>
      <c r="B497" s="1600"/>
      <c r="C497" s="1023"/>
      <c r="D497" s="821"/>
      <c r="E497" s="825"/>
      <c r="F497" s="826"/>
      <c r="G497" s="1024"/>
      <c r="H497" s="960"/>
      <c r="I497" s="44"/>
      <c r="J497" s="44"/>
    </row>
    <row r="498" spans="1:10" s="45" customFormat="1">
      <c r="A498" s="185"/>
      <c r="B498" s="1600"/>
      <c r="C498" s="1023"/>
      <c r="D498" s="821"/>
      <c r="E498" s="825"/>
      <c r="F498" s="826"/>
      <c r="G498" s="1024"/>
      <c r="H498" s="960"/>
      <c r="I498" s="44"/>
      <c r="J498" s="44"/>
    </row>
    <row r="499" spans="1:10" s="45" customFormat="1">
      <c r="A499" s="185"/>
      <c r="B499" s="1600"/>
      <c r="C499" s="1023"/>
      <c r="D499" s="821"/>
      <c r="E499" s="825"/>
      <c r="F499" s="826"/>
      <c r="G499" s="1024"/>
      <c r="H499" s="960"/>
      <c r="I499" s="44"/>
      <c r="J499" s="44"/>
    </row>
    <row r="500" spans="1:10" s="45" customFormat="1">
      <c r="A500" s="185"/>
      <c r="B500" s="1600"/>
      <c r="C500" s="1023"/>
      <c r="D500" s="821"/>
      <c r="E500" s="825"/>
      <c r="F500" s="826"/>
      <c r="G500" s="1024"/>
      <c r="H500" s="960"/>
      <c r="I500" s="44"/>
      <c r="J500" s="44"/>
    </row>
    <row r="501" spans="1:10" s="45" customFormat="1" ht="15.75" thickBot="1">
      <c r="A501" s="185"/>
      <c r="B501" s="1601">
        <v>13</v>
      </c>
      <c r="C501" s="1348" t="s">
        <v>1580</v>
      </c>
      <c r="D501" s="1349"/>
      <c r="E501" s="1350"/>
      <c r="F501" s="1351"/>
      <c r="G501" s="1352"/>
      <c r="H501" s="44"/>
      <c r="I501" s="44"/>
      <c r="J501" s="44"/>
    </row>
    <row r="502" spans="1:10" s="45" customFormat="1" ht="268.5" thickBot="1">
      <c r="A502" s="185"/>
      <c r="B502" s="1311"/>
      <c r="C502" s="1526" t="s">
        <v>978</v>
      </c>
      <c r="D502" s="1313" t="s">
        <v>22</v>
      </c>
      <c r="E502" s="1314">
        <v>2</v>
      </c>
      <c r="F502" s="1315">
        <v>20915045.159595501</v>
      </c>
      <c r="G502" s="1316">
        <f t="shared" ref="G502" si="37">+F502*E502</f>
        <v>41830090.319191001</v>
      </c>
      <c r="H502" s="44"/>
      <c r="I502" s="1460"/>
      <c r="J502" s="44"/>
    </row>
    <row r="503" spans="1:10" s="45" customFormat="1">
      <c r="A503" s="185"/>
      <c r="B503" s="1602"/>
      <c r="C503" s="1259"/>
      <c r="D503" s="1260"/>
      <c r="E503" s="1261"/>
      <c r="F503" s="1262" t="s">
        <v>1581</v>
      </c>
      <c r="G503" s="1263">
        <f>+G502</f>
        <v>41830090.319191001</v>
      </c>
      <c r="H503" s="44"/>
      <c r="I503" s="44"/>
      <c r="J503" s="44"/>
    </row>
    <row r="504" spans="1:10" s="45" customFormat="1">
      <c r="A504" s="185"/>
      <c r="B504" s="1603"/>
      <c r="C504" s="1265"/>
      <c r="D504" s="1266"/>
      <c r="E504" s="1267"/>
      <c r="F504" s="1268" t="s">
        <v>1394</v>
      </c>
      <c r="G504" s="1604">
        <f>+G503+G493+G489+G483</f>
        <v>52844329.319191001</v>
      </c>
      <c r="H504" s="44"/>
      <c r="I504" s="44"/>
      <c r="J504" s="44"/>
    </row>
    <row r="505" spans="1:10" s="45" customFormat="1" ht="15.75" thickBot="1">
      <c r="A505" s="185"/>
      <c r="B505" s="1602"/>
      <c r="C505" s="1259"/>
      <c r="D505" s="1260"/>
      <c r="E505" s="1261"/>
      <c r="F505" s="1262"/>
      <c r="G505" s="1263"/>
      <c r="H505" s="44"/>
      <c r="I505" s="44"/>
      <c r="J505" s="44"/>
    </row>
    <row r="506" spans="1:10" s="45" customFormat="1">
      <c r="A506" s="185"/>
      <c r="B506" s="74">
        <v>14</v>
      </c>
      <c r="C506" s="75" t="s">
        <v>1685</v>
      </c>
      <c r="D506" s="76"/>
      <c r="E506" s="76"/>
      <c r="F506" s="76"/>
      <c r="G506" s="77"/>
      <c r="H506" s="44"/>
      <c r="I506" s="44"/>
      <c r="J506" s="44"/>
    </row>
    <row r="507" spans="1:10" s="45" customFormat="1">
      <c r="A507" s="185"/>
      <c r="B507" s="1552"/>
      <c r="C507" s="1365" t="s">
        <v>1400</v>
      </c>
      <c r="D507" s="1366" t="s">
        <v>139</v>
      </c>
      <c r="E507" s="1452" t="e">
        <f>+(E517+E518+E521+E519+E520+E521)*0.6*1+(230*7*1)</f>
        <v>#REF!</v>
      </c>
      <c r="F507" s="1282">
        <v>2640</v>
      </c>
      <c r="G507" s="1553" t="e">
        <f>+F507*E507</f>
        <v>#REF!</v>
      </c>
      <c r="H507" s="44"/>
      <c r="I507" s="44"/>
      <c r="J507" s="44"/>
    </row>
    <row r="508" spans="1:10" s="45" customFormat="1">
      <c r="A508" s="185"/>
      <c r="B508" s="1552"/>
      <c r="C508" s="1365" t="s">
        <v>941</v>
      </c>
      <c r="D508" s="1346" t="s">
        <v>139</v>
      </c>
      <c r="E508" s="1282" t="e">
        <f>+E507-E511-E512</f>
        <v>#REF!</v>
      </c>
      <c r="F508" s="1282">
        <v>10240</v>
      </c>
      <c r="G508" s="1553" t="e">
        <f t="shared" ref="G508" si="38">+E508*F508</f>
        <v>#REF!</v>
      </c>
      <c r="H508" s="44"/>
      <c r="I508" s="44"/>
      <c r="J508" s="44"/>
    </row>
    <row r="509" spans="1:10" s="45" customFormat="1">
      <c r="A509" s="185"/>
      <c r="B509" s="1552"/>
      <c r="C509" s="1365" t="s">
        <v>1548</v>
      </c>
      <c r="D509" s="1346" t="s">
        <v>139</v>
      </c>
      <c r="E509" s="1282">
        <f>0.7*1290*0.06</f>
        <v>54.179999999999993</v>
      </c>
      <c r="F509" s="1282">
        <v>46020</v>
      </c>
      <c r="G509" s="1553">
        <f>+F509*E509</f>
        <v>2493363.5999999996</v>
      </c>
      <c r="H509" s="44"/>
      <c r="I509" s="44"/>
      <c r="J509" s="44"/>
    </row>
    <row r="510" spans="1:10" s="45" customFormat="1">
      <c r="A510" s="185"/>
      <c r="B510" s="1552"/>
      <c r="C510" s="1365" t="s">
        <v>1549</v>
      </c>
      <c r="D510" s="1346" t="s">
        <v>139</v>
      </c>
      <c r="E510" s="1282" t="e">
        <f>+(E511+E512)</f>
        <v>#REF!</v>
      </c>
      <c r="F510" s="1282">
        <v>15590</v>
      </c>
      <c r="G510" s="1553" t="e">
        <f>+F510*E510</f>
        <v>#REF!</v>
      </c>
      <c r="H510" s="44"/>
      <c r="I510" s="44"/>
      <c r="J510" s="44"/>
    </row>
    <row r="511" spans="1:10" s="45" customFormat="1" ht="51">
      <c r="A511" s="185"/>
      <c r="B511" s="1552"/>
      <c r="C511" s="1342" t="s">
        <v>1575</v>
      </c>
      <c r="D511" s="1020" t="s">
        <v>139</v>
      </c>
      <c r="E511" s="1343" t="e">
        <f>+(E519+E520+E521+92)*0.2*0.6</f>
        <v>#REF!</v>
      </c>
      <c r="F511" s="1344">
        <v>76530</v>
      </c>
      <c r="G511" s="1605" t="e">
        <f t="shared" ref="G511:G515" si="39">+F511*E511</f>
        <v>#REF!</v>
      </c>
      <c r="H511" s="44"/>
      <c r="I511" s="44"/>
      <c r="J511" s="44"/>
    </row>
    <row r="512" spans="1:10" s="45" customFormat="1" ht="51">
      <c r="A512" s="185"/>
      <c r="B512" s="1552"/>
      <c r="C512" s="1342" t="s">
        <v>1576</v>
      </c>
      <c r="D512" s="1020" t="s">
        <v>139</v>
      </c>
      <c r="E512" s="1343" t="e">
        <f>+(E519+E520+E521+92)*0.15*0.6</f>
        <v>#REF!</v>
      </c>
      <c r="F512" s="1344">
        <v>74730</v>
      </c>
      <c r="G512" s="1605" t="e">
        <f t="shared" si="39"/>
        <v>#REF!</v>
      </c>
      <c r="H512" s="44"/>
      <c r="I512" s="44"/>
      <c r="J512" s="44"/>
    </row>
    <row r="513" spans="1:10" s="45" customFormat="1">
      <c r="A513" s="185"/>
      <c r="B513" s="1552"/>
      <c r="C513" s="1342" t="s">
        <v>1578</v>
      </c>
      <c r="D513" s="1346" t="s">
        <v>139</v>
      </c>
      <c r="E513" s="1343" t="e">
        <f>+(E520+E521+E522+92)*0.15*0.6</f>
        <v>#REF!</v>
      </c>
      <c r="F513" s="1344">
        <v>34090</v>
      </c>
      <c r="G513" s="1605" t="e">
        <f t="shared" si="39"/>
        <v>#REF!</v>
      </c>
      <c r="H513" s="44"/>
      <c r="I513" s="44"/>
      <c r="J513" s="44"/>
    </row>
    <row r="514" spans="1:10" s="45" customFormat="1">
      <c r="A514" s="185"/>
      <c r="B514" s="1552"/>
      <c r="C514" s="1347" t="s">
        <v>1579</v>
      </c>
      <c r="D514" s="1346" t="s">
        <v>139</v>
      </c>
      <c r="E514" s="1343" t="e">
        <f>+(E519+E520+E521+92)*0.6*0.07</f>
        <v>#REF!</v>
      </c>
      <c r="F514" s="1344">
        <f>421207+22500</f>
        <v>443707</v>
      </c>
      <c r="G514" s="1605" t="e">
        <f t="shared" si="39"/>
        <v>#REF!</v>
      </c>
      <c r="H514" s="44"/>
      <c r="I514" s="1461"/>
      <c r="J514" s="44"/>
    </row>
    <row r="515" spans="1:10" s="45" customFormat="1">
      <c r="A515" s="185"/>
      <c r="B515" s="1552"/>
      <c r="C515" s="1347" t="s">
        <v>1577</v>
      </c>
      <c r="D515" s="1346" t="s">
        <v>56</v>
      </c>
      <c r="E515" s="1343" t="e">
        <f>+(E519+E520+E521+92)*0.6</f>
        <v>#REF!</v>
      </c>
      <c r="F515" s="1344">
        <v>1954</v>
      </c>
      <c r="G515" s="1605" t="e">
        <f t="shared" si="39"/>
        <v>#REF!</v>
      </c>
      <c r="H515" s="44"/>
      <c r="I515" s="960"/>
      <c r="J515" s="44"/>
    </row>
    <row r="516" spans="1:10" s="45" customFormat="1">
      <c r="A516" s="185"/>
      <c r="B516" s="1552"/>
      <c r="C516" s="1365" t="s">
        <v>1550</v>
      </c>
      <c r="D516" s="1346"/>
      <c r="E516" s="1282"/>
      <c r="F516" s="1282"/>
      <c r="G516" s="1553"/>
      <c r="H516" s="44"/>
      <c r="I516" s="44"/>
      <c r="J516" s="44"/>
    </row>
    <row r="517" spans="1:10" s="45" customFormat="1">
      <c r="A517" s="185"/>
      <c r="B517" s="1598"/>
      <c r="C517" s="1365" t="s">
        <v>1396</v>
      </c>
      <c r="D517" s="1020" t="s">
        <v>500</v>
      </c>
      <c r="E517" s="1281" t="e">
        <f>+#REF!</f>
        <v>#REF!</v>
      </c>
      <c r="F517" s="1282">
        <v>5021</v>
      </c>
      <c r="G517" s="1606" t="e">
        <f>+F517*E517</f>
        <v>#REF!</v>
      </c>
      <c r="H517" s="44"/>
      <c r="I517" s="960"/>
      <c r="J517" s="44"/>
    </row>
    <row r="518" spans="1:10" s="45" customFormat="1">
      <c r="A518" s="185"/>
      <c r="B518" s="1598"/>
      <c r="C518" s="1365" t="s">
        <v>1397</v>
      </c>
      <c r="D518" s="1020" t="s">
        <v>500</v>
      </c>
      <c r="E518" s="1281" t="e">
        <f>+#REF!</f>
        <v>#REF!</v>
      </c>
      <c r="F518" s="1282">
        <v>5021</v>
      </c>
      <c r="G518" s="1606" t="e">
        <f>+F518*E518</f>
        <v>#REF!</v>
      </c>
      <c r="H518" s="44"/>
      <c r="I518" s="44"/>
      <c r="J518" s="44"/>
    </row>
    <row r="519" spans="1:10" s="45" customFormat="1">
      <c r="A519" s="185"/>
      <c r="B519" s="1598"/>
      <c r="C519" s="1365" t="s">
        <v>1402</v>
      </c>
      <c r="D519" s="1020" t="s">
        <v>500</v>
      </c>
      <c r="E519" s="1281" t="e">
        <f>+#REF!</f>
        <v>#REF!</v>
      </c>
      <c r="F519" s="1282">
        <v>3632</v>
      </c>
      <c r="G519" s="1606" t="e">
        <f t="shared" ref="G519:G521" si="40">+F519*E519</f>
        <v>#REF!</v>
      </c>
      <c r="H519" s="44"/>
      <c r="I519" s="44"/>
      <c r="J519" s="44"/>
    </row>
    <row r="520" spans="1:10" s="45" customFormat="1">
      <c r="A520" s="185"/>
      <c r="B520" s="1598"/>
      <c r="C520" s="1365" t="s">
        <v>1434</v>
      </c>
      <c r="D520" s="1020" t="s">
        <v>500</v>
      </c>
      <c r="E520" s="1281" t="e">
        <f>+#REF!</f>
        <v>#REF!</v>
      </c>
      <c r="F520" s="1282">
        <v>3512</v>
      </c>
      <c r="G520" s="1606" t="e">
        <f t="shared" si="40"/>
        <v>#REF!</v>
      </c>
      <c r="H520" s="44"/>
      <c r="I520" s="44"/>
      <c r="J520" s="44"/>
    </row>
    <row r="521" spans="1:10" s="45" customFormat="1">
      <c r="A521" s="185"/>
      <c r="B521" s="1552"/>
      <c r="C521" s="1454" t="s">
        <v>1406</v>
      </c>
      <c r="D521" s="1020" t="s">
        <v>500</v>
      </c>
      <c r="E521" s="1281" t="e">
        <f>+#REF!</f>
        <v>#REF!</v>
      </c>
      <c r="F521" s="1282">
        <v>3512</v>
      </c>
      <c r="G521" s="1606" t="e">
        <f t="shared" si="40"/>
        <v>#REF!</v>
      </c>
      <c r="H521" s="44"/>
      <c r="I521" s="44"/>
      <c r="J521" s="44"/>
    </row>
    <row r="522" spans="1:10" s="45" customFormat="1" ht="15.75" thickBot="1">
      <c r="A522" s="185"/>
      <c r="B522" s="876"/>
      <c r="C522" s="1338"/>
      <c r="D522" s="873"/>
      <c r="E522" s="874"/>
      <c r="F522" s="1531" t="s">
        <v>1686</v>
      </c>
      <c r="G522" s="1504" t="e">
        <f>SUM(G507:G521)</f>
        <v>#REF!</v>
      </c>
      <c r="H522" s="44"/>
      <c r="I522" s="44"/>
      <c r="J522" s="44"/>
    </row>
    <row r="523" spans="1:10" s="45" customFormat="1">
      <c r="A523" s="185"/>
      <c r="B523" s="1588"/>
      <c r="C523" s="887"/>
      <c r="D523" s="827"/>
      <c r="E523" s="594"/>
      <c r="F523" s="575"/>
      <c r="G523" s="792"/>
      <c r="H523" s="44"/>
      <c r="I523" s="44"/>
      <c r="J523" s="44"/>
    </row>
    <row r="524" spans="1:10" s="45" customFormat="1" ht="15.75" customHeight="1">
      <c r="A524" s="212"/>
      <c r="B524" s="1607"/>
      <c r="C524" s="145"/>
      <c r="D524" s="146"/>
      <c r="E524" s="146"/>
      <c r="F524" s="147" t="s">
        <v>94</v>
      </c>
      <c r="G524" s="946" t="e">
        <f>+G522+G504+G440+G415+G337+G266+G239+G190+G160+G124+G87+G46+G30</f>
        <v>#REF!</v>
      </c>
      <c r="H524" s="1544"/>
      <c r="I524" s="44"/>
      <c r="J524" s="44"/>
    </row>
    <row r="525" spans="1:10" s="45" customFormat="1">
      <c r="A525" s="212"/>
      <c r="B525" s="1607"/>
      <c r="C525" s="1541"/>
      <c r="D525" s="44"/>
      <c r="E525" s="44"/>
      <c r="F525" s="44"/>
      <c r="G525" s="796"/>
      <c r="H525" s="44"/>
      <c r="I525" s="44"/>
      <c r="J525" s="44"/>
    </row>
    <row r="526" spans="1:10" s="45" customFormat="1">
      <c r="A526" s="212"/>
      <c r="B526" s="1607"/>
      <c r="C526" s="162" t="s">
        <v>96</v>
      </c>
      <c r="D526" s="163"/>
      <c r="E526" s="164"/>
      <c r="F526" s="165"/>
      <c r="G526" s="798"/>
      <c r="I526" s="44"/>
      <c r="J526" s="44"/>
    </row>
    <row r="527" spans="1:10" s="45" customFormat="1">
      <c r="A527" s="212"/>
      <c r="B527" s="1607"/>
      <c r="C527" s="170"/>
      <c r="D527" s="171"/>
      <c r="E527" s="171"/>
      <c r="F527" s="172" t="s">
        <v>98</v>
      </c>
      <c r="G527" s="799" t="e">
        <f>+G524</f>
        <v>#REF!</v>
      </c>
      <c r="I527" s="44"/>
      <c r="J527" s="44"/>
    </row>
    <row r="528" spans="1:10">
      <c r="B528" s="1579"/>
      <c r="C528" s="177"/>
      <c r="D528" s="178"/>
      <c r="E528" s="179" t="s">
        <v>100</v>
      </c>
      <c r="F528" s="180">
        <v>0.17</v>
      </c>
      <c r="G528" s="800" t="e">
        <f>+G527*F528</f>
        <v>#REF!</v>
      </c>
      <c r="I528" s="419"/>
      <c r="J528" s="419"/>
    </row>
    <row r="529" spans="2:10">
      <c r="B529" s="1579"/>
      <c r="C529" s="1141"/>
      <c r="D529" s="1142"/>
      <c r="E529" s="1143" t="s">
        <v>102</v>
      </c>
      <c r="F529" s="1144">
        <v>0.08</v>
      </c>
      <c r="G529" s="801" t="e">
        <f>+G527*F529</f>
        <v>#REF!</v>
      </c>
      <c r="I529" s="419"/>
      <c r="J529" s="419"/>
    </row>
    <row r="530" spans="2:10">
      <c r="B530" s="1579"/>
      <c r="C530" s="1141"/>
      <c r="D530" s="1142"/>
      <c r="E530" s="1143" t="s">
        <v>104</v>
      </c>
      <c r="F530" s="1144">
        <v>0.05</v>
      </c>
      <c r="G530" s="801" t="e">
        <f>+G527*F530</f>
        <v>#REF!</v>
      </c>
      <c r="I530" s="419"/>
      <c r="J530" s="419"/>
    </row>
    <row r="531" spans="2:10">
      <c r="B531" s="1579"/>
      <c r="C531" s="191"/>
      <c r="D531" s="1145"/>
      <c r="E531" s="1146" t="s">
        <v>105</v>
      </c>
      <c r="F531" s="194">
        <f>+F530+F529+F528</f>
        <v>0.30000000000000004</v>
      </c>
      <c r="G531" s="802" t="e">
        <f>+G528+G529+G530</f>
        <v>#REF!</v>
      </c>
      <c r="I531" s="419"/>
      <c r="J531" s="419"/>
    </row>
    <row r="532" spans="2:10">
      <c r="B532" s="1579"/>
      <c r="C532" s="191"/>
      <c r="D532" s="1145"/>
      <c r="E532" s="1146" t="s">
        <v>107</v>
      </c>
      <c r="F532" s="194">
        <v>0.16</v>
      </c>
      <c r="G532" s="803" t="e">
        <f>+G530*F532</f>
        <v>#REF!</v>
      </c>
      <c r="H532" s="970" t="e">
        <f>+G532+G531</f>
        <v>#REF!</v>
      </c>
      <c r="I532" s="419"/>
      <c r="J532" s="419"/>
    </row>
    <row r="533" spans="2:10" ht="15.75" thickBot="1">
      <c r="B533" s="1608"/>
      <c r="C533" s="1609"/>
      <c r="D533" s="1610"/>
      <c r="E533" s="1610"/>
      <c r="F533" s="1611" t="s">
        <v>109</v>
      </c>
      <c r="G533" s="1612" t="e">
        <f>+G527+G531+G532</f>
        <v>#REF!</v>
      </c>
      <c r="H533" s="917" t="e">
        <f>+H532/G527</f>
        <v>#REF!</v>
      </c>
      <c r="I533" s="419">
        <v>0.30800000000000005</v>
      </c>
      <c r="J533" s="419"/>
    </row>
    <row r="534" spans="2:10">
      <c r="B534" s="419"/>
      <c r="C534" s="38"/>
      <c r="D534" s="419"/>
      <c r="E534" s="419"/>
      <c r="F534" s="419"/>
      <c r="G534" s="1046"/>
    </row>
    <row r="535" spans="2:10">
      <c r="B535" s="419"/>
      <c r="C535" s="38"/>
      <c r="D535" s="419"/>
      <c r="E535" s="419"/>
      <c r="F535" s="419"/>
      <c r="G535" s="1046"/>
    </row>
    <row r="536" spans="2:10">
      <c r="B536" s="419"/>
      <c r="C536" s="38"/>
      <c r="D536" s="419"/>
      <c r="E536" s="419"/>
      <c r="F536" s="419"/>
      <c r="G536" s="1046"/>
    </row>
    <row r="537" spans="2:10">
      <c r="B537" s="419"/>
      <c r="C537" s="38"/>
      <c r="D537" s="419"/>
      <c r="E537" s="419"/>
      <c r="F537" s="419"/>
      <c r="G537" s="1046"/>
    </row>
    <row r="538" spans="2:10">
      <c r="B538" s="419"/>
      <c r="C538" s="38"/>
      <c r="D538" s="419"/>
      <c r="E538" s="419"/>
      <c r="F538" s="419"/>
      <c r="G538" s="1046"/>
    </row>
    <row r="539" spans="2:10">
      <c r="B539" s="419"/>
      <c r="C539" s="38"/>
      <c r="D539" s="419"/>
      <c r="E539" s="419"/>
      <c r="F539" s="419"/>
      <c r="G539" s="1046"/>
    </row>
    <row r="540" spans="2:10">
      <c r="B540" s="419"/>
      <c r="C540" s="38"/>
      <c r="D540" s="419"/>
      <c r="E540" s="419"/>
      <c r="F540" s="419"/>
      <c r="G540" s="1046"/>
    </row>
    <row r="541" spans="2:10">
      <c r="B541" s="419"/>
      <c r="C541" s="38"/>
      <c r="D541" s="419"/>
      <c r="E541" s="419"/>
      <c r="F541" s="419"/>
      <c r="G541" s="1046"/>
    </row>
    <row r="542" spans="2:10">
      <c r="B542" s="419"/>
      <c r="C542" s="38"/>
      <c r="D542" s="419"/>
      <c r="E542" s="419"/>
      <c r="F542" s="419"/>
      <c r="G542" s="1046"/>
    </row>
    <row r="543" spans="2:10">
      <c r="B543" s="419"/>
      <c r="C543" s="38"/>
      <c r="D543" s="419"/>
      <c r="E543" s="419"/>
      <c r="F543" s="419"/>
      <c r="G543" s="1046"/>
    </row>
    <row r="544" spans="2:10">
      <c r="B544" s="419"/>
      <c r="C544" s="38"/>
      <c r="D544" s="419"/>
      <c r="E544" s="419"/>
      <c r="F544" s="419"/>
      <c r="G544" s="1046"/>
    </row>
    <row r="545" spans="2:9">
      <c r="C545" s="38"/>
      <c r="G545" s="1046"/>
    </row>
    <row r="546" spans="2:9" ht="23.25">
      <c r="B546" s="1909" t="s">
        <v>1421</v>
      </c>
      <c r="C546" s="1909"/>
      <c r="D546" s="1909"/>
      <c r="E546" s="1909"/>
      <c r="F546" s="1909"/>
      <c r="G546" s="1909"/>
    </row>
    <row r="547" spans="2:9">
      <c r="C547" s="38"/>
      <c r="D547" s="216"/>
      <c r="E547" s="217"/>
      <c r="F547" s="95"/>
      <c r="G547" s="95"/>
    </row>
    <row r="548" spans="2:9" ht="15.75">
      <c r="C548" s="1920" t="s">
        <v>947</v>
      </c>
      <c r="D548" s="1920"/>
      <c r="E548" s="1920"/>
      <c r="F548" s="1920"/>
      <c r="G548" s="1038" t="e">
        <f>+G533</f>
        <v>#REF!</v>
      </c>
    </row>
    <row r="549" spans="2:9" ht="15.75">
      <c r="C549" s="1919" t="s">
        <v>1435</v>
      </c>
      <c r="D549" s="1919"/>
      <c r="E549" s="1919"/>
      <c r="F549" s="1919"/>
      <c r="G549" s="1003" t="e">
        <f>+G548*0.06</f>
        <v>#REF!</v>
      </c>
    </row>
    <row r="550" spans="2:9" ht="15.75">
      <c r="C550" s="971"/>
      <c r="D550" s="971"/>
      <c r="E550" s="971"/>
      <c r="F550" s="971"/>
      <c r="G550" s="1003"/>
    </row>
    <row r="551" spans="2:9" ht="15.75">
      <c r="C551" s="1921" t="s">
        <v>948</v>
      </c>
      <c r="D551" s="1921"/>
      <c r="E551" s="1921"/>
      <c r="F551" s="1921"/>
      <c r="G551" s="1003" t="e">
        <f>+#REF!</f>
        <v>#REF!</v>
      </c>
    </row>
    <row r="552" spans="2:9" ht="15.75">
      <c r="C552" s="1921" t="s">
        <v>1551</v>
      </c>
      <c r="D552" s="1921"/>
      <c r="E552" s="1921"/>
      <c r="F552" s="1921"/>
      <c r="G552" s="1003" t="e">
        <f>+G551*0.04</f>
        <v>#REF!</v>
      </c>
    </row>
    <row r="553" spans="2:9" ht="15.75">
      <c r="C553" s="1464"/>
      <c r="D553" s="1464"/>
      <c r="E553" s="1464"/>
      <c r="F553" s="1464"/>
      <c r="G553" s="1037"/>
    </row>
    <row r="554" spans="2:9" ht="15.75">
      <c r="C554" s="1921" t="s">
        <v>570</v>
      </c>
      <c r="D554" s="1921"/>
      <c r="E554" s="1921"/>
      <c r="F554" s="1921"/>
      <c r="G554" s="1037" t="e">
        <f>SUM(G548:G553)</f>
        <v>#REF!</v>
      </c>
    </row>
    <row r="555" spans="2:9" ht="15.75">
      <c r="C555" s="1919" t="s">
        <v>1401</v>
      </c>
      <c r="D555" s="1919"/>
      <c r="E555" s="1919"/>
      <c r="F555" s="1919"/>
      <c r="G555" s="1003" t="e">
        <f>+(G554/0.98)*0.02</f>
        <v>#REF!</v>
      </c>
      <c r="I555" s="945" t="e">
        <f>+I556-G556</f>
        <v>#REF!</v>
      </c>
    </row>
    <row r="556" spans="2:9" ht="15.75">
      <c r="C556" s="1919" t="s">
        <v>484</v>
      </c>
      <c r="D556" s="1919"/>
      <c r="E556" s="1919"/>
      <c r="F556" s="1919"/>
      <c r="G556" s="1039" t="e">
        <f>+G554+G555</f>
        <v>#REF!</v>
      </c>
      <c r="I556" s="424">
        <v>2406339516</v>
      </c>
    </row>
    <row r="557" spans="2:9">
      <c r="G557" s="945"/>
    </row>
    <row r="559" spans="2:9">
      <c r="G559" s="1618">
        <v>2888492386</v>
      </c>
    </row>
  </sheetData>
  <mergeCells count="20">
    <mergeCell ref="C556:F556"/>
    <mergeCell ref="C548:F548"/>
    <mergeCell ref="C549:F549"/>
    <mergeCell ref="C551:F551"/>
    <mergeCell ref="C552:F552"/>
    <mergeCell ref="C554:F554"/>
    <mergeCell ref="C555:F555"/>
    <mergeCell ref="B333:G333"/>
    <mergeCell ref="B546:G546"/>
    <mergeCell ref="E1:F1"/>
    <mergeCell ref="E2:F2"/>
    <mergeCell ref="B3:D3"/>
    <mergeCell ref="E3:G3"/>
    <mergeCell ref="B4:D4"/>
    <mergeCell ref="E4:G4"/>
    <mergeCell ref="B5:B6"/>
    <mergeCell ref="C5:E6"/>
    <mergeCell ref="F6:G6"/>
    <mergeCell ref="C30:F30"/>
    <mergeCell ref="C46:F46"/>
  </mergeCells>
  <conditionalFormatting sqref="G533">
    <cfRule type="expression" dxfId="213" priority="25" stopIfTrue="1">
      <formula>"&gt;G29"</formula>
    </cfRule>
    <cfRule type="expression" dxfId="212" priority="26" stopIfTrue="1">
      <formula>"&lt;G29"""</formula>
    </cfRule>
  </conditionalFormatting>
  <conditionalFormatting sqref="B5">
    <cfRule type="cellIs" dxfId="211" priority="27" stopIfTrue="1" operator="equal">
      <formula>"ESCRIBA AQUÍ EL NOMBRE DE LA OBRA"</formula>
    </cfRule>
  </conditionalFormatting>
  <conditionalFormatting sqref="G1">
    <cfRule type="cellIs" dxfId="210" priority="28" stopIfTrue="1" operator="equal">
      <formula>"CHEQ. INSUMOS"</formula>
    </cfRule>
  </conditionalFormatting>
  <conditionalFormatting sqref="G2">
    <cfRule type="cellIs" dxfId="209" priority="29" stopIfTrue="1" operator="equal">
      <formula>"CHEQ. INSUMOS"</formula>
    </cfRule>
  </conditionalFormatting>
  <conditionalFormatting sqref="B11:C11 B161:C161 B192:C192 C268 C304:C308 C311:C320 C282:C284">
    <cfRule type="cellIs" dxfId="208" priority="24" stopIfTrue="1" operator="equal">
      <formula>"ESCRIBA AQUÍ EL NOMBRE DEL CAPITULO"</formula>
    </cfRule>
  </conditionalFormatting>
  <conditionalFormatting sqref="B18:C18">
    <cfRule type="cellIs" dxfId="207" priority="23" stopIfTrue="1" operator="equal">
      <formula>"ESCRIBA AQUÍ EL NOMBRE DEL CAPITULO"</formula>
    </cfRule>
  </conditionalFormatting>
  <conditionalFormatting sqref="B48:C48">
    <cfRule type="cellIs" dxfId="206" priority="22" stopIfTrue="1" operator="equal">
      <formula>"ESCRIBA AQUÍ EL NOMBRE DEL CAPITULO"</formula>
    </cfRule>
  </conditionalFormatting>
  <conditionalFormatting sqref="B25:C25">
    <cfRule type="cellIs" dxfId="205" priority="21" stopIfTrue="1" operator="equal">
      <formula>"ESCRIBA AQUÍ EL NOMBRE DEL CAPITULO"</formula>
    </cfRule>
  </conditionalFormatting>
  <conditionalFormatting sqref="B89:C89">
    <cfRule type="cellIs" dxfId="204" priority="20" stopIfTrue="1" operator="equal">
      <formula>"ESCRIBA AQUÍ EL NOMBRE DEL CAPITULO"</formula>
    </cfRule>
  </conditionalFormatting>
  <conditionalFormatting sqref="B126:C126">
    <cfRule type="cellIs" dxfId="203" priority="19" stopIfTrue="1" operator="equal">
      <formula>"ESCRIBA AQUÍ EL NOMBRE DEL CAPITULO"</formula>
    </cfRule>
  </conditionalFormatting>
  <conditionalFormatting sqref="B163:C163">
    <cfRule type="cellIs" dxfId="202" priority="18" stopIfTrue="1" operator="equal">
      <formula>"ESCRIBA AQUÍ EL NOMBRE DEL CAPITULO"</formula>
    </cfRule>
  </conditionalFormatting>
  <conditionalFormatting sqref="B193:C193">
    <cfRule type="cellIs" dxfId="201" priority="17" stopIfTrue="1" operator="equal">
      <formula>"ESCRIBA AQUÍ EL NOMBRE DEL CAPITULO"</formula>
    </cfRule>
  </conditionalFormatting>
  <conditionalFormatting sqref="B32:C32">
    <cfRule type="cellIs" dxfId="200" priority="16" stopIfTrue="1" operator="equal">
      <formula>"ESCRIBA AQUÍ EL NOMBRE DEL CAPITULO"</formula>
    </cfRule>
  </conditionalFormatting>
  <conditionalFormatting sqref="B241:C241">
    <cfRule type="cellIs" dxfId="199" priority="15" stopIfTrue="1" operator="equal">
      <formula>"ESCRIBA AQUÍ EL NOMBRE DEL CAPITULO"</formula>
    </cfRule>
  </conditionalFormatting>
  <conditionalFormatting sqref="C339:C340">
    <cfRule type="cellIs" dxfId="198" priority="14" stopIfTrue="1" operator="equal">
      <formula>"ESCRIBA AQUÍ EL NOMBRE DEL CAPITULO"</formula>
    </cfRule>
  </conditionalFormatting>
  <conditionalFormatting sqref="C417">
    <cfRule type="cellIs" dxfId="197" priority="13" stopIfTrue="1" operator="equal">
      <formula>"ESCRIBA AQUÍ EL NOMBRE DEL CAPITULO"</formula>
    </cfRule>
  </conditionalFormatting>
  <conditionalFormatting sqref="C427">
    <cfRule type="cellIs" dxfId="196" priority="12" stopIfTrue="1" operator="equal">
      <formula>"ESCRIBA AQUÍ EL NOMBRE DEL CAPITULO"</formula>
    </cfRule>
  </conditionalFormatting>
  <conditionalFormatting sqref="C445:C446">
    <cfRule type="cellIs" dxfId="195" priority="11" stopIfTrue="1" operator="equal">
      <formula>"ESCRIBA AQUÍ EL NOMBRE DEL CAPITULO"</formula>
    </cfRule>
  </conditionalFormatting>
  <conditionalFormatting sqref="C471">
    <cfRule type="cellIs" dxfId="194" priority="10" stopIfTrue="1" operator="equal">
      <formula>"ESCRIBA AQUÍ EL NOMBRE DEL CAPITULO"</formula>
    </cfRule>
  </conditionalFormatting>
  <conditionalFormatting sqref="B475:C475">
    <cfRule type="cellIs" dxfId="193" priority="9" stopIfTrue="1" operator="equal">
      <formula>"ESCRIBA AQUÍ EL NOMBRE DEL CAPITULO"</formula>
    </cfRule>
  </conditionalFormatting>
  <conditionalFormatting sqref="B478:C478">
    <cfRule type="cellIs" dxfId="192" priority="8" stopIfTrue="1" operator="equal">
      <formula>"ESCRIBA AQUÍ EL NOMBRE DEL CAPITULO"</formula>
    </cfRule>
  </conditionalFormatting>
  <conditionalFormatting sqref="B481:C481">
    <cfRule type="cellIs" dxfId="191" priority="7" stopIfTrue="1" operator="equal">
      <formula>"ESCRIBA AQUÍ EL NOMBRE DEL CAPITULO"</formula>
    </cfRule>
  </conditionalFormatting>
  <conditionalFormatting sqref="B506:C506">
    <cfRule type="cellIs" dxfId="190" priority="6" stopIfTrue="1" operator="equal">
      <formula>"ESCRIBA AQUÍ EL NOMBRE DEL CAPITULO"</formula>
    </cfRule>
  </conditionalFormatting>
  <conditionalFormatting sqref="B491:C491">
    <cfRule type="cellIs" dxfId="189" priority="5" stopIfTrue="1" operator="equal">
      <formula>"ESCRIBA AQUÍ EL NOMBRE DEL CAPITULO"</formula>
    </cfRule>
  </conditionalFormatting>
  <conditionalFormatting sqref="B484:C484">
    <cfRule type="cellIs" dxfId="188" priority="4" stopIfTrue="1" operator="equal">
      <formula>"ESCRIBA AQUÍ EL NOMBRE DEL CAPITULO"</formula>
    </cfRule>
  </conditionalFormatting>
  <conditionalFormatting sqref="C287:C302 C269:C278">
    <cfRule type="cellIs" dxfId="187" priority="3" stopIfTrue="1" operator="equal">
      <formula>"ESCRIBA AQUÍ EL NOMBRE DEL CAPITULO"</formula>
    </cfRule>
  </conditionalFormatting>
  <conditionalFormatting sqref="C279:C281">
    <cfRule type="cellIs" dxfId="186" priority="2" stopIfTrue="1" operator="equal">
      <formula>"ESCRIBA AQUÍ EL NOMBRE DEL CAPITULO"</formula>
    </cfRule>
  </conditionalFormatting>
  <conditionalFormatting sqref="C303">
    <cfRule type="cellIs" dxfId="185" priority="1" stopIfTrue="1" operator="equal">
      <formula>"ESCRIBA AQUÍ EL NOMBRE DEL CAPITULO"</formula>
    </cfRule>
  </conditionalFormatting>
  <pageMargins left="0.7" right="0.7" top="0.75" bottom="0.75" header="0.3" footer="0.3"/>
  <pageSetup scale="85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H6"/>
  <sheetViews>
    <sheetView workbookViewId="0">
      <selection activeCell="F27" sqref="F27"/>
    </sheetView>
  </sheetViews>
  <sheetFormatPr baseColWidth="10" defaultRowHeight="15"/>
  <sheetData>
    <row r="2" spans="3:8">
      <c r="C2">
        <f>63+69+74+65+64</f>
        <v>335</v>
      </c>
      <c r="D2">
        <f>+C2*0.3*0.25</f>
        <v>25.125</v>
      </c>
      <c r="F2">
        <f>11+52</f>
        <v>63</v>
      </c>
      <c r="G2">
        <f>+F2/2</f>
        <v>31.5</v>
      </c>
      <c r="H2">
        <v>32</v>
      </c>
    </row>
    <row r="3" spans="3:8">
      <c r="F3" s="1492">
        <f>42+27+36</f>
        <v>105</v>
      </c>
      <c r="G3" s="1492">
        <f>+F3/2</f>
        <v>52.5</v>
      </c>
      <c r="H3">
        <v>53</v>
      </c>
    </row>
    <row r="4" spans="3:8">
      <c r="F4">
        <v>65</v>
      </c>
      <c r="G4" s="1492">
        <f>+F4/2</f>
        <v>32.5</v>
      </c>
      <c r="H4">
        <v>33</v>
      </c>
    </row>
    <row r="5" spans="3:8">
      <c r="F5" s="1492">
        <f>65+38</f>
        <v>103</v>
      </c>
      <c r="G5" s="1492">
        <f>+F5/2</f>
        <v>51.5</v>
      </c>
      <c r="H5">
        <v>52</v>
      </c>
    </row>
    <row r="6" spans="3:8">
      <c r="G6">
        <f>SUM(G2:G5)</f>
        <v>168</v>
      </c>
      <c r="H6">
        <f>SUM(H2:H5)</f>
        <v>170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590"/>
  <sheetViews>
    <sheetView showGridLines="0" topLeftCell="B521" zoomScale="120" zoomScaleNormal="120" workbookViewId="0">
      <pane xSplit="1" topLeftCell="C1" activePane="topRight" state="frozen"/>
      <selection activeCell="B6" sqref="B6"/>
      <selection pane="topRight" activeCell="H98" sqref="H98"/>
    </sheetView>
  </sheetViews>
  <sheetFormatPr baseColWidth="10" defaultRowHeight="15"/>
  <cols>
    <col min="1" max="1" width="0" style="917" hidden="1" customWidth="1"/>
    <col min="2" max="2" width="8" style="917" customWidth="1"/>
    <col min="3" max="3" width="44" style="917" customWidth="1"/>
    <col min="4" max="4" width="6.140625" style="917" customWidth="1"/>
    <col min="5" max="5" width="9" style="917" customWidth="1"/>
    <col min="6" max="6" width="12.28515625" style="917" bestFit="1" customWidth="1"/>
    <col min="7" max="7" width="19.5703125" style="917" customWidth="1"/>
    <col min="8" max="8" width="11.42578125" style="917"/>
    <col min="9" max="9" width="19.42578125" style="917" customWidth="1"/>
    <col min="10" max="10" width="17.42578125" style="917" customWidth="1"/>
    <col min="11" max="54" width="11.42578125" style="917"/>
    <col min="55" max="57" width="0" style="917" hidden="1" customWidth="1"/>
    <col min="58" max="16384" width="11.42578125" style="917"/>
  </cols>
  <sheetData>
    <row r="1" spans="1:57" s="19" customFormat="1" ht="12" hidden="1" customHeight="1" thickTop="1">
      <c r="A1" s="1"/>
      <c r="B1" s="2">
        <v>2012.2</v>
      </c>
      <c r="C1" s="3"/>
      <c r="D1" s="4"/>
      <c r="E1" s="1885" t="s">
        <v>0</v>
      </c>
      <c r="F1" s="1885"/>
      <c r="G1" s="5">
        <v>408578100</v>
      </c>
      <c r="W1" s="20"/>
      <c r="X1" s="21"/>
      <c r="Y1" s="22"/>
      <c r="Z1" s="23"/>
      <c r="AA1" s="24"/>
      <c r="AB1" s="25">
        <v>0</v>
      </c>
      <c r="AC1" s="26">
        <v>0</v>
      </c>
      <c r="AD1" s="27"/>
      <c r="AE1" s="25"/>
      <c r="AF1" s="25">
        <v>1</v>
      </c>
      <c r="AG1" s="25"/>
      <c r="AH1" s="28">
        <v>0</v>
      </c>
      <c r="AI1" s="29">
        <v>0</v>
      </c>
      <c r="AJ1" s="29">
        <v>0</v>
      </c>
      <c r="BC1" s="19" t="s">
        <v>9</v>
      </c>
      <c r="BE1" s="19">
        <v>0</v>
      </c>
    </row>
    <row r="2" spans="1:57" s="19" customFormat="1" ht="12" hidden="1" customHeight="1" thickBot="1">
      <c r="A2" s="1" t="s">
        <v>6</v>
      </c>
      <c r="B2" s="30" t="s">
        <v>6</v>
      </c>
      <c r="C2" s="31"/>
      <c r="D2" s="32"/>
      <c r="E2" s="1886"/>
      <c r="F2" s="1886"/>
      <c r="G2" s="33" t="s">
        <v>10</v>
      </c>
    </row>
    <row r="3" spans="1:57" s="45" customFormat="1" ht="21" customHeight="1" thickTop="1">
      <c r="A3" s="39"/>
      <c r="B3" s="1887" t="s">
        <v>1420</v>
      </c>
      <c r="C3" s="1888"/>
      <c r="D3" s="1888"/>
      <c r="E3" s="1889" t="s">
        <v>12</v>
      </c>
      <c r="F3" s="1890"/>
      <c r="G3" s="1891"/>
      <c r="I3" s="44"/>
      <c r="J3" s="44"/>
    </row>
    <row r="4" spans="1:57" s="45" customFormat="1" ht="21" customHeight="1">
      <c r="A4" s="39"/>
      <c r="B4" s="1910" t="s">
        <v>1437</v>
      </c>
      <c r="C4" s="1911"/>
      <c r="D4" s="1912"/>
      <c r="E4" s="1894" t="s">
        <v>14</v>
      </c>
      <c r="F4" s="1895"/>
      <c r="G4" s="1896"/>
      <c r="I4" s="44"/>
      <c r="J4" s="44"/>
    </row>
    <row r="5" spans="1:57" s="45" customFormat="1" ht="15" customHeight="1">
      <c r="A5" s="39"/>
      <c r="B5" s="1897" t="s">
        <v>15</v>
      </c>
      <c r="C5" s="1913" t="s">
        <v>480</v>
      </c>
      <c r="D5" s="1914"/>
      <c r="E5" s="1915"/>
      <c r="F5" s="46" t="s">
        <v>17</v>
      </c>
      <c r="G5" s="47"/>
      <c r="I5" s="44"/>
      <c r="J5" s="44"/>
    </row>
    <row r="6" spans="1:57" s="45" customFormat="1" ht="21" customHeight="1" thickBot="1">
      <c r="A6" s="39"/>
      <c r="B6" s="1898"/>
      <c r="C6" s="1916"/>
      <c r="D6" s="1917"/>
      <c r="E6" s="1918"/>
      <c r="F6" s="1905"/>
      <c r="G6" s="1906"/>
      <c r="I6" s="44"/>
      <c r="J6" s="44">
        <v>1</v>
      </c>
    </row>
    <row r="7" spans="1:57" s="45" customFormat="1" ht="20.100000000000001" customHeight="1" thickTop="1">
      <c r="A7" s="39"/>
      <c r="B7" s="52"/>
      <c r="C7" s="53"/>
      <c r="D7" s="54"/>
      <c r="E7" s="55"/>
      <c r="F7" s="52"/>
      <c r="G7" s="56"/>
      <c r="I7" s="44"/>
      <c r="J7" s="44"/>
    </row>
    <row r="8" spans="1:57" s="45" customFormat="1" ht="15.75" customHeight="1">
      <c r="A8" s="59" t="s">
        <v>19</v>
      </c>
      <c r="B8" s="60" t="s">
        <v>20</v>
      </c>
      <c r="C8" s="60" t="s">
        <v>21</v>
      </c>
      <c r="D8" s="60" t="s">
        <v>22</v>
      </c>
      <c r="E8" s="60" t="s">
        <v>23</v>
      </c>
      <c r="F8" s="60" t="s">
        <v>24</v>
      </c>
      <c r="G8" s="61" t="s">
        <v>25</v>
      </c>
      <c r="I8" s="44"/>
      <c r="J8" s="44"/>
    </row>
    <row r="9" spans="1:57" s="45" customFormat="1" ht="14.25" customHeight="1" thickBot="1">
      <c r="A9" s="66"/>
      <c r="B9" s="67"/>
      <c r="C9" s="68"/>
      <c r="D9" s="69"/>
      <c r="E9" s="70"/>
      <c r="F9" s="67"/>
      <c r="G9" s="71"/>
      <c r="I9" s="44"/>
      <c r="J9" s="44"/>
    </row>
    <row r="10" spans="1:57" s="45" customFormat="1" ht="23.1" hidden="1" customHeight="1">
      <c r="A10" s="66"/>
      <c r="B10" s="67"/>
      <c r="C10" s="68"/>
      <c r="D10" s="69"/>
      <c r="E10" s="70"/>
      <c r="F10" s="67"/>
      <c r="G10" s="71"/>
      <c r="I10" s="44"/>
      <c r="J10" s="44"/>
    </row>
    <row r="11" spans="1:57" s="45" customFormat="1" ht="12.75" hidden="1" customHeight="1">
      <c r="A11" s="73" t="s">
        <v>38</v>
      </c>
      <c r="B11" s="74"/>
      <c r="C11" s="75" t="s">
        <v>39</v>
      </c>
      <c r="D11" s="76"/>
      <c r="E11" s="76"/>
      <c r="F11" s="76"/>
      <c r="G11" s="77">
        <f>+G16</f>
        <v>1224780</v>
      </c>
      <c r="I11" s="44"/>
      <c r="J11" s="44"/>
    </row>
    <row r="12" spans="1:57" s="45" customFormat="1" ht="12.75" hidden="1" customHeight="1">
      <c r="A12" s="84" t="s">
        <v>40</v>
      </c>
      <c r="B12" s="85"/>
      <c r="C12" s="86"/>
      <c r="D12" s="87"/>
      <c r="E12" s="88"/>
      <c r="F12" s="89"/>
      <c r="G12" s="90"/>
      <c r="I12" s="44"/>
      <c r="J12" s="44"/>
    </row>
    <row r="13" spans="1:57" s="45" customFormat="1" ht="15.75" hidden="1" thickBot="1">
      <c r="A13" s="100" t="s">
        <v>41</v>
      </c>
      <c r="B13" s="101"/>
      <c r="C13" s="102" t="s">
        <v>42</v>
      </c>
      <c r="D13" s="574" t="s">
        <v>43</v>
      </c>
      <c r="E13" s="103">
        <v>298</v>
      </c>
      <c r="F13" s="25">
        <v>2760</v>
      </c>
      <c r="G13" s="26">
        <f>+F13*E13</f>
        <v>822480</v>
      </c>
      <c r="I13" s="44"/>
      <c r="J13" s="44"/>
    </row>
    <row r="14" spans="1:57" s="45" customFormat="1" ht="15.75" hidden="1" thickBot="1">
      <c r="A14" s="100" t="s">
        <v>44</v>
      </c>
      <c r="B14" s="101"/>
      <c r="C14" s="102" t="s">
        <v>45</v>
      </c>
      <c r="D14" s="104" t="s">
        <v>43</v>
      </c>
      <c r="E14" s="103">
        <v>298</v>
      </c>
      <c r="F14" s="25">
        <v>1350</v>
      </c>
      <c r="G14" s="26">
        <f t="shared" ref="G14" si="0">+F14*E14</f>
        <v>402300</v>
      </c>
      <c r="I14" s="44"/>
      <c r="J14" s="44"/>
    </row>
    <row r="15" spans="1:57" s="45" customFormat="1" ht="15.75" hidden="1" thickBot="1">
      <c r="A15" s="105"/>
      <c r="B15" s="106"/>
      <c r="C15" s="22"/>
      <c r="D15" s="23"/>
      <c r="E15" s="107"/>
      <c r="F15" s="25"/>
      <c r="G15" s="108"/>
      <c r="I15" s="44"/>
      <c r="J15" s="44"/>
    </row>
    <row r="16" spans="1:57" s="45" customFormat="1" ht="12.75" hidden="1" customHeight="1" thickBot="1">
      <c r="A16" s="112" t="s">
        <v>46</v>
      </c>
      <c r="B16" s="113"/>
      <c r="C16" s="114"/>
      <c r="D16" s="115"/>
      <c r="E16" s="116"/>
      <c r="F16" s="117" t="s">
        <v>47</v>
      </c>
      <c r="G16" s="118">
        <f>SUM(G13:G15)</f>
        <v>1224780</v>
      </c>
      <c r="I16" s="44"/>
      <c r="J16" s="44"/>
    </row>
    <row r="17" spans="1:10" s="45" customFormat="1" ht="23.1" hidden="1" customHeight="1" thickBot="1">
      <c r="A17" s="124"/>
      <c r="B17" s="67"/>
      <c r="C17" s="68"/>
      <c r="D17" s="69"/>
      <c r="E17" s="70"/>
      <c r="F17" s="67"/>
      <c r="G17" s="125"/>
      <c r="I17" s="44"/>
      <c r="J17" s="44"/>
    </row>
    <row r="18" spans="1:10" s="45" customFormat="1" ht="15.75" hidden="1" thickBot="1">
      <c r="A18" s="73" t="s">
        <v>38</v>
      </c>
      <c r="B18" s="74"/>
      <c r="C18" s="75" t="s">
        <v>48</v>
      </c>
      <c r="D18" s="76"/>
      <c r="E18" s="76"/>
      <c r="F18" s="76"/>
      <c r="G18" s="126">
        <f>+G24</f>
        <v>85268164</v>
      </c>
      <c r="I18" s="44"/>
      <c r="J18" s="44"/>
    </row>
    <row r="19" spans="1:10" s="45" customFormat="1" ht="15.75" hidden="1" thickBot="1">
      <c r="A19" s="84" t="s">
        <v>40</v>
      </c>
      <c r="B19" s="85"/>
      <c r="C19" s="86"/>
      <c r="D19" s="87"/>
      <c r="E19" s="88"/>
      <c r="F19" s="89"/>
      <c r="G19" s="90"/>
      <c r="I19" s="44"/>
      <c r="J19" s="44"/>
    </row>
    <row r="20" spans="1:10" s="45" customFormat="1" ht="20.25" hidden="1" customHeight="1">
      <c r="A20" s="127" t="s">
        <v>49</v>
      </c>
      <c r="B20" s="128"/>
      <c r="C20" s="129" t="s">
        <v>50</v>
      </c>
      <c r="D20" s="130" t="s">
        <v>51</v>
      </c>
      <c r="E20" s="131">
        <f>(111+218+146+116+780+2150)*1.2</f>
        <v>4225.2</v>
      </c>
      <c r="F20" s="25">
        <v>2610</v>
      </c>
      <c r="G20" s="26">
        <f>+F20*E20</f>
        <v>11027772</v>
      </c>
      <c r="I20" s="44"/>
      <c r="J20" s="44"/>
    </row>
    <row r="21" spans="1:10" s="45" customFormat="1" ht="24.75" hidden="1" customHeight="1">
      <c r="A21" s="584"/>
      <c r="B21" s="592"/>
      <c r="C21" s="593" t="s">
        <v>481</v>
      </c>
      <c r="D21" s="130" t="s">
        <v>51</v>
      </c>
      <c r="E21" s="594">
        <f>7.2+5.3+7.5+6+20+15</f>
        <v>61</v>
      </c>
      <c r="F21" s="575">
        <v>74380</v>
      </c>
      <c r="G21" s="26">
        <f>+F21*E21</f>
        <v>4537180</v>
      </c>
      <c r="I21" s="44"/>
      <c r="J21" s="44"/>
    </row>
    <row r="22" spans="1:10" s="45" customFormat="1" ht="15.75" hidden="1" thickBot="1">
      <c r="A22" s="132" t="s">
        <v>52</v>
      </c>
      <c r="B22" s="133"/>
      <c r="C22" s="134" t="s">
        <v>474</v>
      </c>
      <c r="D22" s="135" t="s">
        <v>51</v>
      </c>
      <c r="E22" s="136">
        <f>+E20</f>
        <v>4225.2</v>
      </c>
      <c r="F22" s="25">
        <v>15560</v>
      </c>
      <c r="G22" s="26">
        <f>+F22*E22</f>
        <v>65744112</v>
      </c>
      <c r="I22" s="44"/>
      <c r="J22" s="44"/>
    </row>
    <row r="23" spans="1:10" s="45" customFormat="1" ht="15.75" hidden="1" thickBot="1">
      <c r="A23" s="105"/>
      <c r="B23" s="106"/>
      <c r="C23" s="22" t="s">
        <v>482</v>
      </c>
      <c r="D23" s="23" t="s">
        <v>483</v>
      </c>
      <c r="E23" s="107">
        <f>68+40+100+30+80</f>
        <v>318</v>
      </c>
      <c r="F23" s="25">
        <v>12450</v>
      </c>
      <c r="G23" s="26">
        <f>+F23*E23</f>
        <v>3959100</v>
      </c>
      <c r="I23" s="44"/>
      <c r="J23" s="44"/>
    </row>
    <row r="24" spans="1:10" s="45" customFormat="1" ht="15.75" hidden="1" thickBot="1">
      <c r="A24" s="112" t="s">
        <v>46</v>
      </c>
      <c r="B24" s="113"/>
      <c r="C24" s="114"/>
      <c r="D24" s="115"/>
      <c r="E24" s="116"/>
      <c r="F24" s="117" t="s">
        <v>54</v>
      </c>
      <c r="G24" s="137">
        <f>SUM(G20:G23)</f>
        <v>85268164</v>
      </c>
      <c r="I24" s="44"/>
      <c r="J24" s="44"/>
    </row>
    <row r="25" spans="1:10" s="45" customFormat="1">
      <c r="A25" s="73"/>
      <c r="B25" s="74">
        <v>1</v>
      </c>
      <c r="C25" s="775" t="s">
        <v>1114</v>
      </c>
      <c r="D25" s="76"/>
      <c r="E25" s="76"/>
      <c r="F25" s="76"/>
      <c r="G25" s="126"/>
      <c r="I25" s="44"/>
      <c r="J25" s="44"/>
    </row>
    <row r="26" spans="1:10" s="45" customFormat="1" ht="15" customHeight="1">
      <c r="A26" s="124"/>
      <c r="B26" s="771">
        <v>1.1000000000000001</v>
      </c>
      <c r="C26" s="102" t="s">
        <v>975</v>
      </c>
      <c r="D26" s="772" t="s">
        <v>56</v>
      </c>
      <c r="E26" s="773">
        <v>964</v>
      </c>
      <c r="F26" s="587">
        <v>1320</v>
      </c>
      <c r="G26" s="774">
        <f>+F26*E26</f>
        <v>1272480</v>
      </c>
      <c r="I26" s="44">
        <f>89*53</f>
        <v>4717</v>
      </c>
      <c r="J26" s="44"/>
    </row>
    <row r="27" spans="1:10" s="45" customFormat="1" ht="15" customHeight="1">
      <c r="A27" s="124"/>
      <c r="B27" s="771">
        <f>+B26+0.1</f>
        <v>1.2000000000000002</v>
      </c>
      <c r="C27" s="102" t="s">
        <v>940</v>
      </c>
      <c r="D27" s="820" t="s">
        <v>56</v>
      </c>
      <c r="E27" s="773">
        <v>964</v>
      </c>
      <c r="F27" s="587">
        <v>1360</v>
      </c>
      <c r="G27" s="774">
        <f t="shared" ref="G27:G29" si="1">+F27*E27</f>
        <v>1311040</v>
      </c>
      <c r="I27" s="44"/>
      <c r="J27" s="44"/>
    </row>
    <row r="28" spans="1:10" s="45" customFormat="1" ht="15" customHeight="1">
      <c r="A28" s="124"/>
      <c r="B28" s="771">
        <f t="shared" ref="B28:B29" si="2">+B27+0.1</f>
        <v>1.3000000000000003</v>
      </c>
      <c r="C28" s="593" t="s">
        <v>974</v>
      </c>
      <c r="D28" s="827" t="s">
        <v>22</v>
      </c>
      <c r="E28" s="594">
        <v>1</v>
      </c>
      <c r="F28" s="575">
        <v>1637330</v>
      </c>
      <c r="G28" s="774">
        <f t="shared" si="1"/>
        <v>1637330</v>
      </c>
      <c r="I28" s="44"/>
      <c r="J28" s="44"/>
    </row>
    <row r="29" spans="1:10" s="45" customFormat="1" ht="15" customHeight="1" thickBot="1">
      <c r="A29" s="124"/>
      <c r="B29" s="771">
        <f t="shared" si="2"/>
        <v>1.4000000000000004</v>
      </c>
      <c r="C29" s="102" t="s">
        <v>1001</v>
      </c>
      <c r="D29" s="772" t="s">
        <v>56</v>
      </c>
      <c r="E29" s="780">
        <v>40</v>
      </c>
      <c r="F29" s="587">
        <v>30610</v>
      </c>
      <c r="G29" s="774">
        <f t="shared" si="1"/>
        <v>1224400</v>
      </c>
      <c r="I29" s="44"/>
      <c r="J29" s="44"/>
    </row>
    <row r="30" spans="1:10" s="45" customFormat="1" ht="15" customHeight="1" thickBot="1">
      <c r="A30" s="124"/>
      <c r="B30" s="869"/>
      <c r="C30" s="1884" t="s">
        <v>982</v>
      </c>
      <c r="D30" s="1884"/>
      <c r="E30" s="1884"/>
      <c r="F30" s="1884"/>
      <c r="G30" s="870">
        <f>SUM(G26:G29)</f>
        <v>5445250</v>
      </c>
      <c r="I30" s="44"/>
      <c r="J30" s="44"/>
    </row>
    <row r="31" spans="1:10" s="45" customFormat="1" ht="15" customHeight="1" thickBot="1">
      <c r="A31" s="124"/>
      <c r="B31" s="823"/>
      <c r="C31" s="824"/>
      <c r="D31" s="821"/>
      <c r="E31" s="825"/>
      <c r="F31" s="43"/>
      <c r="G31" s="826"/>
      <c r="I31" s="44"/>
      <c r="J31" s="44"/>
    </row>
    <row r="32" spans="1:10" s="45" customFormat="1" ht="15" customHeight="1">
      <c r="A32" s="124"/>
      <c r="B32" s="74">
        <v>2</v>
      </c>
      <c r="C32" s="75" t="s">
        <v>85</v>
      </c>
      <c r="D32" s="76"/>
      <c r="E32" s="76"/>
      <c r="F32" s="76"/>
      <c r="G32" s="126"/>
      <c r="I32" s="44"/>
      <c r="J32" s="44"/>
    </row>
    <row r="33" spans="1:10" s="45" customFormat="1" ht="15" customHeight="1">
      <c r="A33" s="124"/>
      <c r="B33" s="85"/>
      <c r="C33" s="86"/>
      <c r="D33" s="87"/>
      <c r="E33" s="88"/>
      <c r="F33" s="89"/>
      <c r="G33" s="90"/>
      <c r="I33" s="44"/>
      <c r="J33" s="44"/>
    </row>
    <row r="34" spans="1:10" s="45" customFormat="1" ht="15" customHeight="1">
      <c r="A34" s="124"/>
      <c r="B34" s="771"/>
      <c r="C34" s="102" t="s">
        <v>943</v>
      </c>
      <c r="D34" s="772" t="s">
        <v>139</v>
      </c>
      <c r="E34" s="1310">
        <f>390*0.3</f>
        <v>117</v>
      </c>
      <c r="F34" s="587">
        <v>2640</v>
      </c>
      <c r="G34" s="774">
        <f>+E34*F34</f>
        <v>308880</v>
      </c>
      <c r="I34" s="44"/>
      <c r="J34" s="44"/>
    </row>
    <row r="35" spans="1:10" s="45" customFormat="1" ht="17.25" customHeight="1">
      <c r="A35" s="124"/>
      <c r="B35" s="592">
        <v>2.1</v>
      </c>
      <c r="C35" s="822" t="s">
        <v>1520</v>
      </c>
      <c r="D35" s="827" t="s">
        <v>51</v>
      </c>
      <c r="E35" s="594">
        <v>30</v>
      </c>
      <c r="F35" s="575">
        <v>248000</v>
      </c>
      <c r="G35" s="774">
        <f>+F35*E35</f>
        <v>7440000</v>
      </c>
      <c r="I35" s="44"/>
      <c r="J35" s="44"/>
    </row>
    <row r="36" spans="1:10" s="45" customFormat="1" ht="15" customHeight="1">
      <c r="A36" s="124"/>
      <c r="B36" s="592">
        <f>+B35+0.1</f>
        <v>2.2000000000000002</v>
      </c>
      <c r="C36" s="593" t="s">
        <v>87</v>
      </c>
      <c r="D36" s="827" t="s">
        <v>43</v>
      </c>
      <c r="E36" s="594">
        <f>(104+104+57+57+70)*1.5</f>
        <v>588</v>
      </c>
      <c r="F36" s="575">
        <v>20403</v>
      </c>
      <c r="G36" s="774">
        <f t="shared" ref="G36:G44" si="3">+F36*E36</f>
        <v>11996964</v>
      </c>
      <c r="I36" s="44"/>
      <c r="J36" s="44"/>
    </row>
    <row r="37" spans="1:10" s="45" customFormat="1" ht="15" customHeight="1">
      <c r="A37" s="124"/>
      <c r="B37" s="592">
        <f t="shared" ref="B37:B43" si="4">+B36+0.1</f>
        <v>2.3000000000000003</v>
      </c>
      <c r="C37" s="593" t="s">
        <v>88</v>
      </c>
      <c r="D37" s="827" t="s">
        <v>483</v>
      </c>
      <c r="E37" s="594">
        <v>490</v>
      </c>
      <c r="F37" s="575">
        <v>25950</v>
      </c>
      <c r="G37" s="774">
        <f t="shared" si="3"/>
        <v>12715500</v>
      </c>
      <c r="I37" s="44">
        <f>35+35</f>
        <v>70</v>
      </c>
      <c r="J37" s="44">
        <f>+I37*1.5</f>
        <v>105</v>
      </c>
    </row>
    <row r="38" spans="1:10" s="45" customFormat="1" ht="15" customHeight="1">
      <c r="A38" s="124"/>
      <c r="B38" s="592">
        <f t="shared" si="4"/>
        <v>2.4000000000000004</v>
      </c>
      <c r="C38" s="593" t="s">
        <v>89</v>
      </c>
      <c r="D38" s="827" t="s">
        <v>483</v>
      </c>
      <c r="E38" s="594">
        <f>20*2.5</f>
        <v>50</v>
      </c>
      <c r="F38" s="575">
        <v>20743</v>
      </c>
      <c r="G38" s="774">
        <f t="shared" si="3"/>
        <v>1037150</v>
      </c>
      <c r="I38" s="44">
        <f>+I37/2</f>
        <v>35</v>
      </c>
      <c r="J38" s="44"/>
    </row>
    <row r="39" spans="1:10" s="45" customFormat="1" ht="15" customHeight="1">
      <c r="A39" s="124"/>
      <c r="B39" s="592">
        <f t="shared" si="4"/>
        <v>2.5000000000000004</v>
      </c>
      <c r="C39" s="593" t="s">
        <v>90</v>
      </c>
      <c r="D39" s="827" t="s">
        <v>483</v>
      </c>
      <c r="E39" s="594">
        <v>392</v>
      </c>
      <c r="F39" s="575">
        <v>1930</v>
      </c>
      <c r="G39" s="774">
        <f t="shared" si="3"/>
        <v>756560</v>
      </c>
      <c r="I39" s="44"/>
      <c r="J39" s="44"/>
    </row>
    <row r="40" spans="1:10" s="45" customFormat="1" ht="28.5" customHeight="1">
      <c r="A40" s="124"/>
      <c r="B40" s="592">
        <f t="shared" si="4"/>
        <v>2.6000000000000005</v>
      </c>
      <c r="C40" s="1276" t="s">
        <v>91</v>
      </c>
      <c r="D40" s="827" t="s">
        <v>1574</v>
      </c>
      <c r="E40" s="594">
        <v>2</v>
      </c>
      <c r="F40" s="575">
        <v>687290</v>
      </c>
      <c r="G40" s="774">
        <f t="shared" si="3"/>
        <v>1374580</v>
      </c>
      <c r="I40" s="1455">
        <f>(104+104+57+57+70)</f>
        <v>392</v>
      </c>
      <c r="J40" s="44">
        <f>+I40*0.3*0.25</f>
        <v>29.4</v>
      </c>
    </row>
    <row r="41" spans="1:10" s="45" customFormat="1" ht="15" customHeight="1">
      <c r="A41" s="124"/>
      <c r="B41" s="592">
        <f t="shared" si="4"/>
        <v>2.7000000000000006</v>
      </c>
      <c r="C41" s="593" t="s">
        <v>92</v>
      </c>
      <c r="D41" s="827" t="s">
        <v>977</v>
      </c>
      <c r="E41" s="594">
        <v>1</v>
      </c>
      <c r="F41" s="575">
        <v>614676</v>
      </c>
      <c r="G41" s="774">
        <f t="shared" si="3"/>
        <v>614676</v>
      </c>
      <c r="I41" s="44">
        <f>+I40/2</f>
        <v>196</v>
      </c>
      <c r="J41" s="44"/>
    </row>
    <row r="42" spans="1:10" s="45" customFormat="1" ht="15" customHeight="1">
      <c r="A42" s="124"/>
      <c r="B42" s="592">
        <f t="shared" si="4"/>
        <v>2.8000000000000007</v>
      </c>
      <c r="C42" s="593" t="s">
        <v>1523</v>
      </c>
      <c r="D42" s="827" t="s">
        <v>43</v>
      </c>
      <c r="E42" s="594">
        <f>392*0.5</f>
        <v>196</v>
      </c>
      <c r="F42" s="575">
        <v>44520</v>
      </c>
      <c r="G42" s="774">
        <f t="shared" si="3"/>
        <v>8725920</v>
      </c>
      <c r="I42" s="44">
        <f>+I41*2.5</f>
        <v>490</v>
      </c>
      <c r="J42" s="44"/>
    </row>
    <row r="43" spans="1:10" s="45" customFormat="1" ht="15" customHeight="1">
      <c r="A43" s="124"/>
      <c r="B43" s="592">
        <f t="shared" si="4"/>
        <v>2.9000000000000008</v>
      </c>
      <c r="C43" s="593" t="s">
        <v>1521</v>
      </c>
      <c r="D43" s="827" t="s">
        <v>51</v>
      </c>
      <c r="E43" s="594">
        <f>3.2+1.5</f>
        <v>4.7</v>
      </c>
      <c r="F43" s="575">
        <v>663760</v>
      </c>
      <c r="G43" s="774">
        <f t="shared" si="3"/>
        <v>3119672</v>
      </c>
      <c r="I43" s="44"/>
      <c r="J43" s="44"/>
    </row>
    <row r="44" spans="1:10" s="45" customFormat="1" ht="15" customHeight="1">
      <c r="A44" s="124"/>
      <c r="B44" s="884">
        <v>2.1</v>
      </c>
      <c r="C44" s="593" t="s">
        <v>1522</v>
      </c>
      <c r="D44" s="827" t="s">
        <v>51</v>
      </c>
      <c r="E44" s="594">
        <f>14+3</f>
        <v>17</v>
      </c>
      <c r="F44" s="575">
        <v>316330</v>
      </c>
      <c r="G44" s="774">
        <f t="shared" si="3"/>
        <v>5377610</v>
      </c>
      <c r="I44" s="44">
        <f>392*0.3*0.25</f>
        <v>29.4</v>
      </c>
      <c r="J44" s="44"/>
    </row>
    <row r="45" spans="1:10" s="45" customFormat="1" ht="15" customHeight="1" thickBot="1">
      <c r="A45" s="124"/>
      <c r="B45" s="871"/>
      <c r="C45" s="1884" t="s">
        <v>983</v>
      </c>
      <c r="D45" s="1884"/>
      <c r="E45" s="1884"/>
      <c r="F45" s="1884"/>
      <c r="G45" s="1004">
        <f>SUM(G34:G44)</f>
        <v>53467512</v>
      </c>
      <c r="I45" s="44"/>
      <c r="J45" s="44"/>
    </row>
    <row r="46" spans="1:10" s="45" customFormat="1" ht="15" customHeight="1">
      <c r="A46" s="124"/>
      <c r="B46" s="823"/>
      <c r="C46" s="824"/>
      <c r="D46" s="821"/>
      <c r="E46" s="825"/>
      <c r="F46" s="43"/>
      <c r="G46" s="826"/>
      <c r="I46" s="44"/>
      <c r="J46" s="44"/>
    </row>
    <row r="47" spans="1:10" s="45" customFormat="1" ht="16.5" customHeight="1" thickBot="1">
      <c r="A47" s="124"/>
      <c r="B47" s="67"/>
      <c r="C47" s="102"/>
      <c r="D47" s="69"/>
      <c r="E47" s="70"/>
      <c r="F47" s="67"/>
      <c r="G47" s="125"/>
      <c r="I47" s="44"/>
      <c r="J47" s="44"/>
    </row>
    <row r="48" spans="1:10" s="45" customFormat="1">
      <c r="A48" s="73" t="s">
        <v>38</v>
      </c>
      <c r="B48" s="74">
        <v>3</v>
      </c>
      <c r="C48" s="75" t="s">
        <v>956</v>
      </c>
      <c r="D48" s="76"/>
      <c r="E48" s="76"/>
      <c r="F48" s="76"/>
      <c r="G48" s="126"/>
      <c r="I48" s="44"/>
      <c r="J48" s="44"/>
    </row>
    <row r="49" spans="1:10" s="45" customFormat="1" ht="15" hidden="1" customHeight="1">
      <c r="A49" s="84" t="s">
        <v>40</v>
      </c>
      <c r="B49" s="85"/>
      <c r="C49" s="86"/>
      <c r="D49" s="87"/>
      <c r="E49" s="88"/>
      <c r="F49" s="89"/>
      <c r="G49" s="90"/>
      <c r="I49" s="44"/>
      <c r="J49" s="44"/>
    </row>
    <row r="50" spans="1:10" s="45" customFormat="1">
      <c r="A50" s="586"/>
      <c r="B50" s="771"/>
      <c r="C50" s="788" t="s">
        <v>947</v>
      </c>
      <c r="D50" s="772"/>
      <c r="E50" s="773"/>
      <c r="F50" s="587"/>
      <c r="G50" s="774"/>
      <c r="I50" s="44"/>
      <c r="J50" s="44"/>
    </row>
    <row r="51" spans="1:10" s="45" customFormat="1">
      <c r="A51" s="586"/>
      <c r="B51" s="771">
        <v>3.1</v>
      </c>
      <c r="C51" s="102" t="s">
        <v>943</v>
      </c>
      <c r="D51" s="772" t="s">
        <v>139</v>
      </c>
      <c r="E51" s="1310">
        <f>191+24.875</f>
        <v>215.875</v>
      </c>
      <c r="F51" s="587">
        <v>2640</v>
      </c>
      <c r="G51" s="774">
        <f>+E51*F51</f>
        <v>569910</v>
      </c>
      <c r="I51" s="44"/>
      <c r="J51" s="44"/>
    </row>
    <row r="52" spans="1:10" s="45" customFormat="1">
      <c r="A52" s="586"/>
      <c r="B52" s="771">
        <f t="shared" ref="B52:B57" si="5">+B51+0.1</f>
        <v>3.2</v>
      </c>
      <c r="C52" s="102" t="s">
        <v>1101</v>
      </c>
      <c r="D52" s="772" t="s">
        <v>139</v>
      </c>
      <c r="E52" s="780">
        <v>20</v>
      </c>
      <c r="F52" s="587">
        <v>5190</v>
      </c>
      <c r="G52" s="774">
        <f t="shared" ref="G52:G57" si="6">+E52*F52</f>
        <v>103800</v>
      </c>
      <c r="I52" s="44"/>
      <c r="J52" s="44"/>
    </row>
    <row r="53" spans="1:10" s="45" customFormat="1">
      <c r="A53" s="586"/>
      <c r="B53" s="771">
        <f t="shared" si="5"/>
        <v>3.3000000000000003</v>
      </c>
      <c r="C53" s="102" t="s">
        <v>941</v>
      </c>
      <c r="D53" s="777" t="s">
        <v>139</v>
      </c>
      <c r="E53" s="780">
        <v>11</v>
      </c>
      <c r="F53" s="1317">
        <v>10530</v>
      </c>
      <c r="G53" s="774">
        <f t="shared" si="6"/>
        <v>115830</v>
      </c>
      <c r="I53" s="44"/>
      <c r="J53" s="44"/>
    </row>
    <row r="54" spans="1:10" s="45" customFormat="1">
      <c r="A54" s="586"/>
      <c r="B54" s="771">
        <f t="shared" si="5"/>
        <v>3.4000000000000004</v>
      </c>
      <c r="C54" s="102" t="s">
        <v>497</v>
      </c>
      <c r="D54" s="777" t="s">
        <v>56</v>
      </c>
      <c r="E54" s="780">
        <v>99</v>
      </c>
      <c r="F54" s="587">
        <v>17220</v>
      </c>
      <c r="G54" s="774">
        <f t="shared" si="6"/>
        <v>1704780</v>
      </c>
      <c r="I54" s="44"/>
      <c r="J54" s="44"/>
    </row>
    <row r="55" spans="1:10" s="45" customFormat="1">
      <c r="A55" s="586"/>
      <c r="B55" s="771">
        <f t="shared" si="5"/>
        <v>3.5000000000000004</v>
      </c>
      <c r="C55" s="782" t="s">
        <v>979</v>
      </c>
      <c r="D55" s="772" t="s">
        <v>139</v>
      </c>
      <c r="E55" s="780">
        <v>29</v>
      </c>
      <c r="F55" s="791">
        <v>609700</v>
      </c>
      <c r="G55" s="774">
        <f t="shared" si="6"/>
        <v>17681300</v>
      </c>
      <c r="I55" s="44"/>
      <c r="J55" s="44"/>
    </row>
    <row r="56" spans="1:10" s="45" customFormat="1">
      <c r="A56" s="586"/>
      <c r="B56" s="771">
        <f t="shared" si="5"/>
        <v>3.6000000000000005</v>
      </c>
      <c r="C56" s="102" t="s">
        <v>976</v>
      </c>
      <c r="D56" s="772" t="s">
        <v>139</v>
      </c>
      <c r="E56" s="780">
        <v>43</v>
      </c>
      <c r="F56" s="587">
        <v>650208</v>
      </c>
      <c r="G56" s="774">
        <f t="shared" si="6"/>
        <v>27958944</v>
      </c>
      <c r="I56" s="44"/>
      <c r="J56" s="44"/>
    </row>
    <row r="57" spans="1:10" s="45" customFormat="1">
      <c r="A57" s="586"/>
      <c r="B57" s="771">
        <f t="shared" si="5"/>
        <v>3.7000000000000006</v>
      </c>
      <c r="C57" s="102" t="s">
        <v>980</v>
      </c>
      <c r="D57" s="772" t="s">
        <v>139</v>
      </c>
      <c r="E57" s="780">
        <v>3</v>
      </c>
      <c r="F57" s="587">
        <v>630777</v>
      </c>
      <c r="G57" s="774">
        <f t="shared" si="6"/>
        <v>1892331</v>
      </c>
      <c r="I57" s="44"/>
      <c r="J57" s="44"/>
    </row>
    <row r="58" spans="1:10" s="45" customFormat="1">
      <c r="A58" s="586"/>
      <c r="B58" s="838"/>
      <c r="C58" s="215"/>
      <c r="D58" s="216"/>
      <c r="E58" s="829"/>
      <c r="F58" s="95"/>
      <c r="G58" s="836"/>
      <c r="I58" s="44"/>
      <c r="J58" s="44"/>
    </row>
    <row r="59" spans="1:10" s="45" customFormat="1" ht="15.75" thickBot="1">
      <c r="A59" s="586"/>
      <c r="B59" s="113"/>
      <c r="C59" s="114"/>
      <c r="D59" s="115"/>
      <c r="E59" s="116"/>
      <c r="F59" s="789" t="s">
        <v>968</v>
      </c>
      <c r="G59" s="118">
        <f>SUM(G51:G58)</f>
        <v>50026895</v>
      </c>
      <c r="I59" s="44"/>
      <c r="J59" s="44"/>
    </row>
    <row r="60" spans="1:10" s="45" customFormat="1">
      <c r="A60" s="586"/>
      <c r="B60" s="771"/>
      <c r="C60" s="102"/>
      <c r="D60" s="772"/>
      <c r="E60" s="780"/>
      <c r="F60" s="587"/>
      <c r="G60" s="774"/>
      <c r="I60" s="44"/>
      <c r="J60" s="44"/>
    </row>
    <row r="61" spans="1:10" s="45" customFormat="1">
      <c r="A61" s="586"/>
      <c r="B61" s="771"/>
      <c r="C61" s="787" t="s">
        <v>948</v>
      </c>
      <c r="D61" s="772"/>
      <c r="E61" s="780"/>
      <c r="F61" s="587"/>
      <c r="G61" s="774">
        <f>+E61*F62</f>
        <v>0</v>
      </c>
      <c r="I61" s="44"/>
      <c r="J61" s="44"/>
    </row>
    <row r="62" spans="1:10" s="45" customFormat="1">
      <c r="A62" s="586"/>
      <c r="B62" s="771">
        <v>3.8</v>
      </c>
      <c r="C62" s="102" t="s">
        <v>522</v>
      </c>
      <c r="D62" s="772" t="s">
        <v>142</v>
      </c>
      <c r="E62" s="780">
        <v>2400</v>
      </c>
      <c r="F62" s="773">
        <v>3250</v>
      </c>
      <c r="G62" s="774">
        <f t="shared" ref="G62:G82" si="7">+E62*F62</f>
        <v>7800000</v>
      </c>
      <c r="I62" s="44"/>
      <c r="J62" s="44"/>
    </row>
    <row r="63" spans="1:10" s="45" customFormat="1">
      <c r="A63" s="586"/>
      <c r="B63" s="779">
        <v>3.1</v>
      </c>
      <c r="C63" s="102" t="s">
        <v>942</v>
      </c>
      <c r="D63" s="777" t="s">
        <v>56</v>
      </c>
      <c r="E63" s="780">
        <v>81</v>
      </c>
      <c r="F63" s="773">
        <v>4500</v>
      </c>
      <c r="G63" s="774">
        <f t="shared" si="7"/>
        <v>364500</v>
      </c>
      <c r="I63" s="44"/>
      <c r="J63" s="44"/>
    </row>
    <row r="64" spans="1:10" s="45" customFormat="1">
      <c r="A64" s="586"/>
      <c r="B64" s="779">
        <f>+B63+0.01</f>
        <v>3.11</v>
      </c>
      <c r="C64" s="102" t="s">
        <v>945</v>
      </c>
      <c r="D64" s="772" t="s">
        <v>139</v>
      </c>
      <c r="E64" s="780">
        <v>12</v>
      </c>
      <c r="F64" s="778">
        <v>75330</v>
      </c>
      <c r="G64" s="774">
        <f t="shared" si="7"/>
        <v>903960</v>
      </c>
      <c r="I64" s="44"/>
      <c r="J64" s="44"/>
    </row>
    <row r="65" spans="1:10" s="45" customFormat="1">
      <c r="A65" s="586"/>
      <c r="B65" s="779">
        <f t="shared" ref="B65:B75" si="8">+B64+0.01</f>
        <v>3.1199999999999997</v>
      </c>
      <c r="C65" s="102" t="s">
        <v>946</v>
      </c>
      <c r="D65" s="772" t="s">
        <v>540</v>
      </c>
      <c r="E65" s="780">
        <v>60</v>
      </c>
      <c r="F65" s="587">
        <v>29330</v>
      </c>
      <c r="G65" s="774">
        <f t="shared" si="7"/>
        <v>1759800</v>
      </c>
      <c r="I65" s="44"/>
      <c r="J65" s="44"/>
    </row>
    <row r="66" spans="1:10" s="45" customFormat="1">
      <c r="A66" s="586"/>
      <c r="B66" s="779">
        <f t="shared" si="8"/>
        <v>3.1299999999999994</v>
      </c>
      <c r="C66" s="102" t="s">
        <v>949</v>
      </c>
      <c r="D66" s="772" t="s">
        <v>540</v>
      </c>
      <c r="E66" s="773">
        <v>21</v>
      </c>
      <c r="F66" s="587">
        <v>48740</v>
      </c>
      <c r="G66" s="774">
        <f t="shared" si="7"/>
        <v>1023540</v>
      </c>
      <c r="I66" s="44"/>
      <c r="J66" s="44"/>
    </row>
    <row r="67" spans="1:10" s="45" customFormat="1">
      <c r="A67" s="586"/>
      <c r="B67" s="779">
        <f t="shared" si="8"/>
        <v>3.1399999999999992</v>
      </c>
      <c r="C67" s="782" t="s">
        <v>950</v>
      </c>
      <c r="D67" s="772" t="s">
        <v>540</v>
      </c>
      <c r="E67" s="773">
        <v>87</v>
      </c>
      <c r="F67" s="587">
        <v>18670</v>
      </c>
      <c r="G67" s="774">
        <f t="shared" si="7"/>
        <v>1624290</v>
      </c>
      <c r="I67" s="44"/>
      <c r="J67" s="44"/>
    </row>
    <row r="68" spans="1:10" s="45" customFormat="1" ht="26.25" customHeight="1">
      <c r="A68" s="586"/>
      <c r="B68" s="779">
        <f t="shared" si="8"/>
        <v>3.149999999999999</v>
      </c>
      <c r="C68" s="988" t="s">
        <v>937</v>
      </c>
      <c r="D68" s="820" t="s">
        <v>22</v>
      </c>
      <c r="E68" s="969">
        <v>170</v>
      </c>
      <c r="F68" s="858">
        <v>42200</v>
      </c>
      <c r="G68" s="774">
        <f t="shared" si="7"/>
        <v>7174000</v>
      </c>
      <c r="I68" s="44"/>
      <c r="J68" s="44"/>
    </row>
    <row r="69" spans="1:10" s="45" customFormat="1">
      <c r="A69" s="586"/>
      <c r="B69" s="987">
        <f t="shared" si="8"/>
        <v>3.1599999999999988</v>
      </c>
      <c r="C69" s="988" t="s">
        <v>1560</v>
      </c>
      <c r="D69" s="820" t="s">
        <v>22</v>
      </c>
      <c r="E69" s="969">
        <v>10</v>
      </c>
      <c r="F69" s="858">
        <v>893690</v>
      </c>
      <c r="G69" s="990">
        <f t="shared" si="7"/>
        <v>8936900</v>
      </c>
      <c r="I69" s="44"/>
      <c r="J69" s="44"/>
    </row>
    <row r="70" spans="1:10" s="45" customFormat="1">
      <c r="A70" s="586"/>
      <c r="B70" s="987">
        <f t="shared" si="8"/>
        <v>3.1699999999999986</v>
      </c>
      <c r="C70" s="988" t="s">
        <v>1563</v>
      </c>
      <c r="D70" s="820" t="s">
        <v>22</v>
      </c>
      <c r="E70" s="969">
        <v>2</v>
      </c>
      <c r="F70" s="1462">
        <v>1064700</v>
      </c>
      <c r="G70" s="990">
        <f t="shared" ref="G70" si="9">+E70*F70</f>
        <v>2129400</v>
      </c>
      <c r="I70" s="44"/>
      <c r="J70" s="44"/>
    </row>
    <row r="71" spans="1:10" s="45" customFormat="1">
      <c r="A71" s="586"/>
      <c r="B71" s="987">
        <f t="shared" si="8"/>
        <v>3.1799999999999984</v>
      </c>
      <c r="C71" s="988" t="s">
        <v>1559</v>
      </c>
      <c r="D71" s="820" t="s">
        <v>22</v>
      </c>
      <c r="E71" s="969">
        <v>6</v>
      </c>
      <c r="F71" s="1462">
        <v>1320000</v>
      </c>
      <c r="G71" s="990">
        <f t="shared" si="7"/>
        <v>7920000</v>
      </c>
      <c r="I71" s="44"/>
      <c r="J71" s="44"/>
    </row>
    <row r="72" spans="1:10" s="45" customFormat="1">
      <c r="A72" s="586"/>
      <c r="B72" s="987">
        <f t="shared" si="8"/>
        <v>3.1899999999999982</v>
      </c>
      <c r="C72" s="988" t="s">
        <v>1472</v>
      </c>
      <c r="D72" s="820" t="s">
        <v>500</v>
      </c>
      <c r="E72" s="851">
        <v>9</v>
      </c>
      <c r="F72" s="863">
        <v>89900</v>
      </c>
      <c r="G72" s="990">
        <f t="shared" si="7"/>
        <v>809100</v>
      </c>
      <c r="I72" s="44">
        <f>16*0.0254</f>
        <v>0.40639999999999998</v>
      </c>
      <c r="J72" s="44"/>
    </row>
    <row r="73" spans="1:10" s="45" customFormat="1">
      <c r="A73" s="586"/>
      <c r="B73" s="987">
        <f t="shared" si="8"/>
        <v>3.199999999999998</v>
      </c>
      <c r="C73" s="988" t="s">
        <v>1473</v>
      </c>
      <c r="D73" s="820" t="s">
        <v>500</v>
      </c>
      <c r="E73" s="969">
        <v>22</v>
      </c>
      <c r="F73" s="863">
        <v>59620</v>
      </c>
      <c r="G73" s="990">
        <f t="shared" si="7"/>
        <v>1311640</v>
      </c>
      <c r="I73" s="44"/>
      <c r="J73" s="44"/>
    </row>
    <row r="74" spans="1:10" s="45" customFormat="1" ht="15.75" customHeight="1">
      <c r="A74" s="586"/>
      <c r="B74" s="987">
        <f t="shared" si="8"/>
        <v>3.2099999999999977</v>
      </c>
      <c r="C74" s="988" t="s">
        <v>509</v>
      </c>
      <c r="D74" s="820" t="s">
        <v>56</v>
      </c>
      <c r="E74" s="969">
        <v>77</v>
      </c>
      <c r="F74" s="858">
        <v>150170</v>
      </c>
      <c r="G74" s="990">
        <f t="shared" si="7"/>
        <v>11563090</v>
      </c>
      <c r="I74" s="44"/>
      <c r="J74" s="44"/>
    </row>
    <row r="75" spans="1:10" s="45" customFormat="1" ht="63.75" customHeight="1">
      <c r="A75" s="586"/>
      <c r="B75" s="987">
        <f t="shared" si="8"/>
        <v>3.2199999999999975</v>
      </c>
      <c r="C75" s="1044" t="s">
        <v>1474</v>
      </c>
      <c r="D75" s="820"/>
      <c r="E75" s="969"/>
      <c r="F75" s="858"/>
      <c r="G75" s="990"/>
      <c r="I75" s="44"/>
      <c r="J75" s="44"/>
    </row>
    <row r="76" spans="1:10" s="45" customFormat="1" ht="18.75" customHeight="1">
      <c r="A76" s="586"/>
      <c r="B76" s="1309" t="s">
        <v>1032</v>
      </c>
      <c r="C76" s="988" t="s">
        <v>1553</v>
      </c>
      <c r="D76" s="820" t="s">
        <v>22</v>
      </c>
      <c r="E76" s="969">
        <v>2</v>
      </c>
      <c r="F76" s="1462">
        <v>8773000</v>
      </c>
      <c r="G76" s="990">
        <f t="shared" si="7"/>
        <v>17546000</v>
      </c>
      <c r="I76" s="1319">
        <v>8876580</v>
      </c>
      <c r="J76" s="1320" t="s">
        <v>954</v>
      </c>
    </row>
    <row r="77" spans="1:10" s="45" customFormat="1" ht="18.75" customHeight="1">
      <c r="A77" s="586"/>
      <c r="B77" s="1309" t="s">
        <v>1033</v>
      </c>
      <c r="C77" s="988" t="s">
        <v>1554</v>
      </c>
      <c r="D77" s="820" t="s">
        <v>22</v>
      </c>
      <c r="E77" s="969">
        <v>2</v>
      </c>
      <c r="F77" s="1462">
        <v>8973000</v>
      </c>
      <c r="G77" s="990">
        <f t="shared" si="7"/>
        <v>17946000</v>
      </c>
      <c r="I77" s="1319">
        <v>8919935</v>
      </c>
      <c r="J77" s="1320" t="s">
        <v>955</v>
      </c>
    </row>
    <row r="78" spans="1:10" s="45" customFormat="1" ht="18.75" customHeight="1">
      <c r="A78" s="586"/>
      <c r="B78" s="1309" t="s">
        <v>1034</v>
      </c>
      <c r="C78" s="988" t="s">
        <v>1557</v>
      </c>
      <c r="D78" s="820" t="s">
        <v>22</v>
      </c>
      <c r="E78" s="969">
        <v>2</v>
      </c>
      <c r="F78" s="1462">
        <v>14781000</v>
      </c>
      <c r="G78" s="990">
        <f t="shared" ref="G78" si="10">+E78*F78</f>
        <v>29562000</v>
      </c>
      <c r="I78" s="1319"/>
      <c r="J78" s="1320"/>
    </row>
    <row r="79" spans="1:10" s="45" customFormat="1">
      <c r="A79" s="586"/>
      <c r="B79" s="857" t="s">
        <v>1035</v>
      </c>
      <c r="C79" s="988" t="s">
        <v>511</v>
      </c>
      <c r="D79" s="820" t="s">
        <v>22</v>
      </c>
      <c r="E79" s="969">
        <v>6</v>
      </c>
      <c r="F79" s="858">
        <v>4053852</v>
      </c>
      <c r="G79" s="774">
        <f t="shared" si="7"/>
        <v>24323112</v>
      </c>
      <c r="I79" s="44"/>
      <c r="J79" s="44"/>
    </row>
    <row r="80" spans="1:10" s="45" customFormat="1">
      <c r="A80" s="586"/>
      <c r="B80" s="779">
        <v>3.23</v>
      </c>
      <c r="C80" s="102" t="s">
        <v>503</v>
      </c>
      <c r="D80" s="772" t="s">
        <v>22</v>
      </c>
      <c r="E80" s="773">
        <v>3</v>
      </c>
      <c r="F80" s="858">
        <v>1032400</v>
      </c>
      <c r="G80" s="774">
        <f t="shared" si="7"/>
        <v>3097200</v>
      </c>
      <c r="I80" s="44"/>
      <c r="J80" s="44"/>
    </row>
    <row r="81" spans="1:10" s="45" customFormat="1">
      <c r="A81" s="586"/>
      <c r="B81" s="779">
        <v>3.24</v>
      </c>
      <c r="C81" s="102" t="s">
        <v>504</v>
      </c>
      <c r="D81" s="772" t="s">
        <v>22</v>
      </c>
      <c r="E81" s="773">
        <v>1</v>
      </c>
      <c r="F81" s="858">
        <v>223860</v>
      </c>
      <c r="G81" s="774">
        <f t="shared" si="7"/>
        <v>223860</v>
      </c>
      <c r="I81" s="44"/>
      <c r="J81" s="44"/>
    </row>
    <row r="82" spans="1:10" s="45" customFormat="1">
      <c r="A82" s="586"/>
      <c r="B82" s="779">
        <v>3.25</v>
      </c>
      <c r="C82" s="102" t="s">
        <v>505</v>
      </c>
      <c r="D82" s="772" t="s">
        <v>22</v>
      </c>
      <c r="E82" s="773">
        <v>1</v>
      </c>
      <c r="F82" s="858">
        <v>156800</v>
      </c>
      <c r="G82" s="774">
        <f t="shared" si="7"/>
        <v>156800</v>
      </c>
      <c r="I82" s="44"/>
      <c r="J82" s="44"/>
    </row>
    <row r="83" spans="1:10" s="45" customFormat="1" ht="318.75" hidden="1" customHeight="1">
      <c r="A83" s="586"/>
      <c r="B83" s="779">
        <v>3.23</v>
      </c>
      <c r="C83" s="102" t="s">
        <v>1555</v>
      </c>
      <c r="D83" s="772" t="s">
        <v>22</v>
      </c>
      <c r="E83" s="773">
        <v>1</v>
      </c>
      <c r="F83" s="858">
        <v>127500</v>
      </c>
      <c r="G83" s="774">
        <f t="shared" ref="G83:G85" si="11">+E83*F83</f>
        <v>127500</v>
      </c>
      <c r="I83" s="44"/>
      <c r="J83" s="44"/>
    </row>
    <row r="84" spans="1:10" s="45" customFormat="1" ht="22.5" hidden="1" customHeight="1">
      <c r="A84" s="586"/>
      <c r="B84" s="779">
        <v>3.23</v>
      </c>
      <c r="C84" s="102" t="s">
        <v>1556</v>
      </c>
      <c r="D84" s="772" t="s">
        <v>22</v>
      </c>
      <c r="E84" s="773">
        <v>1</v>
      </c>
      <c r="F84" s="858">
        <v>127500</v>
      </c>
      <c r="G84" s="774">
        <f t="shared" si="11"/>
        <v>127500</v>
      </c>
      <c r="I84" s="44"/>
      <c r="J84" s="44"/>
    </row>
    <row r="85" spans="1:10" s="45" customFormat="1">
      <c r="A85" s="586"/>
      <c r="B85" s="779">
        <v>3.26</v>
      </c>
      <c r="C85" s="102" t="s">
        <v>1558</v>
      </c>
      <c r="D85" s="772" t="s">
        <v>22</v>
      </c>
      <c r="E85" s="773">
        <v>6</v>
      </c>
      <c r="F85" s="1353">
        <v>127500</v>
      </c>
      <c r="G85" s="774">
        <f t="shared" si="11"/>
        <v>765000</v>
      </c>
      <c r="I85" s="44"/>
      <c r="J85" s="44"/>
    </row>
    <row r="86" spans="1:10" s="45" customFormat="1" ht="15.75" thickBot="1">
      <c r="A86" s="586"/>
      <c r="B86" s="771"/>
      <c r="C86" s="114"/>
      <c r="D86" s="115"/>
      <c r="E86" s="116"/>
      <c r="F86" s="117" t="s">
        <v>957</v>
      </c>
      <c r="G86" s="118">
        <f>SUM(G61:G85)</f>
        <v>147195192</v>
      </c>
      <c r="I86" s="44"/>
      <c r="J86" s="44"/>
    </row>
    <row r="87" spans="1:10" s="45" customFormat="1">
      <c r="A87" s="586"/>
      <c r="B87" s="771"/>
      <c r="C87" s="102"/>
      <c r="D87" s="772"/>
      <c r="E87" s="773"/>
      <c r="F87" s="587"/>
      <c r="G87" s="774"/>
      <c r="I87" s="44"/>
      <c r="J87" s="44"/>
    </row>
    <row r="88" spans="1:10" s="45" customFormat="1" ht="15.75" thickBot="1">
      <c r="A88" s="586"/>
      <c r="B88" s="771"/>
      <c r="C88" s="871"/>
      <c r="D88" s="873"/>
      <c r="E88" s="874"/>
      <c r="F88" s="1287" t="s">
        <v>958</v>
      </c>
      <c r="G88" s="1004">
        <f>+G59+G86</f>
        <v>197222087</v>
      </c>
      <c r="I88" s="44"/>
      <c r="J88" s="44"/>
    </row>
    <row r="89" spans="1:10" s="45" customFormat="1" ht="15.75" thickBot="1">
      <c r="A89" s="586"/>
      <c r="B89" s="823"/>
      <c r="C89" s="824"/>
      <c r="D89" s="821"/>
      <c r="E89" s="825"/>
      <c r="F89" s="43"/>
      <c r="G89" s="826"/>
      <c r="I89" s="44"/>
      <c r="J89" s="44"/>
    </row>
    <row r="90" spans="1:10" s="45" customFormat="1">
      <c r="A90" s="586"/>
      <c r="B90" s="74">
        <v>4</v>
      </c>
      <c r="C90" s="75" t="s">
        <v>475</v>
      </c>
      <c r="D90" s="76"/>
      <c r="E90" s="76"/>
      <c r="F90" s="76"/>
      <c r="G90" s="126"/>
      <c r="I90" s="44"/>
      <c r="J90" s="44"/>
    </row>
    <row r="91" spans="1:10" s="45" customFormat="1">
      <c r="A91" s="586"/>
      <c r="B91" s="771"/>
      <c r="C91" s="788" t="s">
        <v>947</v>
      </c>
      <c r="D91" s="772"/>
      <c r="E91" s="773"/>
      <c r="F91" s="587"/>
      <c r="G91" s="774"/>
      <c r="I91" s="44"/>
      <c r="J91" s="44"/>
    </row>
    <row r="92" spans="1:10" s="45" customFormat="1">
      <c r="A92" s="586"/>
      <c r="B92" s="771">
        <v>4.0999999999999996</v>
      </c>
      <c r="C92" s="102" t="s">
        <v>943</v>
      </c>
      <c r="D92" s="772" t="s">
        <v>139</v>
      </c>
      <c r="E92" s="587">
        <v>225</v>
      </c>
      <c r="F92" s="587">
        <f>+F51</f>
        <v>2640</v>
      </c>
      <c r="G92" s="774">
        <f t="shared" ref="G92:G98" si="12">+E92*F92</f>
        <v>594000</v>
      </c>
      <c r="I92" s="44"/>
      <c r="J92" s="44"/>
    </row>
    <row r="93" spans="1:10" s="45" customFormat="1">
      <c r="A93" s="586"/>
      <c r="B93" s="771">
        <f>+B92+0.1</f>
        <v>4.1999999999999993</v>
      </c>
      <c r="C93" s="102" t="s">
        <v>1101</v>
      </c>
      <c r="D93" s="772" t="s">
        <v>139</v>
      </c>
      <c r="E93" s="780">
        <v>27</v>
      </c>
      <c r="F93" s="587">
        <v>5190</v>
      </c>
      <c r="G93" s="774">
        <f t="shared" si="12"/>
        <v>140130</v>
      </c>
      <c r="I93" s="44"/>
      <c r="J93" s="44"/>
    </row>
    <row r="94" spans="1:10" s="45" customFormat="1">
      <c r="A94" s="586"/>
      <c r="B94" s="771">
        <f>+B93+0.1</f>
        <v>4.2999999999999989</v>
      </c>
      <c r="C94" s="102" t="s">
        <v>941</v>
      </c>
      <c r="D94" s="777" t="s">
        <v>139</v>
      </c>
      <c r="E94" s="587">
        <v>15</v>
      </c>
      <c r="F94" s="587">
        <f>+F53</f>
        <v>10530</v>
      </c>
      <c r="G94" s="774">
        <f t="shared" si="12"/>
        <v>157950</v>
      </c>
      <c r="I94" s="44"/>
      <c r="J94" s="44"/>
    </row>
    <row r="95" spans="1:10" s="45" customFormat="1">
      <c r="A95" s="586"/>
      <c r="B95" s="771">
        <f t="shared" ref="B95:B97" si="13">+B94+0.1</f>
        <v>4.3999999999999986</v>
      </c>
      <c r="C95" s="102" t="s">
        <v>497</v>
      </c>
      <c r="D95" s="777" t="s">
        <v>56</v>
      </c>
      <c r="E95" s="587">
        <v>48</v>
      </c>
      <c r="F95" s="587">
        <v>17220</v>
      </c>
      <c r="G95" s="774">
        <f t="shared" si="12"/>
        <v>826560</v>
      </c>
      <c r="I95" s="44"/>
      <c r="J95" s="44"/>
    </row>
    <row r="96" spans="1:10" s="45" customFormat="1">
      <c r="A96" s="586"/>
      <c r="B96" s="771">
        <f t="shared" si="13"/>
        <v>4.4999999999999982</v>
      </c>
      <c r="C96" s="782" t="s">
        <v>979</v>
      </c>
      <c r="D96" s="772" t="s">
        <v>139</v>
      </c>
      <c r="E96" s="587">
        <v>14</v>
      </c>
      <c r="F96" s="587">
        <f>+F55</f>
        <v>609700</v>
      </c>
      <c r="G96" s="774">
        <f t="shared" si="12"/>
        <v>8535800</v>
      </c>
      <c r="I96" s="44"/>
      <c r="J96" s="44"/>
    </row>
    <row r="97" spans="1:10" s="45" customFormat="1">
      <c r="A97" s="586"/>
      <c r="B97" s="771">
        <f t="shared" si="13"/>
        <v>4.5999999999999979</v>
      </c>
      <c r="C97" s="102" t="s">
        <v>976</v>
      </c>
      <c r="D97" s="772" t="s">
        <v>139</v>
      </c>
      <c r="E97" s="587">
        <v>65</v>
      </c>
      <c r="F97" s="587">
        <f>+F56</f>
        <v>650208</v>
      </c>
      <c r="G97" s="774">
        <f t="shared" si="12"/>
        <v>42263520</v>
      </c>
      <c r="I97" s="44"/>
      <c r="J97" s="44"/>
    </row>
    <row r="98" spans="1:10" s="45" customFormat="1">
      <c r="A98" s="586"/>
      <c r="B98" s="771">
        <f>+B97+0.1</f>
        <v>4.6999999999999975</v>
      </c>
      <c r="C98" s="102" t="s">
        <v>939</v>
      </c>
      <c r="D98" s="772" t="s">
        <v>139</v>
      </c>
      <c r="E98" s="587">
        <v>3</v>
      </c>
      <c r="F98" s="587">
        <f>+F57</f>
        <v>630777</v>
      </c>
      <c r="G98" s="774">
        <f t="shared" si="12"/>
        <v>1892331</v>
      </c>
      <c r="I98" s="44"/>
      <c r="J98" s="44"/>
    </row>
    <row r="99" spans="1:10" s="45" customFormat="1">
      <c r="A99" s="586"/>
      <c r="B99" s="823"/>
      <c r="C99" s="215"/>
      <c r="D99" s="216"/>
      <c r="E99" s="95"/>
      <c r="F99" s="95"/>
      <c r="G99" s="774"/>
      <c r="I99" s="44"/>
      <c r="J99" s="44"/>
    </row>
    <row r="100" spans="1:10" s="45" customFormat="1" ht="15.75" thickBot="1">
      <c r="A100" s="586"/>
      <c r="B100" s="114"/>
      <c r="C100" s="114"/>
      <c r="D100" s="115"/>
      <c r="E100" s="116"/>
      <c r="F100" s="117" t="s">
        <v>966</v>
      </c>
      <c r="G100" s="118">
        <f>SUM(G92:G99)</f>
        <v>54410291</v>
      </c>
      <c r="I100" s="44"/>
      <c r="J100" s="44"/>
    </row>
    <row r="101" spans="1:10" s="45" customFormat="1">
      <c r="A101" s="586"/>
      <c r="B101" s="771"/>
      <c r="C101" s="102"/>
      <c r="D101" s="772"/>
      <c r="E101" s="773"/>
      <c r="F101" s="587"/>
      <c r="G101" s="774"/>
      <c r="I101" s="44"/>
      <c r="J101" s="44"/>
    </row>
    <row r="102" spans="1:10" s="45" customFormat="1">
      <c r="A102" s="586"/>
      <c r="B102" s="771"/>
      <c r="C102" s="787" t="s">
        <v>948</v>
      </c>
      <c r="D102" s="772"/>
      <c r="E102" s="773"/>
      <c r="F102" s="587"/>
      <c r="G102" s="774"/>
      <c r="I102" s="44"/>
      <c r="J102" s="44"/>
    </row>
    <row r="103" spans="1:10" s="45" customFormat="1" ht="78.75" customHeight="1">
      <c r="A103" s="586"/>
      <c r="B103" s="844">
        <v>4.8</v>
      </c>
      <c r="C103" s="102" t="s">
        <v>1025</v>
      </c>
      <c r="D103" s="772"/>
      <c r="E103" s="780"/>
      <c r="F103" s="587"/>
      <c r="G103" s="774"/>
      <c r="I103" s="44"/>
      <c r="J103" s="44"/>
    </row>
    <row r="104" spans="1:10" s="45" customFormat="1">
      <c r="A104" s="586"/>
      <c r="B104" s="779">
        <f>+B103+0.1</f>
        <v>4.8999999999999995</v>
      </c>
      <c r="C104" s="102" t="s">
        <v>1561</v>
      </c>
      <c r="D104" s="777" t="s">
        <v>22</v>
      </c>
      <c r="E104" s="587">
        <v>2</v>
      </c>
      <c r="F104" s="1463">
        <v>9156000</v>
      </c>
      <c r="G104" s="774">
        <f t="shared" ref="G104:G127" si="14">+E104*F104</f>
        <v>18312000</v>
      </c>
      <c r="I104" s="44"/>
      <c r="J104" s="44"/>
    </row>
    <row r="105" spans="1:10" s="45" customFormat="1">
      <c r="A105" s="586"/>
      <c r="B105" s="779">
        <v>4.0999999999999996</v>
      </c>
      <c r="C105" s="102" t="s">
        <v>1562</v>
      </c>
      <c r="D105" s="777" t="s">
        <v>22</v>
      </c>
      <c r="E105" s="587">
        <v>2</v>
      </c>
      <c r="F105" s="1463">
        <v>9536000</v>
      </c>
      <c r="G105" s="774">
        <f t="shared" si="14"/>
        <v>19072000</v>
      </c>
      <c r="I105" s="44"/>
      <c r="J105" s="44"/>
    </row>
    <row r="106" spans="1:10" s="45" customFormat="1">
      <c r="A106" s="586"/>
      <c r="B106" s="1322">
        <f>+B105+0.01</f>
        <v>4.1099999999999994</v>
      </c>
      <c r="C106" s="1323" t="s">
        <v>963</v>
      </c>
      <c r="D106" s="1324" t="s">
        <v>22</v>
      </c>
      <c r="E106" s="1325">
        <v>2</v>
      </c>
      <c r="F106" s="1325">
        <v>10686000</v>
      </c>
      <c r="G106" s="1326">
        <f t="shared" si="14"/>
        <v>21372000</v>
      </c>
      <c r="I106" s="44"/>
      <c r="J106" s="44"/>
    </row>
    <row r="107" spans="1:10" s="45" customFormat="1" ht="25.5">
      <c r="A107" s="586"/>
      <c r="B107" s="779">
        <f t="shared" ref="B107:B127" si="15">+B106+0.01</f>
        <v>4.1199999999999992</v>
      </c>
      <c r="C107" s="102" t="s">
        <v>1019</v>
      </c>
      <c r="D107" s="777" t="s">
        <v>512</v>
      </c>
      <c r="E107" s="587">
        <v>2</v>
      </c>
      <c r="F107" s="587">
        <v>728000</v>
      </c>
      <c r="G107" s="774">
        <f t="shared" si="14"/>
        <v>1456000</v>
      </c>
      <c r="I107" s="44"/>
      <c r="J107" s="44"/>
    </row>
    <row r="108" spans="1:10" s="45" customFormat="1" ht="20.25" customHeight="1">
      <c r="A108" s="586"/>
      <c r="B108" s="779">
        <f t="shared" si="15"/>
        <v>4.129999999999999</v>
      </c>
      <c r="C108" s="1323" t="s">
        <v>1020</v>
      </c>
      <c r="D108" s="1327" t="s">
        <v>22</v>
      </c>
      <c r="E108" s="1325">
        <v>4</v>
      </c>
      <c r="F108" s="1325">
        <v>136500</v>
      </c>
      <c r="G108" s="1326">
        <f t="shared" si="14"/>
        <v>546000</v>
      </c>
      <c r="I108" s="44"/>
      <c r="J108" s="44"/>
    </row>
    <row r="109" spans="1:10" s="45" customFormat="1" ht="20.25" customHeight="1">
      <c r="A109" s="586"/>
      <c r="B109" s="987">
        <f t="shared" si="15"/>
        <v>4.1399999999999988</v>
      </c>
      <c r="C109" s="988" t="s">
        <v>1438</v>
      </c>
      <c r="D109" s="989" t="s">
        <v>512</v>
      </c>
      <c r="E109" s="858">
        <v>2</v>
      </c>
      <c r="F109" s="858">
        <v>536430</v>
      </c>
      <c r="G109" s="990">
        <f t="shared" si="14"/>
        <v>1072860</v>
      </c>
      <c r="I109" s="44"/>
      <c r="J109" s="44"/>
    </row>
    <row r="110" spans="1:10" s="45" customFormat="1" ht="20.25" customHeight="1">
      <c r="A110" s="586"/>
      <c r="B110" s="987">
        <f t="shared" si="15"/>
        <v>4.1499999999999986</v>
      </c>
      <c r="C110" s="988" t="s">
        <v>1439</v>
      </c>
      <c r="D110" s="989" t="s">
        <v>512</v>
      </c>
      <c r="E110" s="858">
        <v>2</v>
      </c>
      <c r="F110" s="858">
        <v>4053852</v>
      </c>
      <c r="G110" s="990">
        <f t="shared" si="14"/>
        <v>8107704</v>
      </c>
      <c r="I110" s="44"/>
      <c r="J110" s="44"/>
    </row>
    <row r="111" spans="1:10" s="45" customFormat="1">
      <c r="A111" s="586"/>
      <c r="B111" s="987">
        <f t="shared" si="15"/>
        <v>4.1599999999999984</v>
      </c>
      <c r="C111" s="988" t="s">
        <v>522</v>
      </c>
      <c r="D111" s="820" t="s">
        <v>142</v>
      </c>
      <c r="E111" s="858">
        <v>4000</v>
      </c>
      <c r="F111" s="858">
        <v>3250</v>
      </c>
      <c r="G111" s="990">
        <f t="shared" si="14"/>
        <v>13000000</v>
      </c>
      <c r="I111" s="44"/>
      <c r="J111" s="44"/>
    </row>
    <row r="112" spans="1:10" s="45" customFormat="1">
      <c r="A112" s="586"/>
      <c r="B112" s="987">
        <f t="shared" si="15"/>
        <v>4.1699999999999982</v>
      </c>
      <c r="C112" s="988" t="s">
        <v>942</v>
      </c>
      <c r="D112" s="989" t="s">
        <v>56</v>
      </c>
      <c r="E112" s="858">
        <v>37</v>
      </c>
      <c r="F112" s="858">
        <v>4500</v>
      </c>
      <c r="G112" s="990">
        <f t="shared" si="14"/>
        <v>166500</v>
      </c>
      <c r="I112" s="44"/>
      <c r="J112" s="44"/>
    </row>
    <row r="113" spans="1:10" s="45" customFormat="1">
      <c r="A113" s="586"/>
      <c r="B113" s="987">
        <f t="shared" si="15"/>
        <v>4.1799999999999979</v>
      </c>
      <c r="C113" s="988" t="s">
        <v>945</v>
      </c>
      <c r="D113" s="820" t="s">
        <v>139</v>
      </c>
      <c r="E113" s="858">
        <v>7</v>
      </c>
      <c r="F113" s="858">
        <f>+F64</f>
        <v>75330</v>
      </c>
      <c r="G113" s="990">
        <f t="shared" si="14"/>
        <v>527310</v>
      </c>
      <c r="I113" s="44"/>
      <c r="J113" s="44"/>
    </row>
    <row r="114" spans="1:10" s="45" customFormat="1">
      <c r="A114" s="586"/>
      <c r="B114" s="779">
        <f t="shared" si="15"/>
        <v>4.1899999999999977</v>
      </c>
      <c r="C114" s="102" t="s">
        <v>946</v>
      </c>
      <c r="D114" s="772" t="s">
        <v>540</v>
      </c>
      <c r="E114" s="587">
        <v>30</v>
      </c>
      <c r="F114" s="587">
        <v>29330</v>
      </c>
      <c r="G114" s="774">
        <f t="shared" si="14"/>
        <v>879900</v>
      </c>
      <c r="I114" s="44"/>
      <c r="J114" s="44"/>
    </row>
    <row r="115" spans="1:10" s="45" customFormat="1">
      <c r="A115" s="586"/>
      <c r="B115" s="779">
        <f t="shared" si="15"/>
        <v>4.1999999999999975</v>
      </c>
      <c r="C115" s="782" t="s">
        <v>950</v>
      </c>
      <c r="D115" s="772" t="s">
        <v>540</v>
      </c>
      <c r="E115" s="587">
        <v>56</v>
      </c>
      <c r="F115" s="587">
        <v>18670</v>
      </c>
      <c r="G115" s="774">
        <f t="shared" si="14"/>
        <v>1045520</v>
      </c>
      <c r="I115" s="44"/>
      <c r="J115" s="44"/>
    </row>
    <row r="116" spans="1:10" s="45" customFormat="1" ht="24.75" customHeight="1">
      <c r="A116" s="586"/>
      <c r="B116" s="779">
        <f t="shared" si="15"/>
        <v>4.2099999999999973</v>
      </c>
      <c r="C116" s="782" t="s">
        <v>964</v>
      </c>
      <c r="D116" s="772" t="s">
        <v>22</v>
      </c>
      <c r="E116" s="587">
        <v>138</v>
      </c>
      <c r="F116" s="587">
        <v>49700</v>
      </c>
      <c r="G116" s="774">
        <f t="shared" si="14"/>
        <v>6858600</v>
      </c>
      <c r="I116" s="44"/>
      <c r="J116" s="44"/>
    </row>
    <row r="117" spans="1:10" s="45" customFormat="1" ht="15" customHeight="1">
      <c r="A117" s="586"/>
      <c r="B117" s="779">
        <f t="shared" si="15"/>
        <v>4.2199999999999971</v>
      </c>
      <c r="C117" s="102" t="s">
        <v>509</v>
      </c>
      <c r="D117" s="772" t="s">
        <v>56</v>
      </c>
      <c r="E117" s="587">
        <v>36</v>
      </c>
      <c r="F117" s="587">
        <v>150170</v>
      </c>
      <c r="G117" s="774">
        <f t="shared" si="14"/>
        <v>5406120</v>
      </c>
      <c r="I117" s="44"/>
      <c r="J117" s="44"/>
    </row>
    <row r="118" spans="1:10" s="45" customFormat="1" ht="25.5">
      <c r="A118" s="586"/>
      <c r="B118" s="779">
        <f t="shared" si="15"/>
        <v>4.2299999999999969</v>
      </c>
      <c r="C118" s="102" t="s">
        <v>935</v>
      </c>
      <c r="D118" s="777" t="s">
        <v>22</v>
      </c>
      <c r="E118" s="587">
        <v>42</v>
      </c>
      <c r="F118" s="587">
        <v>59200</v>
      </c>
      <c r="G118" s="774">
        <f t="shared" si="14"/>
        <v>2486400</v>
      </c>
      <c r="I118" s="44"/>
      <c r="J118" s="44"/>
    </row>
    <row r="119" spans="1:10" s="45" customFormat="1" ht="25.5">
      <c r="A119" s="586"/>
      <c r="B119" s="779">
        <f t="shared" si="15"/>
        <v>4.2399999999999967</v>
      </c>
      <c r="C119" s="102" t="s">
        <v>1018</v>
      </c>
      <c r="D119" s="777" t="s">
        <v>512</v>
      </c>
      <c r="E119" s="587">
        <v>30</v>
      </c>
      <c r="F119" s="587">
        <v>30550</v>
      </c>
      <c r="G119" s="774">
        <f t="shared" si="14"/>
        <v>916500</v>
      </c>
      <c r="I119" s="44"/>
      <c r="J119" s="44"/>
    </row>
    <row r="120" spans="1:10" s="45" customFormat="1">
      <c r="A120" s="586"/>
      <c r="B120" s="779">
        <f t="shared" si="15"/>
        <v>4.2499999999999964</v>
      </c>
      <c r="C120" s="102" t="s">
        <v>543</v>
      </c>
      <c r="D120" s="777" t="s">
        <v>512</v>
      </c>
      <c r="E120" s="587">
        <v>32</v>
      </c>
      <c r="F120" s="587">
        <v>21450</v>
      </c>
      <c r="G120" s="774">
        <f t="shared" si="14"/>
        <v>686400</v>
      </c>
      <c r="I120" s="44"/>
      <c r="J120" s="44"/>
    </row>
    <row r="121" spans="1:10" s="45" customFormat="1">
      <c r="A121" s="586"/>
      <c r="B121" s="779">
        <f t="shared" si="15"/>
        <v>4.2599999999999962</v>
      </c>
      <c r="C121" s="102" t="s">
        <v>545</v>
      </c>
      <c r="D121" s="777" t="s">
        <v>500</v>
      </c>
      <c r="E121" s="587">
        <v>6</v>
      </c>
      <c r="F121" s="587">
        <v>18028</v>
      </c>
      <c r="G121" s="774">
        <f t="shared" si="14"/>
        <v>108168</v>
      </c>
      <c r="I121" s="44"/>
      <c r="J121" s="44"/>
    </row>
    <row r="122" spans="1:10" s="45" customFormat="1">
      <c r="A122" s="586"/>
      <c r="B122" s="779">
        <f t="shared" si="15"/>
        <v>4.269999999999996</v>
      </c>
      <c r="C122" s="102" t="s">
        <v>965</v>
      </c>
      <c r="D122" s="772" t="s">
        <v>512</v>
      </c>
      <c r="E122" s="587">
        <v>32</v>
      </c>
      <c r="F122" s="587">
        <v>3720</v>
      </c>
      <c r="G122" s="774">
        <f t="shared" si="14"/>
        <v>119040</v>
      </c>
      <c r="I122" s="44"/>
      <c r="J122" s="44"/>
    </row>
    <row r="123" spans="1:10" s="45" customFormat="1">
      <c r="A123" s="586"/>
      <c r="B123" s="779">
        <f t="shared" si="15"/>
        <v>4.2799999999999958</v>
      </c>
      <c r="C123" s="102" t="s">
        <v>547</v>
      </c>
      <c r="D123" s="777" t="s">
        <v>22</v>
      </c>
      <c r="E123" s="587">
        <v>1</v>
      </c>
      <c r="F123" s="858">
        <v>115000</v>
      </c>
      <c r="G123" s="774">
        <f t="shared" si="14"/>
        <v>115000</v>
      </c>
      <c r="I123" s="44"/>
      <c r="J123" s="44"/>
    </row>
    <row r="124" spans="1:10" s="45" customFormat="1">
      <c r="A124" s="586"/>
      <c r="B124" s="779">
        <f t="shared" si="15"/>
        <v>4.2899999999999956</v>
      </c>
      <c r="C124" s="102" t="s">
        <v>548</v>
      </c>
      <c r="D124" s="777" t="s">
        <v>22</v>
      </c>
      <c r="E124" s="587">
        <v>4</v>
      </c>
      <c r="F124" s="858">
        <v>469000</v>
      </c>
      <c r="G124" s="774">
        <f t="shared" si="14"/>
        <v>1876000</v>
      </c>
      <c r="I124" s="44"/>
      <c r="J124" s="44"/>
    </row>
    <row r="125" spans="1:10" s="45" customFormat="1">
      <c r="A125" s="586"/>
      <c r="B125" s="779">
        <f t="shared" si="15"/>
        <v>4.2999999999999954</v>
      </c>
      <c r="C125" s="988" t="s">
        <v>513</v>
      </c>
      <c r="D125" s="989" t="s">
        <v>22</v>
      </c>
      <c r="E125" s="858">
        <v>676</v>
      </c>
      <c r="F125" s="858">
        <v>53000</v>
      </c>
      <c r="G125" s="774">
        <f t="shared" si="14"/>
        <v>35828000</v>
      </c>
      <c r="I125" s="44"/>
      <c r="J125" s="44"/>
    </row>
    <row r="126" spans="1:10" s="45" customFormat="1">
      <c r="A126" s="586"/>
      <c r="B126" s="779">
        <f t="shared" si="15"/>
        <v>4.3099999999999952</v>
      </c>
      <c r="C126" s="102" t="s">
        <v>514</v>
      </c>
      <c r="D126" s="777" t="s">
        <v>22</v>
      </c>
      <c r="E126" s="587">
        <v>676</v>
      </c>
      <c r="F126" s="858">
        <v>14047</v>
      </c>
      <c r="G126" s="774">
        <f t="shared" si="14"/>
        <v>9495772</v>
      </c>
      <c r="I126" s="44"/>
      <c r="J126" s="44"/>
    </row>
    <row r="127" spans="1:10" s="45" customFormat="1">
      <c r="A127" s="586"/>
      <c r="B127" s="779">
        <f t="shared" si="15"/>
        <v>4.319999999999995</v>
      </c>
      <c r="C127" s="102" t="s">
        <v>515</v>
      </c>
      <c r="D127" s="772" t="s">
        <v>22</v>
      </c>
      <c r="E127" s="587">
        <v>1372</v>
      </c>
      <c r="F127" s="858">
        <v>2923</v>
      </c>
      <c r="G127" s="774">
        <f t="shared" si="14"/>
        <v>4010356</v>
      </c>
      <c r="I127" s="44"/>
      <c r="J127" s="44"/>
    </row>
    <row r="128" spans="1:10" s="45" customFormat="1" ht="15.75" thickBot="1">
      <c r="A128" s="586"/>
      <c r="B128" s="114"/>
      <c r="C128" s="114"/>
      <c r="D128" s="115"/>
      <c r="E128" s="116"/>
      <c r="F128" s="117" t="s">
        <v>959</v>
      </c>
      <c r="G128" s="1152">
        <f>SUM(G103:G127)</f>
        <v>153464150</v>
      </c>
      <c r="I128" s="44"/>
      <c r="J128" s="44"/>
    </row>
    <row r="129" spans="1:10" s="45" customFormat="1">
      <c r="A129" s="586"/>
      <c r="B129" s="771"/>
      <c r="C129" s="102"/>
      <c r="D129" s="772"/>
      <c r="E129" s="773"/>
      <c r="F129" s="587"/>
      <c r="G129" s="774"/>
      <c r="I129" s="44"/>
      <c r="J129" s="44"/>
    </row>
    <row r="130" spans="1:10" s="45" customFormat="1" ht="15.75" thickBot="1">
      <c r="A130" s="586"/>
      <c r="B130" s="871"/>
      <c r="C130" s="871"/>
      <c r="D130" s="873"/>
      <c r="E130" s="874"/>
      <c r="F130" s="1287" t="s">
        <v>960</v>
      </c>
      <c r="G130" s="1004">
        <f>+G128+G100</f>
        <v>207874441</v>
      </c>
      <c r="I130" s="44"/>
      <c r="J130" s="44"/>
    </row>
    <row r="131" spans="1:10" s="45" customFormat="1" ht="15.75" thickBot="1">
      <c r="A131" s="586"/>
      <c r="B131" s="771"/>
      <c r="C131" s="102"/>
      <c r="D131" s="772"/>
      <c r="E131" s="773"/>
      <c r="F131" s="587"/>
      <c r="G131" s="774"/>
      <c r="I131" s="44"/>
      <c r="J131" s="44"/>
    </row>
    <row r="132" spans="1:10" s="45" customFormat="1">
      <c r="A132" s="586"/>
      <c r="B132" s="74">
        <v>5</v>
      </c>
      <c r="C132" s="75" t="s">
        <v>476</v>
      </c>
      <c r="D132" s="76"/>
      <c r="E132" s="76"/>
      <c r="F132" s="76"/>
      <c r="G132" s="126"/>
      <c r="I132" s="44"/>
      <c r="J132" s="44"/>
    </row>
    <row r="133" spans="1:10" s="45" customFormat="1">
      <c r="A133" s="586"/>
      <c r="B133" s="1361"/>
      <c r="C133" s="1362" t="s">
        <v>947</v>
      </c>
      <c r="D133" s="1256"/>
      <c r="E133" s="1363"/>
      <c r="F133" s="1340"/>
      <c r="G133" s="1300"/>
      <c r="I133" s="44"/>
      <c r="J133" s="44"/>
    </row>
    <row r="134" spans="1:10" s="45" customFormat="1">
      <c r="A134" s="586"/>
      <c r="B134" s="1364">
        <v>5.0999999999999996</v>
      </c>
      <c r="C134" s="1365" t="s">
        <v>943</v>
      </c>
      <c r="D134" s="1366" t="s">
        <v>139</v>
      </c>
      <c r="E134" s="1282">
        <v>635</v>
      </c>
      <c r="F134" s="1282">
        <f>+F51</f>
        <v>2640</v>
      </c>
      <c r="G134" s="1282">
        <f t="shared" ref="G134:G141" si="16">+E134*F134</f>
        <v>1676400</v>
      </c>
      <c r="I134" s="44"/>
      <c r="J134" s="44"/>
    </row>
    <row r="135" spans="1:10" s="45" customFormat="1">
      <c r="A135" s="586"/>
      <c r="B135" s="1364">
        <f>+B134+0.1</f>
        <v>5.1999999999999993</v>
      </c>
      <c r="C135" s="1365" t="s">
        <v>1101</v>
      </c>
      <c r="D135" s="1366" t="s">
        <v>139</v>
      </c>
      <c r="E135" s="1282">
        <v>337</v>
      </c>
      <c r="F135" s="1282">
        <f t="shared" ref="F135:F137" si="17">+F52</f>
        <v>5190</v>
      </c>
      <c r="G135" s="1282">
        <f t="shared" si="16"/>
        <v>1749030</v>
      </c>
      <c r="I135" s="44"/>
      <c r="J135" s="44"/>
    </row>
    <row r="136" spans="1:10" s="45" customFormat="1">
      <c r="A136" s="586"/>
      <c r="B136" s="1367">
        <f t="shared" ref="B136:B141" si="18">+B135+0.1</f>
        <v>5.2999999999999989</v>
      </c>
      <c r="C136" s="1297" t="s">
        <v>941</v>
      </c>
      <c r="D136" s="1368" t="s">
        <v>139</v>
      </c>
      <c r="E136" s="1303">
        <v>50</v>
      </c>
      <c r="F136" s="1282">
        <f t="shared" si="17"/>
        <v>10530</v>
      </c>
      <c r="G136" s="1282">
        <f t="shared" si="16"/>
        <v>526500</v>
      </c>
      <c r="I136" s="44"/>
      <c r="J136" s="44"/>
    </row>
    <row r="137" spans="1:10" s="45" customFormat="1">
      <c r="A137" s="586"/>
      <c r="B137" s="1364">
        <f t="shared" si="18"/>
        <v>5.3999999999999986</v>
      </c>
      <c r="C137" s="1365" t="s">
        <v>497</v>
      </c>
      <c r="D137" s="1346" t="s">
        <v>56</v>
      </c>
      <c r="E137" s="1282">
        <v>88</v>
      </c>
      <c r="F137" s="1282">
        <f t="shared" si="17"/>
        <v>17220</v>
      </c>
      <c r="G137" s="1282">
        <f t="shared" si="16"/>
        <v>1515360</v>
      </c>
      <c r="I137" s="44"/>
      <c r="J137" s="44"/>
    </row>
    <row r="138" spans="1:10" s="45" customFormat="1">
      <c r="A138" s="586"/>
      <c r="B138" s="1364">
        <f t="shared" si="18"/>
        <v>5.4999999999999982</v>
      </c>
      <c r="C138" s="1369" t="s">
        <v>979</v>
      </c>
      <c r="D138" s="1366" t="s">
        <v>139</v>
      </c>
      <c r="E138" s="1282">
        <v>26</v>
      </c>
      <c r="F138" s="1282">
        <f>+F96</f>
        <v>609700</v>
      </c>
      <c r="G138" s="1282">
        <f t="shared" si="16"/>
        <v>15852200</v>
      </c>
      <c r="I138" s="44"/>
      <c r="J138" s="44"/>
    </row>
    <row r="139" spans="1:10" s="45" customFormat="1">
      <c r="A139" s="586"/>
      <c r="B139" s="1364">
        <f t="shared" si="18"/>
        <v>5.5999999999999979</v>
      </c>
      <c r="C139" s="1365" t="s">
        <v>976</v>
      </c>
      <c r="D139" s="1366" t="s">
        <v>139</v>
      </c>
      <c r="E139" s="1282">
        <v>174</v>
      </c>
      <c r="F139" s="1282">
        <f>+F97</f>
        <v>650208</v>
      </c>
      <c r="G139" s="1282">
        <f t="shared" si="16"/>
        <v>113136192</v>
      </c>
      <c r="I139" s="44"/>
      <c r="J139" s="44"/>
    </row>
    <row r="140" spans="1:10" s="45" customFormat="1">
      <c r="A140" s="586"/>
      <c r="B140" s="1364">
        <f t="shared" si="18"/>
        <v>5.6999999999999975</v>
      </c>
      <c r="C140" s="1365" t="s">
        <v>944</v>
      </c>
      <c r="D140" s="1366" t="s">
        <v>139</v>
      </c>
      <c r="E140" s="1282">
        <v>16</v>
      </c>
      <c r="F140" s="1282">
        <f>+F56</f>
        <v>650208</v>
      </c>
      <c r="G140" s="1282">
        <f t="shared" si="16"/>
        <v>10403328</v>
      </c>
      <c r="I140" s="44"/>
      <c r="J140" s="44"/>
    </row>
    <row r="141" spans="1:10" s="45" customFormat="1">
      <c r="A141" s="586"/>
      <c r="B141" s="1364">
        <f t="shared" si="18"/>
        <v>5.7999999999999972</v>
      </c>
      <c r="C141" s="1365" t="s">
        <v>939</v>
      </c>
      <c r="D141" s="1366" t="s">
        <v>139</v>
      </c>
      <c r="E141" s="1282">
        <v>17</v>
      </c>
      <c r="F141" s="1282">
        <f>+F98</f>
        <v>630777</v>
      </c>
      <c r="G141" s="1282">
        <f t="shared" si="16"/>
        <v>10723209</v>
      </c>
      <c r="I141" s="44"/>
      <c r="J141" s="44"/>
    </row>
    <row r="142" spans="1:10" s="45" customFormat="1">
      <c r="A142" s="586"/>
      <c r="B142" s="771"/>
      <c r="C142" s="215"/>
      <c r="D142" s="216"/>
      <c r="E142" s="95"/>
      <c r="F142" s="95"/>
      <c r="G142" s="774"/>
      <c r="I142" s="44"/>
      <c r="J142" s="44"/>
    </row>
    <row r="143" spans="1:10" s="45" customFormat="1" ht="15.75" thickBot="1">
      <c r="A143" s="586"/>
      <c r="B143" s="114"/>
      <c r="C143" s="114"/>
      <c r="D143" s="115"/>
      <c r="E143" s="116"/>
      <c r="F143" s="117" t="s">
        <v>967</v>
      </c>
      <c r="G143" s="118">
        <f>SUM(G134:G142)</f>
        <v>155582219</v>
      </c>
      <c r="I143" s="44"/>
      <c r="J143" s="44"/>
    </row>
    <row r="144" spans="1:10" s="45" customFormat="1">
      <c r="A144" s="586"/>
      <c r="B144" s="771"/>
      <c r="C144" s="102"/>
      <c r="D144" s="772"/>
      <c r="E144" s="773"/>
      <c r="F144" s="587"/>
      <c r="G144" s="774">
        <f>+E144*F209</f>
        <v>0</v>
      </c>
      <c r="I144" s="44"/>
      <c r="J144" s="44"/>
    </row>
    <row r="145" spans="1:10" s="45" customFormat="1">
      <c r="A145" s="586"/>
      <c r="B145" s="771"/>
      <c r="C145" s="787" t="s">
        <v>948</v>
      </c>
      <c r="D145" s="772"/>
      <c r="E145" s="773"/>
      <c r="F145" s="587"/>
      <c r="G145" s="774"/>
      <c r="I145" s="44"/>
      <c r="J145" s="44"/>
    </row>
    <row r="146" spans="1:10" s="45" customFormat="1" ht="105.75" customHeight="1">
      <c r="A146" s="586"/>
      <c r="B146" s="771">
        <v>5.9</v>
      </c>
      <c r="C146" s="1248" t="s">
        <v>1008</v>
      </c>
      <c r="D146" s="772"/>
      <c r="E146" s="1059"/>
      <c r="F146" s="587"/>
      <c r="G146" s="774">
        <f>E146*F146</f>
        <v>0</v>
      </c>
      <c r="I146" s="44"/>
      <c r="J146" s="44"/>
    </row>
    <row r="147" spans="1:10" s="45" customFormat="1">
      <c r="A147" s="586"/>
      <c r="B147" s="1370" t="s">
        <v>988</v>
      </c>
      <c r="C147" s="1371" t="s">
        <v>1564</v>
      </c>
      <c r="D147" s="1372" t="s">
        <v>22</v>
      </c>
      <c r="E147" s="1373">
        <v>4</v>
      </c>
      <c r="F147" s="1374">
        <v>9298000</v>
      </c>
      <c r="G147" s="1375">
        <f t="shared" ref="G147:G167" si="19">+E147*F147</f>
        <v>37192000</v>
      </c>
      <c r="I147" s="1023"/>
      <c r="J147" s="44"/>
    </row>
    <row r="148" spans="1:10" s="45" customFormat="1" ht="15" customHeight="1">
      <c r="A148" s="586"/>
      <c r="B148" s="1367" t="s">
        <v>989</v>
      </c>
      <c r="C148" s="1297" t="s">
        <v>1565</v>
      </c>
      <c r="D148" s="1368" t="s">
        <v>22</v>
      </c>
      <c r="E148" s="1376">
        <v>4</v>
      </c>
      <c r="F148" s="1303">
        <v>9922000</v>
      </c>
      <c r="G148" s="1303">
        <f t="shared" si="19"/>
        <v>39688000</v>
      </c>
      <c r="I148" s="1023"/>
      <c r="J148" s="44">
        <f>0.8+0.55</f>
        <v>1.35</v>
      </c>
    </row>
    <row r="149" spans="1:10" s="45" customFormat="1">
      <c r="A149" s="586"/>
      <c r="B149" s="1364"/>
      <c r="C149" s="1365" t="s">
        <v>1566</v>
      </c>
      <c r="D149" s="1346" t="s">
        <v>22</v>
      </c>
      <c r="E149" s="1377">
        <v>1</v>
      </c>
      <c r="F149" s="1282">
        <v>16772600</v>
      </c>
      <c r="G149" s="1282">
        <f t="shared" si="19"/>
        <v>16772600</v>
      </c>
      <c r="I149" s="215"/>
      <c r="J149" s="44">
        <f>+J148/2</f>
        <v>0.67500000000000004</v>
      </c>
    </row>
    <row r="150" spans="1:10" s="45" customFormat="1">
      <c r="A150" s="586"/>
      <c r="B150" s="1364" t="s">
        <v>990</v>
      </c>
      <c r="C150" s="1365" t="s">
        <v>1567</v>
      </c>
      <c r="D150" s="1366" t="s">
        <v>22</v>
      </c>
      <c r="E150" s="1377">
        <v>4</v>
      </c>
      <c r="F150" s="1282">
        <v>11147600</v>
      </c>
      <c r="G150" s="1282">
        <f t="shared" si="19"/>
        <v>44590400</v>
      </c>
      <c r="I150" s="215"/>
      <c r="J150" s="44"/>
    </row>
    <row r="151" spans="1:10" s="45" customFormat="1">
      <c r="A151" s="586"/>
      <c r="B151" s="1364" t="s">
        <v>991</v>
      </c>
      <c r="C151" s="1365" t="s">
        <v>1568</v>
      </c>
      <c r="D151" s="1366" t="s">
        <v>22</v>
      </c>
      <c r="E151" s="1377">
        <v>1</v>
      </c>
      <c r="F151" s="1282">
        <v>9300000</v>
      </c>
      <c r="G151" s="1282">
        <f t="shared" si="19"/>
        <v>9300000</v>
      </c>
      <c r="I151" s="215"/>
      <c r="J151" s="44"/>
    </row>
    <row r="152" spans="1:10" s="45" customFormat="1">
      <c r="A152" s="586"/>
      <c r="B152" s="1364" t="s">
        <v>992</v>
      </c>
      <c r="C152" s="1297" t="s">
        <v>925</v>
      </c>
      <c r="D152" s="1368" t="s">
        <v>22</v>
      </c>
      <c r="E152" s="1376">
        <v>4</v>
      </c>
      <c r="F152" s="1303">
        <v>504000</v>
      </c>
      <c r="G152" s="1282">
        <f t="shared" si="19"/>
        <v>2016000</v>
      </c>
      <c r="I152" s="1023"/>
      <c r="J152" s="44"/>
    </row>
    <row r="153" spans="1:10" s="45" customFormat="1">
      <c r="A153" s="586"/>
      <c r="B153" s="1378">
        <v>5.0999999999999996</v>
      </c>
      <c r="C153" s="1379" t="s">
        <v>1570</v>
      </c>
      <c r="D153" s="1380" t="s">
        <v>22</v>
      </c>
      <c r="E153" s="1377">
        <v>1</v>
      </c>
      <c r="F153" s="1381">
        <v>323400</v>
      </c>
      <c r="G153" s="1282">
        <f t="shared" si="19"/>
        <v>323400</v>
      </c>
      <c r="I153" s="1456"/>
      <c r="J153" s="44"/>
    </row>
    <row r="154" spans="1:10" s="45" customFormat="1">
      <c r="A154" s="586"/>
      <c r="B154" s="1378">
        <f t="shared" ref="B154:B167" si="20">+B153+0.01</f>
        <v>5.1099999999999994</v>
      </c>
      <c r="C154" s="1379" t="s">
        <v>1571</v>
      </c>
      <c r="D154" s="1382" t="s">
        <v>512</v>
      </c>
      <c r="E154" s="1377">
        <v>4</v>
      </c>
      <c r="F154" s="1381">
        <v>521884</v>
      </c>
      <c r="G154" s="1282">
        <f t="shared" si="19"/>
        <v>2087536</v>
      </c>
      <c r="I154" s="1456"/>
      <c r="J154" s="44"/>
    </row>
    <row r="155" spans="1:10" s="45" customFormat="1">
      <c r="A155" s="586"/>
      <c r="B155" s="1383">
        <f t="shared" si="20"/>
        <v>5.1199999999999992</v>
      </c>
      <c r="C155" s="1379" t="s">
        <v>1573</v>
      </c>
      <c r="D155" s="1380" t="s">
        <v>512</v>
      </c>
      <c r="E155" s="1377">
        <v>1</v>
      </c>
      <c r="F155" s="1381">
        <v>728000</v>
      </c>
      <c r="G155" s="1282">
        <f t="shared" si="19"/>
        <v>728000</v>
      </c>
      <c r="I155" s="1456"/>
      <c r="J155" s="44"/>
    </row>
    <row r="156" spans="1:10" s="45" customFormat="1">
      <c r="A156" s="586"/>
      <c r="B156" s="1383"/>
      <c r="C156" s="1379" t="s">
        <v>1569</v>
      </c>
      <c r="D156" s="1380" t="s">
        <v>512</v>
      </c>
      <c r="E156" s="1377">
        <v>1</v>
      </c>
      <c r="F156" s="1381">
        <v>1087152</v>
      </c>
      <c r="G156" s="1282">
        <f t="shared" ref="G156" si="21">+E156*F156</f>
        <v>1087152</v>
      </c>
      <c r="I156" s="1456"/>
      <c r="J156" s="44"/>
    </row>
    <row r="157" spans="1:10" s="45" customFormat="1">
      <c r="A157" s="586"/>
      <c r="B157" s="1378">
        <f>+B155+0.01</f>
        <v>5.129999999999999</v>
      </c>
      <c r="C157" s="1379" t="s">
        <v>1572</v>
      </c>
      <c r="D157" s="1382" t="s">
        <v>22</v>
      </c>
      <c r="E157" s="1377">
        <v>4</v>
      </c>
      <c r="F157" s="1381">
        <v>174812</v>
      </c>
      <c r="G157" s="1282">
        <f t="shared" si="19"/>
        <v>699248</v>
      </c>
      <c r="I157" s="1456"/>
      <c r="J157" s="44"/>
    </row>
    <row r="158" spans="1:10" s="45" customFormat="1">
      <c r="A158" s="586"/>
      <c r="B158" s="1378">
        <f t="shared" si="20"/>
        <v>5.1399999999999988</v>
      </c>
      <c r="C158" s="1365" t="s">
        <v>921</v>
      </c>
      <c r="D158" s="1346" t="s">
        <v>512</v>
      </c>
      <c r="E158" s="1377">
        <v>4</v>
      </c>
      <c r="F158" s="1303">
        <v>910000</v>
      </c>
      <c r="G158" s="1282">
        <f t="shared" si="19"/>
        <v>3640000</v>
      </c>
      <c r="I158" s="1456"/>
      <c r="J158" s="44"/>
    </row>
    <row r="159" spans="1:10" s="45" customFormat="1">
      <c r="A159" s="586"/>
      <c r="B159" s="1378">
        <f t="shared" si="20"/>
        <v>5.1499999999999986</v>
      </c>
      <c r="C159" s="1365" t="s">
        <v>922</v>
      </c>
      <c r="D159" s="1366" t="s">
        <v>512</v>
      </c>
      <c r="E159" s="1377">
        <v>4</v>
      </c>
      <c r="F159" s="1303">
        <v>890000</v>
      </c>
      <c r="G159" s="1282">
        <f t="shared" si="19"/>
        <v>3560000</v>
      </c>
      <c r="I159" s="44"/>
      <c r="J159" s="44"/>
    </row>
    <row r="160" spans="1:10" s="45" customFormat="1" ht="25.5">
      <c r="A160" s="586"/>
      <c r="B160" s="1378">
        <f t="shared" si="20"/>
        <v>5.1599999999999984</v>
      </c>
      <c r="C160" s="1365" t="s">
        <v>1018</v>
      </c>
      <c r="D160" s="1366" t="s">
        <v>22</v>
      </c>
      <c r="E160" s="1377">
        <v>30</v>
      </c>
      <c r="F160" s="1303">
        <v>30550</v>
      </c>
      <c r="G160" s="1282">
        <f t="shared" si="19"/>
        <v>916500</v>
      </c>
      <c r="I160" s="44"/>
      <c r="J160" s="44"/>
    </row>
    <row r="161" spans="1:10" s="45" customFormat="1">
      <c r="A161" s="586"/>
      <c r="B161" s="1378">
        <f t="shared" si="20"/>
        <v>5.1699999999999982</v>
      </c>
      <c r="C161" s="1365" t="s">
        <v>522</v>
      </c>
      <c r="D161" s="1366" t="s">
        <v>142</v>
      </c>
      <c r="E161" s="1282">
        <v>8700</v>
      </c>
      <c r="F161" s="1282">
        <v>3250</v>
      </c>
      <c r="G161" s="1282">
        <f t="shared" si="19"/>
        <v>28275000</v>
      </c>
      <c r="I161" s="44"/>
      <c r="J161" s="44"/>
    </row>
    <row r="162" spans="1:10" s="45" customFormat="1">
      <c r="A162" s="586"/>
      <c r="B162" s="1378">
        <f t="shared" si="20"/>
        <v>5.1799999999999979</v>
      </c>
      <c r="C162" s="1365" t="s">
        <v>509</v>
      </c>
      <c r="D162" s="1346" t="s">
        <v>56</v>
      </c>
      <c r="E162" s="1377">
        <v>45</v>
      </c>
      <c r="F162" s="1282">
        <v>150170</v>
      </c>
      <c r="G162" s="1282">
        <f t="shared" si="19"/>
        <v>6757650</v>
      </c>
      <c r="I162" s="44"/>
      <c r="J162" s="44"/>
    </row>
    <row r="163" spans="1:10" s="45" customFormat="1">
      <c r="A163" s="586"/>
      <c r="B163" s="1378">
        <f t="shared" si="20"/>
        <v>5.1899999999999977</v>
      </c>
      <c r="C163" s="1365" t="s">
        <v>508</v>
      </c>
      <c r="D163" s="1346" t="s">
        <v>500</v>
      </c>
      <c r="E163" s="1377">
        <v>97</v>
      </c>
      <c r="F163" s="1282">
        <v>18670</v>
      </c>
      <c r="G163" s="1282">
        <f t="shared" si="19"/>
        <v>1810990</v>
      </c>
      <c r="I163" s="44"/>
      <c r="J163" s="44"/>
    </row>
    <row r="164" spans="1:10" s="45" customFormat="1" ht="96.75" customHeight="1">
      <c r="A164" s="586"/>
      <c r="B164" s="1378">
        <f t="shared" si="20"/>
        <v>5.1999999999999975</v>
      </c>
      <c r="C164" s="1365" t="s">
        <v>1481</v>
      </c>
      <c r="D164" s="1384" t="s">
        <v>22</v>
      </c>
      <c r="E164" s="1385">
        <v>19</v>
      </c>
      <c r="F164" s="1386">
        <v>298652</v>
      </c>
      <c r="G164" s="1282">
        <f t="shared" si="19"/>
        <v>5674388</v>
      </c>
      <c r="I164" s="44"/>
      <c r="J164" s="44"/>
    </row>
    <row r="165" spans="1:10" s="45" customFormat="1" ht="25.5">
      <c r="A165" s="586"/>
      <c r="B165" s="1378">
        <f t="shared" si="20"/>
        <v>5.2099999999999973</v>
      </c>
      <c r="C165" s="1365" t="s">
        <v>930</v>
      </c>
      <c r="D165" s="1366" t="s">
        <v>139</v>
      </c>
      <c r="E165" s="1377">
        <v>14.16</v>
      </c>
      <c r="F165" s="1303">
        <v>572686</v>
      </c>
      <c r="G165" s="1282">
        <f t="shared" si="19"/>
        <v>8109233.7599999998</v>
      </c>
      <c r="I165" s="44"/>
      <c r="J165" s="44"/>
    </row>
    <row r="166" spans="1:10" s="45" customFormat="1" ht="25.5">
      <c r="A166" s="586"/>
      <c r="B166" s="1378">
        <f t="shared" si="20"/>
        <v>5.2199999999999971</v>
      </c>
      <c r="C166" s="1365" t="s">
        <v>931</v>
      </c>
      <c r="D166" s="1346" t="s">
        <v>139</v>
      </c>
      <c r="E166" s="1377">
        <v>9.44</v>
      </c>
      <c r="F166" s="1303">
        <f>105259*1.06</f>
        <v>111574.54000000001</v>
      </c>
      <c r="G166" s="1282">
        <f t="shared" si="19"/>
        <v>1053263.6576</v>
      </c>
      <c r="I166" s="44"/>
      <c r="J166" s="44"/>
    </row>
    <row r="167" spans="1:10" s="45" customFormat="1">
      <c r="A167" s="586"/>
      <c r="B167" s="1378">
        <f t="shared" si="20"/>
        <v>5.2299999999999969</v>
      </c>
      <c r="C167" s="1365" t="s">
        <v>932</v>
      </c>
      <c r="D167" s="1346" t="s">
        <v>139</v>
      </c>
      <c r="E167" s="1377">
        <v>14.71</v>
      </c>
      <c r="F167" s="1387">
        <v>95240</v>
      </c>
      <c r="G167" s="1282">
        <f t="shared" si="19"/>
        <v>1400980.4000000001</v>
      </c>
      <c r="I167" s="1457">
        <f>63050*1.06*1.06*1.06*1.06*1.06</f>
        <v>84375.122667680014</v>
      </c>
      <c r="J167" s="44"/>
    </row>
    <row r="168" spans="1:10" s="45" customFormat="1">
      <c r="A168" s="138">
        <v>200314</v>
      </c>
      <c r="B168" s="771"/>
      <c r="C168" s="102"/>
      <c r="D168" s="777"/>
      <c r="E168" s="780"/>
      <c r="F168" s="776"/>
      <c r="G168" s="774"/>
      <c r="I168" s="44"/>
      <c r="J168" s="44"/>
    </row>
    <row r="169" spans="1:10" s="45" customFormat="1" ht="15.75" thickBot="1">
      <c r="A169" s="143">
        <v>140404</v>
      </c>
      <c r="B169" s="114"/>
      <c r="C169" s="114"/>
      <c r="D169" s="115"/>
      <c r="E169" s="116"/>
      <c r="F169" s="117" t="s">
        <v>987</v>
      </c>
      <c r="G169" s="1152">
        <f>SUM(G146:G168)</f>
        <v>215682341.81759998</v>
      </c>
      <c r="I169" s="44"/>
      <c r="J169" s="44"/>
    </row>
    <row r="170" spans="1:10" s="45" customFormat="1">
      <c r="A170" s="105"/>
      <c r="B170" s="139"/>
      <c r="C170" s="140"/>
      <c r="D170" s="23"/>
      <c r="E170" s="107"/>
      <c r="F170" s="25"/>
      <c r="G170" s="795"/>
      <c r="I170" s="44">
        <f>1/0.1</f>
        <v>10</v>
      </c>
      <c r="J170" s="44">
        <f>+I170*60970</f>
        <v>609700</v>
      </c>
    </row>
    <row r="171" spans="1:10" s="45" customFormat="1" ht="23.1" customHeight="1" thickBot="1">
      <c r="A171" s="124"/>
      <c r="B171" s="876"/>
      <c r="C171" s="871"/>
      <c r="D171" s="873"/>
      <c r="E171" s="874"/>
      <c r="F171" s="1287" t="s">
        <v>972</v>
      </c>
      <c r="G171" s="1152">
        <f>+G169+G143</f>
        <v>371264560.81760001</v>
      </c>
      <c r="I171" s="44"/>
      <c r="J171" s="44"/>
    </row>
    <row r="172" spans="1:10" s="45" customFormat="1" ht="15" hidden="1" customHeight="1">
      <c r="A172" s="84" t="s">
        <v>40</v>
      </c>
      <c r="B172" s="74"/>
      <c r="C172" s="75" t="s">
        <v>477</v>
      </c>
      <c r="D172" s="811"/>
      <c r="E172" s="812"/>
      <c r="F172" s="813"/>
      <c r="G172" s="814"/>
      <c r="I172" s="44"/>
      <c r="J172" s="44"/>
    </row>
    <row r="173" spans="1:10" s="45" customFormat="1" ht="15.75" thickBot="1">
      <c r="A173" s="127">
        <v>301305</v>
      </c>
      <c r="B173" s="85"/>
      <c r="C173" s="86"/>
      <c r="D173" s="815"/>
      <c r="E173" s="816"/>
      <c r="F173" s="817"/>
      <c r="G173" s="818"/>
      <c r="I173" s="44"/>
      <c r="J173" s="44"/>
    </row>
    <row r="174" spans="1:10" s="45" customFormat="1">
      <c r="A174" s="584"/>
      <c r="B174" s="74">
        <v>6</v>
      </c>
      <c r="C174" s="75" t="s">
        <v>534</v>
      </c>
      <c r="D174" s="76"/>
      <c r="E174" s="76"/>
      <c r="F174" s="76"/>
      <c r="G174" s="126"/>
      <c r="I174" s="44"/>
      <c r="J174" s="44"/>
    </row>
    <row r="175" spans="1:10" s="45" customFormat="1">
      <c r="A175" s="584"/>
      <c r="B175" s="1370"/>
      <c r="C175" s="1388" t="s">
        <v>947</v>
      </c>
      <c r="D175" s="1372"/>
      <c r="E175" s="1373"/>
      <c r="F175" s="1374"/>
      <c r="G175" s="1375"/>
      <c r="I175" s="44"/>
      <c r="J175" s="44"/>
    </row>
    <row r="176" spans="1:10" s="45" customFormat="1">
      <c r="A176" s="584"/>
      <c r="B176" s="1367">
        <v>6.1</v>
      </c>
      <c r="C176" s="1297" t="s">
        <v>943</v>
      </c>
      <c r="D176" s="1389" t="s">
        <v>139</v>
      </c>
      <c r="E176" s="1376">
        <v>440</v>
      </c>
      <c r="F176" s="1282">
        <v>2640</v>
      </c>
      <c r="G176" s="1303">
        <f>+F176*E176</f>
        <v>1161600</v>
      </c>
      <c r="I176" s="44"/>
      <c r="J176" s="44"/>
    </row>
    <row r="177" spans="1:10" s="45" customFormat="1">
      <c r="A177" s="584"/>
      <c r="B177" s="1367">
        <f>+B176+0.1</f>
        <v>6.1999999999999993</v>
      </c>
      <c r="C177" s="1297" t="s">
        <v>1101</v>
      </c>
      <c r="D177" s="1389" t="s">
        <v>139</v>
      </c>
      <c r="E177" s="1376">
        <v>268</v>
      </c>
      <c r="F177" s="1303">
        <v>5190</v>
      </c>
      <c r="G177" s="1303">
        <f t="shared" ref="G177:G185" si="22">+F177*E177</f>
        <v>1390920</v>
      </c>
      <c r="I177" s="44"/>
      <c r="J177" s="44"/>
    </row>
    <row r="178" spans="1:10" s="45" customFormat="1">
      <c r="A178" s="584"/>
      <c r="B178" s="1367">
        <f t="shared" ref="B178:B185" si="23">+B177+0.1</f>
        <v>6.2999999999999989</v>
      </c>
      <c r="C178" s="1297" t="s">
        <v>941</v>
      </c>
      <c r="D178" s="1368" t="s">
        <v>139</v>
      </c>
      <c r="E178" s="1376">
        <v>20</v>
      </c>
      <c r="F178" s="1303">
        <v>10530</v>
      </c>
      <c r="G178" s="1303">
        <f t="shared" si="22"/>
        <v>210600</v>
      </c>
      <c r="I178" s="44"/>
      <c r="J178" s="44"/>
    </row>
    <row r="179" spans="1:10" s="45" customFormat="1">
      <c r="A179" s="584"/>
      <c r="B179" s="1367">
        <f t="shared" si="23"/>
        <v>6.3999999999999986</v>
      </c>
      <c r="C179" s="1297" t="s">
        <v>497</v>
      </c>
      <c r="D179" s="1368" t="s">
        <v>56</v>
      </c>
      <c r="E179" s="1376">
        <v>57</v>
      </c>
      <c r="F179" s="1303">
        <f>+F54</f>
        <v>17220</v>
      </c>
      <c r="G179" s="1303">
        <f t="shared" si="22"/>
        <v>981540</v>
      </c>
      <c r="I179" s="44"/>
      <c r="J179" s="44"/>
    </row>
    <row r="180" spans="1:10" s="45" customFormat="1">
      <c r="A180" s="584"/>
      <c r="B180" s="1367">
        <f t="shared" si="23"/>
        <v>6.4999999999999982</v>
      </c>
      <c r="C180" s="1297" t="s">
        <v>1000</v>
      </c>
      <c r="D180" s="1389" t="s">
        <v>139</v>
      </c>
      <c r="E180" s="1376">
        <v>15</v>
      </c>
      <c r="F180" s="1303">
        <f>+F55</f>
        <v>609700</v>
      </c>
      <c r="G180" s="1303">
        <f t="shared" si="22"/>
        <v>9145500</v>
      </c>
      <c r="I180" s="44"/>
      <c r="J180" s="44"/>
    </row>
    <row r="181" spans="1:10" s="45" customFormat="1">
      <c r="A181" s="584"/>
      <c r="B181" s="1367">
        <f>+B180+0.1</f>
        <v>6.5999999999999979</v>
      </c>
      <c r="C181" s="1297" t="s">
        <v>976</v>
      </c>
      <c r="D181" s="1389" t="s">
        <v>139</v>
      </c>
      <c r="E181" s="1376">
        <f>42+10</f>
        <v>52</v>
      </c>
      <c r="F181" s="1303">
        <f>+F56</f>
        <v>650208</v>
      </c>
      <c r="G181" s="1303">
        <f t="shared" si="22"/>
        <v>33810816</v>
      </c>
      <c r="I181" s="44"/>
      <c r="J181" s="44"/>
    </row>
    <row r="182" spans="1:10" s="45" customFormat="1">
      <c r="A182" s="584"/>
      <c r="B182" s="1367">
        <f>+B180+0.1</f>
        <v>6.5999999999999979</v>
      </c>
      <c r="C182" s="1297" t="s">
        <v>939</v>
      </c>
      <c r="D182" s="1389" t="s">
        <v>139</v>
      </c>
      <c r="E182" s="1303">
        <v>8</v>
      </c>
      <c r="F182" s="1303">
        <f>+F57</f>
        <v>630777</v>
      </c>
      <c r="G182" s="1303">
        <f t="shared" si="22"/>
        <v>5046216</v>
      </c>
      <c r="I182" s="44"/>
      <c r="J182" s="44"/>
    </row>
    <row r="183" spans="1:10" s="45" customFormat="1">
      <c r="A183" s="584"/>
      <c r="B183" s="1367">
        <f t="shared" si="23"/>
        <v>6.6999999999999975</v>
      </c>
      <c r="C183" s="1297" t="s">
        <v>1002</v>
      </c>
      <c r="D183" s="1389" t="s">
        <v>139</v>
      </c>
      <c r="E183" s="1376">
        <v>1.3</v>
      </c>
      <c r="F183" s="1303">
        <v>609700</v>
      </c>
      <c r="G183" s="1303">
        <f t="shared" si="22"/>
        <v>792610</v>
      </c>
      <c r="I183" s="44"/>
      <c r="J183" s="44"/>
    </row>
    <row r="184" spans="1:10" s="45" customFormat="1">
      <c r="A184" s="584"/>
      <c r="B184" s="1367">
        <f t="shared" si="23"/>
        <v>6.7999999999999972</v>
      </c>
      <c r="C184" s="1297" t="s">
        <v>1003</v>
      </c>
      <c r="D184" s="1389" t="s">
        <v>139</v>
      </c>
      <c r="E184" s="1376">
        <v>1</v>
      </c>
      <c r="F184" s="1303">
        <v>609700</v>
      </c>
      <c r="G184" s="1303">
        <f t="shared" si="22"/>
        <v>609700</v>
      </c>
      <c r="I184" s="44">
        <f>1/0.15</f>
        <v>6.666666666666667</v>
      </c>
      <c r="J184" s="44">
        <f>+I184*84690</f>
        <v>564600</v>
      </c>
    </row>
    <row r="185" spans="1:10" s="45" customFormat="1">
      <c r="A185" s="584"/>
      <c r="B185" s="1367">
        <f t="shared" si="23"/>
        <v>6.8999999999999968</v>
      </c>
      <c r="C185" s="1297" t="s">
        <v>1004</v>
      </c>
      <c r="D185" s="1368" t="s">
        <v>139</v>
      </c>
      <c r="E185" s="1376">
        <v>0.7</v>
      </c>
      <c r="F185" s="1390">
        <f>+F181</f>
        <v>650208</v>
      </c>
      <c r="G185" s="1303">
        <f t="shared" si="22"/>
        <v>455145.6</v>
      </c>
      <c r="I185" s="44"/>
      <c r="J185" s="44"/>
    </row>
    <row r="186" spans="1:10" s="45" customFormat="1">
      <c r="A186" s="584"/>
      <c r="B186" s="771"/>
      <c r="C186" s="102"/>
      <c r="D186" s="777"/>
      <c r="E186" s="780"/>
      <c r="F186" s="776"/>
      <c r="G186" s="774"/>
      <c r="I186" s="44"/>
      <c r="J186" s="44"/>
    </row>
    <row r="187" spans="1:10" s="45" customFormat="1" ht="15.75" thickBot="1">
      <c r="A187" s="584"/>
      <c r="B187" s="114"/>
      <c r="C187" s="114"/>
      <c r="D187" s="115"/>
      <c r="E187" s="116"/>
      <c r="F187" s="117" t="s">
        <v>969</v>
      </c>
      <c r="G187" s="137">
        <f>SUM(G176:G186)</f>
        <v>53604647.600000001</v>
      </c>
      <c r="I187" s="44"/>
      <c r="J187" s="44"/>
    </row>
    <row r="188" spans="1:10" s="45" customFormat="1">
      <c r="A188" s="584"/>
      <c r="B188" s="771"/>
      <c r="C188" s="102"/>
      <c r="D188" s="777"/>
      <c r="E188" s="780"/>
      <c r="F188" s="776"/>
      <c r="G188" s="795"/>
      <c r="I188" s="44"/>
      <c r="J188" s="44"/>
    </row>
    <row r="189" spans="1:10" s="45" customFormat="1">
      <c r="A189" s="586"/>
      <c r="B189" s="1361"/>
      <c r="C189" s="1255" t="s">
        <v>948</v>
      </c>
      <c r="D189" s="1256"/>
      <c r="E189" s="1363"/>
      <c r="F189" s="1340"/>
      <c r="G189" s="1300"/>
      <c r="I189" s="44"/>
      <c r="J189" s="44"/>
    </row>
    <row r="190" spans="1:10" s="45" customFormat="1">
      <c r="A190" s="584"/>
      <c r="B190" s="1383">
        <v>6.1</v>
      </c>
      <c r="C190" s="1297" t="s">
        <v>942</v>
      </c>
      <c r="D190" s="1368" t="s">
        <v>56</v>
      </c>
      <c r="E190" s="1376">
        <v>40</v>
      </c>
      <c r="F190" s="1391">
        <v>4500</v>
      </c>
      <c r="G190" s="1303">
        <f t="shared" ref="G190:G204" si="24">+E190*F190</f>
        <v>180000</v>
      </c>
      <c r="I190" s="44"/>
      <c r="J190" s="44"/>
    </row>
    <row r="191" spans="1:10" s="45" customFormat="1">
      <c r="A191" s="584"/>
      <c r="B191" s="1383">
        <v>6.11</v>
      </c>
      <c r="C191" s="1297" t="s">
        <v>945</v>
      </c>
      <c r="D191" s="1368" t="s">
        <v>139</v>
      </c>
      <c r="E191" s="1376">
        <v>4</v>
      </c>
      <c r="F191" s="1391">
        <f>+F64</f>
        <v>75330</v>
      </c>
      <c r="G191" s="1303">
        <f t="shared" si="24"/>
        <v>301320</v>
      </c>
      <c r="I191" s="44"/>
      <c r="J191" s="44"/>
    </row>
    <row r="192" spans="1:10" s="45" customFormat="1">
      <c r="A192" s="584"/>
      <c r="B192" s="1383">
        <f>+B191+0.01</f>
        <v>6.12</v>
      </c>
      <c r="C192" s="1297" t="s">
        <v>946</v>
      </c>
      <c r="D192" s="1368" t="s">
        <v>540</v>
      </c>
      <c r="E192" s="1376">
        <v>20</v>
      </c>
      <c r="F192" s="1391">
        <v>29330</v>
      </c>
      <c r="G192" s="1303">
        <f t="shared" si="24"/>
        <v>586600</v>
      </c>
      <c r="I192" s="44"/>
      <c r="J192" s="44"/>
    </row>
    <row r="193" spans="1:10" s="45" customFormat="1">
      <c r="A193" s="584"/>
      <c r="B193" s="1383">
        <f t="shared" ref="B193:B204" si="25">+B192+0.01</f>
        <v>6.13</v>
      </c>
      <c r="C193" s="1297" t="s">
        <v>522</v>
      </c>
      <c r="D193" s="1368" t="s">
        <v>142</v>
      </c>
      <c r="E193" s="1376">
        <f>2200+294</f>
        <v>2494</v>
      </c>
      <c r="F193" s="1303">
        <v>3250</v>
      </c>
      <c r="G193" s="1303">
        <f t="shared" si="24"/>
        <v>8105500</v>
      </c>
      <c r="I193" s="44"/>
      <c r="J193" s="44"/>
    </row>
    <row r="194" spans="1:10" s="45" customFormat="1">
      <c r="A194" s="584"/>
      <c r="B194" s="1383">
        <f t="shared" si="25"/>
        <v>6.14</v>
      </c>
      <c r="C194" s="1297" t="s">
        <v>508</v>
      </c>
      <c r="D194" s="1368" t="s">
        <v>500</v>
      </c>
      <c r="E194" s="1376">
        <v>31</v>
      </c>
      <c r="F194" s="1303">
        <v>18670</v>
      </c>
      <c r="G194" s="1303">
        <f t="shared" si="24"/>
        <v>578770</v>
      </c>
      <c r="I194" s="44"/>
      <c r="J194" s="44"/>
    </row>
    <row r="195" spans="1:10" s="45" customFormat="1">
      <c r="A195" s="584"/>
      <c r="B195" s="1383">
        <f t="shared" si="25"/>
        <v>6.1499999999999995</v>
      </c>
      <c r="C195" s="1297" t="s">
        <v>904</v>
      </c>
      <c r="D195" s="1368" t="s">
        <v>22</v>
      </c>
      <c r="E195" s="1297">
        <v>8</v>
      </c>
      <c r="F195" s="1303">
        <v>10670</v>
      </c>
      <c r="G195" s="1303">
        <f t="shared" si="24"/>
        <v>85360</v>
      </c>
      <c r="I195" s="44"/>
      <c r="J195" s="44"/>
    </row>
    <row r="196" spans="1:10" s="45" customFormat="1">
      <c r="A196" s="584"/>
      <c r="B196" s="1383">
        <f t="shared" si="25"/>
        <v>6.1599999999999993</v>
      </c>
      <c r="C196" s="1297" t="s">
        <v>996</v>
      </c>
      <c r="D196" s="1368" t="s">
        <v>540</v>
      </c>
      <c r="E196" s="1297">
        <v>2</v>
      </c>
      <c r="F196" s="1303">
        <v>21516</v>
      </c>
      <c r="G196" s="1303">
        <f t="shared" si="24"/>
        <v>43032</v>
      </c>
      <c r="I196" s="44"/>
      <c r="J196" s="44"/>
    </row>
    <row r="197" spans="1:10" s="45" customFormat="1">
      <c r="A197" s="584"/>
      <c r="B197" s="1383">
        <f t="shared" si="25"/>
        <v>6.169999999999999</v>
      </c>
      <c r="C197" s="1297" t="s">
        <v>895</v>
      </c>
      <c r="D197" s="1368" t="s">
        <v>22</v>
      </c>
      <c r="E197" s="1297">
        <v>4</v>
      </c>
      <c r="F197" s="1303">
        <v>10810</v>
      </c>
      <c r="G197" s="1303">
        <f t="shared" si="24"/>
        <v>43240</v>
      </c>
      <c r="I197" s="44"/>
      <c r="J197" s="44"/>
    </row>
    <row r="198" spans="1:10" s="45" customFormat="1">
      <c r="A198" s="584"/>
      <c r="B198" s="1383">
        <f t="shared" si="25"/>
        <v>6.1799999999999988</v>
      </c>
      <c r="C198" s="1297" t="s">
        <v>1026</v>
      </c>
      <c r="D198" s="1368" t="s">
        <v>22</v>
      </c>
      <c r="E198" s="1297">
        <v>2</v>
      </c>
      <c r="F198" s="1303">
        <v>1621796</v>
      </c>
      <c r="G198" s="1303">
        <f t="shared" si="24"/>
        <v>3243592</v>
      </c>
      <c r="I198" s="44"/>
      <c r="J198" s="44"/>
    </row>
    <row r="199" spans="1:10" s="45" customFormat="1" ht="25.5">
      <c r="A199" s="584"/>
      <c r="B199" s="1383">
        <f t="shared" si="25"/>
        <v>6.1899999999999986</v>
      </c>
      <c r="C199" s="1297" t="s">
        <v>1027</v>
      </c>
      <c r="D199" s="1368" t="s">
        <v>22</v>
      </c>
      <c r="E199" s="1297">
        <v>2</v>
      </c>
      <c r="F199" s="1303">
        <v>521884</v>
      </c>
      <c r="G199" s="1303">
        <f t="shared" si="24"/>
        <v>1043768</v>
      </c>
      <c r="I199" s="44"/>
      <c r="J199" s="44"/>
    </row>
    <row r="200" spans="1:10" s="45" customFormat="1">
      <c r="A200" s="584"/>
      <c r="B200" s="1383">
        <f t="shared" si="25"/>
        <v>6.1999999999999984</v>
      </c>
      <c r="C200" s="1297" t="s">
        <v>1409</v>
      </c>
      <c r="D200" s="1368" t="s">
        <v>540</v>
      </c>
      <c r="E200" s="1297">
        <v>24</v>
      </c>
      <c r="F200" s="1303">
        <v>48740</v>
      </c>
      <c r="G200" s="1303">
        <f t="shared" si="24"/>
        <v>1169760</v>
      </c>
      <c r="I200" s="44"/>
      <c r="J200" s="44"/>
    </row>
    <row r="201" spans="1:10" s="45" customFormat="1">
      <c r="A201" s="584"/>
      <c r="B201" s="1383">
        <f t="shared" si="25"/>
        <v>6.2099999999999982</v>
      </c>
      <c r="C201" s="1297" t="s">
        <v>1410</v>
      </c>
      <c r="D201" s="1368" t="s">
        <v>540</v>
      </c>
      <c r="E201" s="1297">
        <v>7</v>
      </c>
      <c r="F201" s="1303">
        <v>69240</v>
      </c>
      <c r="G201" s="1303">
        <f t="shared" si="24"/>
        <v>484680</v>
      </c>
      <c r="I201" s="44"/>
      <c r="J201" s="44"/>
    </row>
    <row r="202" spans="1:10" s="45" customFormat="1">
      <c r="A202" s="584"/>
      <c r="B202" s="1383">
        <f t="shared" si="25"/>
        <v>6.219999999999998</v>
      </c>
      <c r="C202" s="1297" t="s">
        <v>1007</v>
      </c>
      <c r="D202" s="1368" t="s">
        <v>512</v>
      </c>
      <c r="E202" s="1297">
        <v>2</v>
      </c>
      <c r="F202" s="1390">
        <v>628300</v>
      </c>
      <c r="G202" s="1303">
        <f t="shared" si="24"/>
        <v>1256600</v>
      </c>
      <c r="I202" s="44"/>
      <c r="J202" s="44"/>
    </row>
    <row r="203" spans="1:10" s="45" customFormat="1">
      <c r="A203" s="584"/>
      <c r="B203" s="1383">
        <f t="shared" si="25"/>
        <v>6.2299999999999978</v>
      </c>
      <c r="C203" s="1297" t="s">
        <v>1021</v>
      </c>
      <c r="D203" s="1368" t="s">
        <v>22</v>
      </c>
      <c r="E203" s="1297">
        <v>4</v>
      </c>
      <c r="F203" s="1390">
        <v>469000</v>
      </c>
      <c r="G203" s="1303">
        <f t="shared" si="24"/>
        <v>1876000</v>
      </c>
      <c r="I203" s="44"/>
      <c r="J203" s="44"/>
    </row>
    <row r="204" spans="1:10" s="45" customFormat="1">
      <c r="A204" s="584"/>
      <c r="B204" s="1383">
        <f t="shared" si="25"/>
        <v>6.2399999999999975</v>
      </c>
      <c r="C204" s="1297" t="s">
        <v>1022</v>
      </c>
      <c r="D204" s="1368" t="s">
        <v>22</v>
      </c>
      <c r="E204" s="1297">
        <v>1</v>
      </c>
      <c r="F204" s="1390">
        <v>507000</v>
      </c>
      <c r="G204" s="1303">
        <f t="shared" si="24"/>
        <v>507000</v>
      </c>
      <c r="I204" s="44"/>
      <c r="J204" s="44"/>
    </row>
    <row r="205" spans="1:10" s="45" customFormat="1">
      <c r="A205" s="138">
        <v>200314</v>
      </c>
      <c r="B205" s="779"/>
      <c r="C205" s="102"/>
      <c r="D205" s="777"/>
      <c r="E205" s="780"/>
      <c r="F205" s="776"/>
      <c r="G205" s="774"/>
      <c r="I205" s="44"/>
      <c r="J205" s="44"/>
    </row>
    <row r="206" spans="1:10" s="45" customFormat="1" ht="15.75" thickBot="1">
      <c r="A206" s="143">
        <v>140404</v>
      </c>
      <c r="B206" s="871"/>
      <c r="C206" s="871"/>
      <c r="D206" s="873"/>
      <c r="E206" s="874"/>
      <c r="F206" s="1287" t="s">
        <v>973</v>
      </c>
      <c r="G206" s="1004">
        <f>SUM(G190:G205)</f>
        <v>19505222</v>
      </c>
      <c r="I206" s="44"/>
      <c r="J206" s="44"/>
    </row>
    <row r="207" spans="1:10" s="45" customFormat="1" ht="15.75" thickBot="1">
      <c r="A207" s="584"/>
      <c r="B207" s="876"/>
      <c r="C207" s="871"/>
      <c r="D207" s="873"/>
      <c r="E207" s="874"/>
      <c r="F207" s="1287" t="s">
        <v>1519</v>
      </c>
      <c r="G207" s="1152">
        <f>+G206+G187</f>
        <v>73109869.599999994</v>
      </c>
      <c r="I207" s="44"/>
      <c r="J207" s="44"/>
    </row>
    <row r="208" spans="1:10" s="45" customFormat="1" ht="15.75" thickBot="1">
      <c r="A208" s="584"/>
      <c r="B208" s="771"/>
      <c r="C208" s="102"/>
      <c r="D208" s="777"/>
      <c r="E208" s="780"/>
      <c r="F208" s="776"/>
      <c r="G208" s="774"/>
      <c r="I208" s="44"/>
      <c r="J208" s="44"/>
    </row>
    <row r="209" spans="1:10" s="45" customFormat="1" ht="15.75" hidden="1" customHeight="1" thickBot="1">
      <c r="A209" s="84" t="s">
        <v>40</v>
      </c>
      <c r="B209" s="74"/>
      <c r="C209" s="75" t="s">
        <v>478</v>
      </c>
      <c r="D209" s="87"/>
      <c r="E209" s="88"/>
      <c r="F209" s="89"/>
      <c r="G209" s="90"/>
      <c r="I209" s="44"/>
      <c r="J209" s="44"/>
    </row>
    <row r="210" spans="1:10" s="45" customFormat="1">
      <c r="A210" s="586"/>
      <c r="B210" s="74">
        <v>7</v>
      </c>
      <c r="C210" s="75" t="s">
        <v>478</v>
      </c>
      <c r="D210" s="76"/>
      <c r="E210" s="76"/>
      <c r="F210" s="76"/>
      <c r="G210" s="126"/>
      <c r="I210" s="44"/>
      <c r="J210" s="44"/>
    </row>
    <row r="211" spans="1:10" s="45" customFormat="1">
      <c r="A211" s="586"/>
      <c r="B211" s="1361"/>
      <c r="C211" s="1362" t="s">
        <v>947</v>
      </c>
      <c r="D211" s="1256"/>
      <c r="E211" s="1363"/>
      <c r="F211" s="1340"/>
      <c r="G211" s="1300"/>
      <c r="I211" s="44"/>
      <c r="J211" s="44"/>
    </row>
    <row r="212" spans="1:10" s="45" customFormat="1">
      <c r="A212" s="586"/>
      <c r="B212" s="1367">
        <v>7.1</v>
      </c>
      <c r="C212" s="1297" t="s">
        <v>943</v>
      </c>
      <c r="D212" s="1389" t="s">
        <v>139</v>
      </c>
      <c r="E212" s="1303">
        <v>3215</v>
      </c>
      <c r="F212" s="1303">
        <f>+F51</f>
        <v>2640</v>
      </c>
      <c r="G212" s="1282">
        <f t="shared" ref="G212:G222" si="26">+E212*F212</f>
        <v>8487600</v>
      </c>
      <c r="I212" s="44"/>
      <c r="J212" s="44"/>
    </row>
    <row r="213" spans="1:10" s="45" customFormat="1">
      <c r="A213" s="586"/>
      <c r="B213" s="1367">
        <f>+B212+0.1</f>
        <v>7.1999999999999993</v>
      </c>
      <c r="C213" s="1297" t="s">
        <v>1101</v>
      </c>
      <c r="D213" s="1389" t="s">
        <v>139</v>
      </c>
      <c r="E213" s="1303">
        <f>+E212</f>
        <v>3215</v>
      </c>
      <c r="F213" s="1303">
        <f>+F52</f>
        <v>5190</v>
      </c>
      <c r="G213" s="1282">
        <f t="shared" si="26"/>
        <v>16685850</v>
      </c>
      <c r="I213" s="44"/>
      <c r="J213" s="44"/>
    </row>
    <row r="214" spans="1:10" s="45" customFormat="1">
      <c r="A214" s="586"/>
      <c r="B214" s="1367">
        <f t="shared" ref="B214" si="27">+B213+0.1</f>
        <v>7.2999999999999989</v>
      </c>
      <c r="C214" s="1297" t="s">
        <v>941</v>
      </c>
      <c r="D214" s="1368" t="s">
        <v>139</v>
      </c>
      <c r="E214" s="1376">
        <v>50</v>
      </c>
      <c r="F214" s="1303">
        <f>+F53</f>
        <v>10530</v>
      </c>
      <c r="G214" s="1282">
        <f t="shared" si="26"/>
        <v>526500</v>
      </c>
      <c r="I214" s="44"/>
      <c r="J214" s="44"/>
    </row>
    <row r="215" spans="1:10" s="45" customFormat="1">
      <c r="A215" s="586"/>
      <c r="B215" s="1367">
        <f>+B213+0.1</f>
        <v>7.2999999999999989</v>
      </c>
      <c r="C215" s="1297" t="s">
        <v>497</v>
      </c>
      <c r="D215" s="1368" t="s">
        <v>56</v>
      </c>
      <c r="E215" s="1303">
        <v>619</v>
      </c>
      <c r="F215" s="1303">
        <f>+F54</f>
        <v>17220</v>
      </c>
      <c r="G215" s="1282">
        <f t="shared" si="26"/>
        <v>10659180</v>
      </c>
      <c r="I215" s="44"/>
      <c r="J215" s="44"/>
    </row>
    <row r="216" spans="1:10" s="45" customFormat="1">
      <c r="A216" s="127">
        <v>290304</v>
      </c>
      <c r="B216" s="1367">
        <f t="shared" ref="B216:B222" si="28">+B215+0.1</f>
        <v>7.3999999999999986</v>
      </c>
      <c r="C216" s="1297" t="s">
        <v>981</v>
      </c>
      <c r="D216" s="1389" t="s">
        <v>938</v>
      </c>
      <c r="E216" s="1303">
        <v>181</v>
      </c>
      <c r="F216" s="1303">
        <f>+F55</f>
        <v>609700</v>
      </c>
      <c r="G216" s="1282">
        <f t="shared" si="26"/>
        <v>110355700</v>
      </c>
      <c r="I216" s="44"/>
      <c r="J216" s="44"/>
    </row>
    <row r="217" spans="1:10" s="45" customFormat="1">
      <c r="A217" s="584"/>
      <c r="B217" s="1367">
        <f t="shared" si="28"/>
        <v>7.4999999999999982</v>
      </c>
      <c r="C217" s="1297" t="s">
        <v>993</v>
      </c>
      <c r="D217" s="1389" t="s">
        <v>56</v>
      </c>
      <c r="E217" s="1303">
        <v>922</v>
      </c>
      <c r="F217" s="1303">
        <v>30000</v>
      </c>
      <c r="G217" s="1282">
        <f t="shared" si="26"/>
        <v>27660000</v>
      </c>
      <c r="I217" s="44"/>
      <c r="J217" s="44"/>
    </row>
    <row r="218" spans="1:10" s="45" customFormat="1">
      <c r="A218" s="143">
        <v>290430</v>
      </c>
      <c r="B218" s="1364">
        <f t="shared" si="28"/>
        <v>7.5999999999999979</v>
      </c>
      <c r="C218" s="1365" t="s">
        <v>976</v>
      </c>
      <c r="D218" s="1366" t="s">
        <v>139</v>
      </c>
      <c r="E218" s="1282">
        <v>122</v>
      </c>
      <c r="F218" s="1392">
        <f>+F56</f>
        <v>650208</v>
      </c>
      <c r="G218" s="1282">
        <f t="shared" si="26"/>
        <v>79325376</v>
      </c>
      <c r="I218" s="44"/>
      <c r="J218" s="44"/>
    </row>
    <row r="219" spans="1:10" s="45" customFormat="1">
      <c r="A219" s="584"/>
      <c r="B219" s="1364">
        <f t="shared" si="28"/>
        <v>7.6999999999999975</v>
      </c>
      <c r="C219" s="1365" t="s">
        <v>939</v>
      </c>
      <c r="D219" s="1366" t="s">
        <v>139</v>
      </c>
      <c r="E219" s="1282">
        <v>135</v>
      </c>
      <c r="F219" s="1392">
        <f>+F57</f>
        <v>630777</v>
      </c>
      <c r="G219" s="1282">
        <f t="shared" si="26"/>
        <v>85154895</v>
      </c>
      <c r="I219" s="44"/>
      <c r="J219" s="44"/>
    </row>
    <row r="220" spans="1:10" s="45" customFormat="1">
      <c r="A220" s="584"/>
      <c r="B220" s="1364">
        <f t="shared" si="28"/>
        <v>7.7999999999999972</v>
      </c>
      <c r="C220" s="1365" t="s">
        <v>985</v>
      </c>
      <c r="D220" s="1366" t="s">
        <v>22</v>
      </c>
      <c r="E220" s="1282">
        <v>2</v>
      </c>
      <c r="F220" s="1282">
        <v>1011100</v>
      </c>
      <c r="G220" s="1282">
        <f t="shared" si="26"/>
        <v>2022200</v>
      </c>
      <c r="I220" s="44"/>
      <c r="J220" s="44"/>
    </row>
    <row r="221" spans="1:10" s="45" customFormat="1">
      <c r="A221" s="584"/>
      <c r="B221" s="1364">
        <f t="shared" si="28"/>
        <v>7.8999999999999968</v>
      </c>
      <c r="C221" s="1365" t="s">
        <v>986</v>
      </c>
      <c r="D221" s="1366" t="s">
        <v>22</v>
      </c>
      <c r="E221" s="1282">
        <v>2</v>
      </c>
      <c r="F221" s="1282">
        <v>2202372</v>
      </c>
      <c r="G221" s="1282">
        <f t="shared" si="26"/>
        <v>4404744</v>
      </c>
      <c r="I221" s="44"/>
      <c r="J221" s="44"/>
    </row>
    <row r="222" spans="1:10" s="45" customFormat="1">
      <c r="A222" s="584"/>
      <c r="B222" s="1364">
        <f t="shared" si="28"/>
        <v>7.9999999999999964</v>
      </c>
      <c r="C222" s="1365" t="s">
        <v>994</v>
      </c>
      <c r="D222" s="1346" t="s">
        <v>22</v>
      </c>
      <c r="E222" s="1393">
        <v>2</v>
      </c>
      <c r="F222" s="1282">
        <v>118070</v>
      </c>
      <c r="G222" s="1282">
        <f t="shared" si="26"/>
        <v>236140</v>
      </c>
      <c r="I222" s="44"/>
      <c r="J222" s="44"/>
    </row>
    <row r="223" spans="1:10" s="45" customFormat="1">
      <c r="A223" s="105"/>
      <c r="B223" s="101"/>
      <c r="C223" s="102"/>
      <c r="D223" s="772"/>
      <c r="E223" s="773"/>
      <c r="F223" s="587"/>
      <c r="G223" s="774"/>
      <c r="I223" s="44"/>
      <c r="J223" s="44"/>
    </row>
    <row r="224" spans="1:10" s="45" customFormat="1" ht="15.75" thickBot="1">
      <c r="A224" s="112" t="s">
        <v>46</v>
      </c>
      <c r="B224" s="113"/>
      <c r="C224" s="114"/>
      <c r="D224" s="115"/>
      <c r="E224" s="116"/>
      <c r="F224" s="117" t="s">
        <v>479</v>
      </c>
      <c r="G224" s="118">
        <f>SUM(G212:G223)</f>
        <v>345518185</v>
      </c>
      <c r="I224" s="44"/>
      <c r="J224" s="44"/>
    </row>
    <row r="225" spans="1:10" s="45" customFormat="1" ht="15" hidden="1" customHeight="1">
      <c r="A225" s="84" t="s">
        <v>40</v>
      </c>
      <c r="B225" s="987"/>
      <c r="C225" s="988"/>
      <c r="D225" s="989"/>
      <c r="E225" s="969"/>
      <c r="F225" s="879">
        <v>38550</v>
      </c>
      <c r="G225" s="774">
        <f t="shared" ref="G225" si="29">E225*F225</f>
        <v>0</v>
      </c>
      <c r="I225" s="44"/>
      <c r="J225" s="44"/>
    </row>
    <row r="226" spans="1:10" s="45" customFormat="1">
      <c r="A226" s="586"/>
      <c r="B226" s="1370"/>
      <c r="C226" s="1371"/>
      <c r="D226" s="1394"/>
      <c r="E226" s="1373"/>
      <c r="F226" s="1374"/>
      <c r="G226" s="1300"/>
      <c r="I226" s="44"/>
      <c r="J226" s="44"/>
    </row>
    <row r="227" spans="1:10" s="45" customFormat="1">
      <c r="A227" s="586"/>
      <c r="B227" s="1367">
        <v>7.12</v>
      </c>
      <c r="C227" s="1297" t="s">
        <v>522</v>
      </c>
      <c r="D227" s="1368" t="s">
        <v>142</v>
      </c>
      <c r="E227" s="1376">
        <v>11700</v>
      </c>
      <c r="F227" s="1303">
        <v>3250</v>
      </c>
      <c r="G227" s="1282">
        <f t="shared" ref="G227:G252" si="30">+E227*F227</f>
        <v>38025000</v>
      </c>
      <c r="I227" s="44"/>
      <c r="J227" s="44"/>
    </row>
    <row r="228" spans="1:10" s="45" customFormat="1">
      <c r="A228" s="586"/>
      <c r="B228" s="1367">
        <f>+B227+0.01</f>
        <v>7.13</v>
      </c>
      <c r="C228" s="1297" t="s">
        <v>508</v>
      </c>
      <c r="D228" s="1368" t="s">
        <v>500</v>
      </c>
      <c r="E228" s="1376">
        <v>124</v>
      </c>
      <c r="F228" s="1303">
        <v>18670</v>
      </c>
      <c r="G228" s="1282">
        <f t="shared" si="30"/>
        <v>2315080</v>
      </c>
      <c r="I228" s="44"/>
      <c r="J228" s="44"/>
    </row>
    <row r="229" spans="1:10" s="45" customFormat="1">
      <c r="A229" s="586"/>
      <c r="B229" s="1367">
        <f t="shared" ref="B229:B252" si="31">+B228+0.01</f>
        <v>7.14</v>
      </c>
      <c r="C229" s="1297" t="s">
        <v>942</v>
      </c>
      <c r="D229" s="1368" t="s">
        <v>56</v>
      </c>
      <c r="E229" s="1376">
        <v>183</v>
      </c>
      <c r="F229" s="1303">
        <v>4500</v>
      </c>
      <c r="G229" s="1282">
        <f t="shared" si="30"/>
        <v>823500</v>
      </c>
      <c r="I229" s="44"/>
      <c r="J229" s="44"/>
    </row>
    <row r="230" spans="1:10" s="45" customFormat="1">
      <c r="A230" s="586"/>
      <c r="B230" s="1367">
        <f t="shared" si="31"/>
        <v>7.1499999999999995</v>
      </c>
      <c r="C230" s="1297" t="s">
        <v>984</v>
      </c>
      <c r="D230" s="1368" t="s">
        <v>139</v>
      </c>
      <c r="E230" s="1376">
        <v>20</v>
      </c>
      <c r="F230" s="1303">
        <f>+F64</f>
        <v>75330</v>
      </c>
      <c r="G230" s="1282">
        <f t="shared" si="30"/>
        <v>1506600</v>
      </c>
      <c r="I230" s="44"/>
      <c r="J230" s="44"/>
    </row>
    <row r="231" spans="1:10" s="45" customFormat="1">
      <c r="A231" s="586"/>
      <c r="B231" s="1367">
        <f t="shared" si="31"/>
        <v>7.1599999999999993</v>
      </c>
      <c r="C231" s="1297" t="s">
        <v>946</v>
      </c>
      <c r="D231" s="1368" t="s">
        <v>540</v>
      </c>
      <c r="E231" s="1376">
        <v>147</v>
      </c>
      <c r="F231" s="1303">
        <v>29330</v>
      </c>
      <c r="G231" s="1282">
        <f t="shared" si="30"/>
        <v>4311510</v>
      </c>
      <c r="I231" s="44"/>
      <c r="J231" s="44"/>
    </row>
    <row r="232" spans="1:10" s="45" customFormat="1">
      <c r="A232" s="586"/>
      <c r="B232" s="1367">
        <f t="shared" si="31"/>
        <v>7.169999999999999</v>
      </c>
      <c r="C232" s="1297" t="s">
        <v>1428</v>
      </c>
      <c r="D232" s="1368" t="s">
        <v>22</v>
      </c>
      <c r="E232" s="1376">
        <v>1</v>
      </c>
      <c r="F232" s="1303">
        <v>21450</v>
      </c>
      <c r="G232" s="1282">
        <f t="shared" si="30"/>
        <v>21450</v>
      </c>
      <c r="I232" s="44"/>
      <c r="J232" s="44"/>
    </row>
    <row r="233" spans="1:10" s="45" customFormat="1">
      <c r="A233" s="586"/>
      <c r="B233" s="1367">
        <f t="shared" si="31"/>
        <v>7.1799999999999988</v>
      </c>
      <c r="C233" s="1297" t="s">
        <v>999</v>
      </c>
      <c r="D233" s="1389" t="s">
        <v>22</v>
      </c>
      <c r="E233" s="1303">
        <v>2</v>
      </c>
      <c r="F233" s="1303">
        <v>612360</v>
      </c>
      <c r="G233" s="1282">
        <f t="shared" si="30"/>
        <v>1224720</v>
      </c>
      <c r="I233" s="44"/>
      <c r="J233" s="44"/>
    </row>
    <row r="234" spans="1:10" s="45" customFormat="1">
      <c r="A234" s="586"/>
      <c r="B234" s="1367">
        <f t="shared" si="31"/>
        <v>7.1899999999999986</v>
      </c>
      <c r="C234" s="1297" t="s">
        <v>995</v>
      </c>
      <c r="D234" s="1368" t="s">
        <v>22</v>
      </c>
      <c r="E234" s="1303">
        <v>2</v>
      </c>
      <c r="F234" s="1303">
        <v>521884</v>
      </c>
      <c r="G234" s="1282">
        <f t="shared" si="30"/>
        <v>1043768</v>
      </c>
      <c r="I234" s="44"/>
      <c r="J234" s="44"/>
    </row>
    <row r="235" spans="1:10" s="45" customFormat="1">
      <c r="A235" s="586"/>
      <c r="B235" s="1367">
        <f t="shared" si="31"/>
        <v>7.1999999999999984</v>
      </c>
      <c r="C235" s="1297" t="s">
        <v>1422</v>
      </c>
      <c r="D235" s="1368" t="s">
        <v>22</v>
      </c>
      <c r="E235" s="1303">
        <v>2</v>
      </c>
      <c r="F235" s="1303">
        <v>323400</v>
      </c>
      <c r="G235" s="1282">
        <f t="shared" si="30"/>
        <v>646800</v>
      </c>
      <c r="I235" s="44"/>
      <c r="J235" s="44"/>
    </row>
    <row r="236" spans="1:10" s="45" customFormat="1">
      <c r="A236" s="586"/>
      <c r="B236" s="1367">
        <f t="shared" si="31"/>
        <v>7.2099999999999982</v>
      </c>
      <c r="C236" s="1297" t="s">
        <v>884</v>
      </c>
      <c r="D236" s="1389" t="s">
        <v>22</v>
      </c>
      <c r="E236" s="1303">
        <v>2</v>
      </c>
      <c r="F236" s="1303">
        <v>1021960</v>
      </c>
      <c r="G236" s="1282">
        <f t="shared" si="30"/>
        <v>2043920</v>
      </c>
      <c r="I236" s="44"/>
      <c r="J236" s="44"/>
    </row>
    <row r="237" spans="1:10" s="45" customFormat="1">
      <c r="A237" s="586"/>
      <c r="B237" s="1367">
        <f t="shared" si="31"/>
        <v>7.219999999999998</v>
      </c>
      <c r="C237" s="1297" t="s">
        <v>1030</v>
      </c>
      <c r="D237" s="1368" t="s">
        <v>22</v>
      </c>
      <c r="E237" s="1303">
        <v>2</v>
      </c>
      <c r="F237" s="1303">
        <v>3242316</v>
      </c>
      <c r="G237" s="1282">
        <f t="shared" si="30"/>
        <v>6484632</v>
      </c>
      <c r="I237" s="44"/>
      <c r="J237" s="44"/>
    </row>
    <row r="238" spans="1:10" s="45" customFormat="1">
      <c r="A238" s="586"/>
      <c r="B238" s="1367">
        <f t="shared" si="31"/>
        <v>7.2299999999999978</v>
      </c>
      <c r="C238" s="1395" t="s">
        <v>881</v>
      </c>
      <c r="D238" s="1368" t="s">
        <v>22</v>
      </c>
      <c r="E238" s="1303">
        <v>2</v>
      </c>
      <c r="F238" s="1303">
        <v>1621796</v>
      </c>
      <c r="G238" s="1282">
        <f t="shared" si="30"/>
        <v>3243592</v>
      </c>
      <c r="I238" s="44"/>
      <c r="J238" s="44"/>
    </row>
    <row r="239" spans="1:10" s="45" customFormat="1">
      <c r="A239" s="586"/>
      <c r="B239" s="1367">
        <f t="shared" si="31"/>
        <v>7.2399999999999975</v>
      </c>
      <c r="C239" s="1395" t="s">
        <v>1029</v>
      </c>
      <c r="D239" s="1368" t="s">
        <v>22</v>
      </c>
      <c r="E239" s="1303">
        <v>2</v>
      </c>
      <c r="F239" s="1303">
        <v>1096084</v>
      </c>
      <c r="G239" s="1282">
        <f t="shared" si="30"/>
        <v>2192168</v>
      </c>
      <c r="I239" s="44"/>
      <c r="J239" s="44"/>
    </row>
    <row r="240" spans="1:10" s="45" customFormat="1">
      <c r="A240" s="586"/>
      <c r="B240" s="1367">
        <f t="shared" si="31"/>
        <v>7.2499999999999973</v>
      </c>
      <c r="C240" s="1297" t="s">
        <v>904</v>
      </c>
      <c r="D240" s="1368" t="s">
        <v>22</v>
      </c>
      <c r="E240" s="1297">
        <v>2</v>
      </c>
      <c r="F240" s="1390">
        <v>10670</v>
      </c>
      <c r="G240" s="1282">
        <f t="shared" si="30"/>
        <v>21340</v>
      </c>
      <c r="I240" s="44"/>
      <c r="J240" s="44"/>
    </row>
    <row r="241" spans="1:10" s="45" customFormat="1">
      <c r="A241" s="586"/>
      <c r="B241" s="1367">
        <f t="shared" si="31"/>
        <v>7.2599999999999971</v>
      </c>
      <c r="C241" s="1297" t="s">
        <v>1423</v>
      </c>
      <c r="D241" s="1368" t="s">
        <v>22</v>
      </c>
      <c r="E241" s="1297">
        <v>2</v>
      </c>
      <c r="F241" s="1390">
        <v>182000</v>
      </c>
      <c r="G241" s="1282">
        <f t="shared" si="30"/>
        <v>364000</v>
      </c>
      <c r="I241" s="44"/>
      <c r="J241" s="44"/>
    </row>
    <row r="242" spans="1:10" s="45" customFormat="1">
      <c r="A242" s="586"/>
      <c r="B242" s="1367">
        <f t="shared" si="31"/>
        <v>7.2699999999999969</v>
      </c>
      <c r="C242" s="1297" t="s">
        <v>996</v>
      </c>
      <c r="D242" s="1389" t="s">
        <v>500</v>
      </c>
      <c r="E242" s="1303">
        <v>16</v>
      </c>
      <c r="F242" s="1390">
        <v>21516</v>
      </c>
      <c r="G242" s="1282">
        <f t="shared" si="30"/>
        <v>344256</v>
      </c>
      <c r="I242" s="44"/>
      <c r="J242" s="44"/>
    </row>
    <row r="243" spans="1:10" s="45" customFormat="1">
      <c r="A243" s="586"/>
      <c r="B243" s="1367">
        <f t="shared" si="31"/>
        <v>7.2799999999999967</v>
      </c>
      <c r="C243" s="1297" t="s">
        <v>1425</v>
      </c>
      <c r="D243" s="1368" t="s">
        <v>22</v>
      </c>
      <c r="E243" s="1297">
        <v>31</v>
      </c>
      <c r="F243" s="1390">
        <v>10670</v>
      </c>
      <c r="G243" s="1282">
        <f t="shared" si="30"/>
        <v>330770</v>
      </c>
      <c r="I243" s="44"/>
      <c r="J243" s="44"/>
    </row>
    <row r="244" spans="1:10" s="45" customFormat="1">
      <c r="A244" s="586"/>
      <c r="B244" s="1367">
        <f t="shared" si="31"/>
        <v>7.2899999999999965</v>
      </c>
      <c r="C244" s="1297" t="s">
        <v>1429</v>
      </c>
      <c r="D244" s="1368" t="s">
        <v>22</v>
      </c>
      <c r="E244" s="1297">
        <v>3</v>
      </c>
      <c r="F244" s="1390">
        <v>113600</v>
      </c>
      <c r="G244" s="1282">
        <f t="shared" si="30"/>
        <v>340800</v>
      </c>
      <c r="I244" s="44"/>
      <c r="J244" s="44"/>
    </row>
    <row r="245" spans="1:10" s="45" customFormat="1">
      <c r="A245" s="586"/>
      <c r="B245" s="1367">
        <f t="shared" si="31"/>
        <v>7.2999999999999963</v>
      </c>
      <c r="C245" s="1297" t="s">
        <v>1430</v>
      </c>
      <c r="D245" s="1368" t="s">
        <v>22</v>
      </c>
      <c r="E245" s="1297">
        <v>3</v>
      </c>
      <c r="F245" s="1390">
        <v>85700</v>
      </c>
      <c r="G245" s="1282">
        <f t="shared" si="30"/>
        <v>257100</v>
      </c>
      <c r="I245" s="44"/>
      <c r="J245" s="44"/>
    </row>
    <row r="246" spans="1:10" s="45" customFormat="1">
      <c r="A246" s="586"/>
      <c r="B246" s="1367">
        <f t="shared" si="31"/>
        <v>7.3099999999999961</v>
      </c>
      <c r="C246" s="1297" t="s">
        <v>1426</v>
      </c>
      <c r="D246" s="1368" t="s">
        <v>22</v>
      </c>
      <c r="E246" s="1297">
        <v>1</v>
      </c>
      <c r="F246" s="1390">
        <v>115000</v>
      </c>
      <c r="G246" s="1282">
        <f t="shared" si="30"/>
        <v>115000</v>
      </c>
      <c r="I246" s="44"/>
      <c r="J246" s="44"/>
    </row>
    <row r="247" spans="1:10" s="45" customFormat="1">
      <c r="A247" s="586"/>
      <c r="B247" s="1367">
        <f t="shared" si="31"/>
        <v>7.3199999999999958</v>
      </c>
      <c r="C247" s="1297" t="s">
        <v>1431</v>
      </c>
      <c r="D247" s="1368" t="s">
        <v>500</v>
      </c>
      <c r="E247" s="1297">
        <v>76</v>
      </c>
      <c r="F247" s="1390">
        <v>48740</v>
      </c>
      <c r="G247" s="1282">
        <f t="shared" si="30"/>
        <v>3704240</v>
      </c>
      <c r="I247" s="44"/>
      <c r="J247" s="44"/>
    </row>
    <row r="248" spans="1:10" s="45" customFormat="1">
      <c r="A248" s="586"/>
      <c r="B248" s="1367">
        <f t="shared" si="31"/>
        <v>7.3299999999999956</v>
      </c>
      <c r="C248" s="1297" t="s">
        <v>1424</v>
      </c>
      <c r="D248" s="1368" t="s">
        <v>56</v>
      </c>
      <c r="E248" s="1297">
        <v>0.3</v>
      </c>
      <c r="F248" s="1390">
        <v>6000</v>
      </c>
      <c r="G248" s="1282">
        <f t="shared" si="30"/>
        <v>1800</v>
      </c>
      <c r="I248" s="44"/>
      <c r="J248" s="44"/>
    </row>
    <row r="249" spans="1:10" s="45" customFormat="1" ht="25.5">
      <c r="A249" s="586"/>
      <c r="B249" s="1367">
        <f t="shared" si="31"/>
        <v>7.3399999999999954</v>
      </c>
      <c r="C249" s="1297" t="s">
        <v>1018</v>
      </c>
      <c r="D249" s="1389" t="s">
        <v>22</v>
      </c>
      <c r="E249" s="1376">
        <v>42</v>
      </c>
      <c r="F249" s="1303">
        <v>30550</v>
      </c>
      <c r="G249" s="1282">
        <f t="shared" si="30"/>
        <v>1283100</v>
      </c>
      <c r="I249" s="44"/>
      <c r="J249" s="44"/>
    </row>
    <row r="250" spans="1:10" s="45" customFormat="1">
      <c r="A250" s="586"/>
      <c r="B250" s="1364">
        <f t="shared" si="31"/>
        <v>7.3499999999999952</v>
      </c>
      <c r="C250" s="1365" t="s">
        <v>1432</v>
      </c>
      <c r="D250" s="1366" t="s">
        <v>22</v>
      </c>
      <c r="E250" s="1393">
        <v>4</v>
      </c>
      <c r="F250" s="1303">
        <v>580000</v>
      </c>
      <c r="G250" s="1282">
        <f t="shared" si="30"/>
        <v>2320000</v>
      </c>
      <c r="I250" s="44"/>
      <c r="J250" s="44"/>
    </row>
    <row r="251" spans="1:10" s="45" customFormat="1" ht="25.5">
      <c r="A251" s="586"/>
      <c r="B251" s="1364">
        <f t="shared" si="31"/>
        <v>7.359999999999995</v>
      </c>
      <c r="C251" s="1396" t="s">
        <v>1433</v>
      </c>
      <c r="D251" s="1366" t="s">
        <v>22</v>
      </c>
      <c r="E251" s="1393">
        <v>4</v>
      </c>
      <c r="F251" s="1303">
        <v>620000</v>
      </c>
      <c r="G251" s="1282">
        <f t="shared" si="30"/>
        <v>2480000</v>
      </c>
      <c r="I251" s="44"/>
      <c r="J251" s="44"/>
    </row>
    <row r="252" spans="1:10" s="45" customFormat="1">
      <c r="A252" s="586"/>
      <c r="B252" s="1364">
        <f t="shared" si="31"/>
        <v>7.3699999999999948</v>
      </c>
      <c r="C252" s="1365" t="s">
        <v>1427</v>
      </c>
      <c r="D252" s="1366" t="s">
        <v>22</v>
      </c>
      <c r="E252" s="1393">
        <v>2</v>
      </c>
      <c r="F252" s="1303">
        <v>4950000</v>
      </c>
      <c r="G252" s="1282">
        <f t="shared" si="30"/>
        <v>9900000</v>
      </c>
      <c r="I252" s="44"/>
      <c r="J252" s="44"/>
    </row>
    <row r="253" spans="1:10" s="45" customFormat="1">
      <c r="A253" s="586"/>
      <c r="B253" s="771"/>
      <c r="D253" s="772"/>
      <c r="E253" s="780"/>
      <c r="F253" s="587"/>
      <c r="G253" s="774"/>
      <c r="I253" s="44"/>
      <c r="J253" s="44"/>
    </row>
    <row r="254" spans="1:10" s="45" customFormat="1" ht="15.75" thickBot="1">
      <c r="A254" s="586"/>
      <c r="B254" s="114"/>
      <c r="C254" s="114"/>
      <c r="D254" s="115"/>
      <c r="E254" s="116"/>
      <c r="F254" s="117" t="s">
        <v>970</v>
      </c>
      <c r="G254" s="118">
        <f>SUM(G227:G253)</f>
        <v>85345146</v>
      </c>
      <c r="I254" s="44"/>
      <c r="J254" s="44"/>
    </row>
    <row r="255" spans="1:10" s="45" customFormat="1">
      <c r="A255" s="586"/>
      <c r="B255" s="771"/>
      <c r="C255" s="102"/>
      <c r="D255" s="772"/>
      <c r="E255" s="780"/>
      <c r="F255" s="587"/>
      <c r="G255" s="774"/>
      <c r="I255" s="44"/>
      <c r="J255" s="44"/>
    </row>
    <row r="256" spans="1:10" s="45" customFormat="1" ht="15.75" thickBot="1">
      <c r="A256" s="127" t="s">
        <v>82</v>
      </c>
      <c r="B256" s="871"/>
      <c r="C256" s="871"/>
      <c r="D256" s="873"/>
      <c r="E256" s="874"/>
      <c r="F256" s="1287" t="s">
        <v>971</v>
      </c>
      <c r="G256" s="1004">
        <f>+G254+G224</f>
        <v>430863331</v>
      </c>
      <c r="I256" s="44"/>
      <c r="J256" s="44"/>
    </row>
    <row r="257" spans="1:10" s="45" customFormat="1" ht="15.75" thickBot="1">
      <c r="A257" s="143">
        <v>210134</v>
      </c>
      <c r="B257" s="139"/>
      <c r="C257" s="140"/>
      <c r="D257" s="141"/>
      <c r="E257" s="142"/>
      <c r="F257" s="25"/>
      <c r="G257" s="792">
        <f t="shared" ref="G257" si="32">+F257*E257</f>
        <v>0</v>
      </c>
      <c r="I257" s="44"/>
      <c r="J257" s="44"/>
    </row>
    <row r="258" spans="1:10" s="45" customFormat="1">
      <c r="A258" s="584"/>
      <c r="B258" s="74">
        <v>8</v>
      </c>
      <c r="C258" s="75" t="s">
        <v>1023</v>
      </c>
      <c r="D258" s="76"/>
      <c r="E258" s="76"/>
      <c r="F258" s="76"/>
      <c r="G258" s="126"/>
      <c r="I258" s="44"/>
      <c r="J258" s="44"/>
    </row>
    <row r="259" spans="1:10" s="45" customFormat="1">
      <c r="A259" s="584"/>
      <c r="B259" s="1361"/>
      <c r="C259" s="1362" t="s">
        <v>947</v>
      </c>
      <c r="D259" s="1256"/>
      <c r="E259" s="1363"/>
      <c r="F259" s="1340"/>
      <c r="G259" s="1300"/>
      <c r="I259" s="44"/>
      <c r="J259" s="44"/>
    </row>
    <row r="260" spans="1:10" s="45" customFormat="1">
      <c r="A260" s="584"/>
      <c r="B260" s="1364">
        <v>8.1</v>
      </c>
      <c r="C260" s="1365" t="s">
        <v>943</v>
      </c>
      <c r="D260" s="1366" t="s">
        <v>139</v>
      </c>
      <c r="E260" s="1282">
        <v>590</v>
      </c>
      <c r="F260" s="1282">
        <f>+F51</f>
        <v>2640</v>
      </c>
      <c r="G260" s="1282">
        <f t="shared" ref="G260:G264" si="33">+E260*F260</f>
        <v>1557600</v>
      </c>
      <c r="I260" s="44"/>
      <c r="J260" s="44"/>
    </row>
    <row r="261" spans="1:10" s="45" customFormat="1">
      <c r="A261" s="584"/>
      <c r="B261" s="1364">
        <f>+B260+0.1</f>
        <v>8.1999999999999993</v>
      </c>
      <c r="C261" s="1365" t="s">
        <v>1101</v>
      </c>
      <c r="D261" s="1366" t="s">
        <v>139</v>
      </c>
      <c r="E261" s="1282">
        <f>+E260</f>
        <v>590</v>
      </c>
      <c r="F261" s="1282">
        <f>+F52</f>
        <v>5190</v>
      </c>
      <c r="G261" s="1282">
        <f t="shared" si="33"/>
        <v>3062100</v>
      </c>
      <c r="I261" s="44"/>
      <c r="J261" s="44"/>
    </row>
    <row r="262" spans="1:10" s="45" customFormat="1">
      <c r="A262" s="584"/>
      <c r="B262" s="1364">
        <f t="shared" ref="B262:B264" si="34">+B261+0.1</f>
        <v>8.2999999999999989</v>
      </c>
      <c r="C262" s="1365" t="s">
        <v>497</v>
      </c>
      <c r="D262" s="1346" t="s">
        <v>56</v>
      </c>
      <c r="E262" s="1282">
        <v>163</v>
      </c>
      <c r="F262" s="1282">
        <f>+F54</f>
        <v>17220</v>
      </c>
      <c r="G262" s="1282">
        <f t="shared" si="33"/>
        <v>2806860</v>
      </c>
      <c r="I262" s="44"/>
      <c r="J262" s="44"/>
    </row>
    <row r="263" spans="1:10" s="45" customFormat="1">
      <c r="A263" s="584"/>
      <c r="B263" s="1367">
        <f t="shared" si="34"/>
        <v>8.3999999999999986</v>
      </c>
      <c r="C263" s="1369" t="s">
        <v>1003</v>
      </c>
      <c r="D263" s="1397" t="s">
        <v>139</v>
      </c>
      <c r="E263" s="1393">
        <v>44</v>
      </c>
      <c r="F263" s="1282">
        <f>+F55</f>
        <v>609700</v>
      </c>
      <c r="G263" s="1282">
        <f t="shared" si="33"/>
        <v>26826800</v>
      </c>
      <c r="I263" s="44"/>
      <c r="J263" s="44"/>
    </row>
    <row r="264" spans="1:10" s="45" customFormat="1">
      <c r="A264" s="584"/>
      <c r="B264" s="1364">
        <f t="shared" si="34"/>
        <v>8.4999999999999982</v>
      </c>
      <c r="C264" s="1365" t="s">
        <v>976</v>
      </c>
      <c r="D264" s="1366" t="s">
        <v>139</v>
      </c>
      <c r="E264" s="1282">
        <v>15</v>
      </c>
      <c r="F264" s="1392">
        <v>614040</v>
      </c>
      <c r="G264" s="1282">
        <f t="shared" si="33"/>
        <v>9210600</v>
      </c>
      <c r="I264" s="44"/>
      <c r="J264" s="44"/>
    </row>
    <row r="265" spans="1:10" s="45" customFormat="1">
      <c r="A265" s="584"/>
      <c r="B265" s="771"/>
      <c r="C265" s="102"/>
      <c r="D265" s="772"/>
      <c r="E265" s="587"/>
      <c r="F265" s="587"/>
      <c r="G265" s="774">
        <f>+E265*F265</f>
        <v>0</v>
      </c>
      <c r="I265" s="44"/>
      <c r="J265" s="44"/>
    </row>
    <row r="266" spans="1:10" s="45" customFormat="1" ht="15.75" thickBot="1">
      <c r="A266" s="584"/>
      <c r="B266" s="771"/>
      <c r="C266" s="114"/>
      <c r="D266" s="115"/>
      <c r="E266" s="116"/>
      <c r="F266" s="117" t="s">
        <v>1099</v>
      </c>
      <c r="G266" s="118">
        <f>SUM(G260:G265)</f>
        <v>43463960</v>
      </c>
      <c r="I266" s="44"/>
      <c r="J266" s="44"/>
    </row>
    <row r="267" spans="1:10" s="45" customFormat="1">
      <c r="A267" s="584"/>
      <c r="B267" s="1361"/>
      <c r="C267" s="822"/>
      <c r="D267" s="1256"/>
      <c r="E267" s="1340"/>
      <c r="F267" s="1340"/>
      <c r="G267" s="1300"/>
      <c r="I267" s="44"/>
      <c r="J267" s="44"/>
    </row>
    <row r="268" spans="1:10" s="45" customFormat="1">
      <c r="A268" s="584"/>
      <c r="B268" s="1364">
        <f>+B264+0.1</f>
        <v>8.5999999999999979</v>
      </c>
      <c r="C268" s="1365" t="s">
        <v>522</v>
      </c>
      <c r="D268" s="1346" t="s">
        <v>142</v>
      </c>
      <c r="E268" s="1393">
        <v>5000</v>
      </c>
      <c r="F268" s="1022">
        <v>3250</v>
      </c>
      <c r="G268" s="1282">
        <f t="shared" ref="G268:G279" si="35">+E268*F268</f>
        <v>16250000</v>
      </c>
      <c r="I268" s="44"/>
      <c r="J268" s="44"/>
    </row>
    <row r="269" spans="1:10" s="45" customFormat="1">
      <c r="A269" s="584"/>
      <c r="B269" s="1364">
        <f>+B268+0.1</f>
        <v>8.6999999999999975</v>
      </c>
      <c r="C269" s="1365" t="s">
        <v>1411</v>
      </c>
      <c r="D269" s="1346" t="s">
        <v>500</v>
      </c>
      <c r="E269" s="1393">
        <v>90</v>
      </c>
      <c r="F269" s="1022">
        <v>18670</v>
      </c>
      <c r="G269" s="1282">
        <f t="shared" si="35"/>
        <v>1680300</v>
      </c>
      <c r="I269" s="44"/>
      <c r="J269" s="44"/>
    </row>
    <row r="270" spans="1:10" s="45" customFormat="1">
      <c r="A270" s="584"/>
      <c r="B270" s="1364">
        <f>+B269+0.1</f>
        <v>8.7999999999999972</v>
      </c>
      <c r="C270" s="1365" t="s">
        <v>942</v>
      </c>
      <c r="D270" s="1346" t="s">
        <v>56</v>
      </c>
      <c r="E270" s="1393">
        <v>92</v>
      </c>
      <c r="F270" s="1022">
        <v>4500</v>
      </c>
      <c r="G270" s="1282">
        <f t="shared" si="35"/>
        <v>414000</v>
      </c>
      <c r="I270" s="44"/>
      <c r="J270" s="44"/>
    </row>
    <row r="271" spans="1:10" s="45" customFormat="1">
      <c r="A271" s="584"/>
      <c r="B271" s="1398">
        <v>8.9</v>
      </c>
      <c r="C271" s="1365" t="s">
        <v>984</v>
      </c>
      <c r="D271" s="1346" t="s">
        <v>139</v>
      </c>
      <c r="E271" s="1393">
        <v>11</v>
      </c>
      <c r="F271" s="1399">
        <f>+F64</f>
        <v>75330</v>
      </c>
      <c r="G271" s="1282">
        <f t="shared" si="35"/>
        <v>828630</v>
      </c>
      <c r="I271" s="44"/>
      <c r="J271" s="44"/>
    </row>
    <row r="272" spans="1:10" s="45" customFormat="1">
      <c r="A272" s="584"/>
      <c r="B272" s="1378">
        <v>8.1</v>
      </c>
      <c r="C272" s="1365" t="s">
        <v>946</v>
      </c>
      <c r="D272" s="1346" t="s">
        <v>540</v>
      </c>
      <c r="E272" s="1393">
        <v>13</v>
      </c>
      <c r="F272" s="1022">
        <v>29330</v>
      </c>
      <c r="G272" s="1282">
        <f t="shared" si="35"/>
        <v>381290</v>
      </c>
      <c r="I272" s="44"/>
      <c r="J272" s="44"/>
    </row>
    <row r="273" spans="1:10" s="45" customFormat="1" ht="29.25" customHeight="1">
      <c r="A273" s="584"/>
      <c r="B273" s="1378">
        <v>8.11</v>
      </c>
      <c r="C273" s="1369" t="s">
        <v>1102</v>
      </c>
      <c r="D273" s="1366" t="s">
        <v>22</v>
      </c>
      <c r="E273" s="1282">
        <v>4</v>
      </c>
      <c r="F273" s="1022">
        <v>1302286</v>
      </c>
      <c r="G273" s="1282">
        <f t="shared" si="35"/>
        <v>5209144</v>
      </c>
      <c r="I273" s="1458"/>
      <c r="J273" s="44"/>
    </row>
    <row r="274" spans="1:10" s="45" customFormat="1">
      <c r="A274" s="584"/>
      <c r="B274" s="1378">
        <v>8.1199999999999992</v>
      </c>
      <c r="C274" s="1369" t="s">
        <v>1108</v>
      </c>
      <c r="D274" s="1346" t="s">
        <v>22</v>
      </c>
      <c r="E274" s="1282">
        <v>12</v>
      </c>
      <c r="F274" s="1022">
        <v>40312</v>
      </c>
      <c r="G274" s="1282">
        <f t="shared" si="35"/>
        <v>483744</v>
      </c>
      <c r="I274" s="44"/>
      <c r="J274" s="44"/>
    </row>
    <row r="275" spans="1:10" s="45" customFormat="1">
      <c r="A275" s="584"/>
      <c r="B275" s="1378">
        <f>+B274+0.01</f>
        <v>8.129999999999999</v>
      </c>
      <c r="C275" s="1365" t="s">
        <v>1107</v>
      </c>
      <c r="D275" s="1397" t="s">
        <v>22</v>
      </c>
      <c r="E275" s="1282">
        <v>28</v>
      </c>
      <c r="F275" s="1022">
        <v>10810</v>
      </c>
      <c r="G275" s="1282">
        <f t="shared" si="35"/>
        <v>302680</v>
      </c>
      <c r="I275" s="44"/>
      <c r="J275" s="44"/>
    </row>
    <row r="276" spans="1:10" s="45" customFormat="1" ht="16.5">
      <c r="A276" s="584"/>
      <c r="B276" s="1378">
        <f t="shared" ref="B276:B279" si="36">+B275+0.01</f>
        <v>8.1399999999999988</v>
      </c>
      <c r="C276" s="1365" t="s">
        <v>1103</v>
      </c>
      <c r="D276" s="1366" t="s">
        <v>500</v>
      </c>
      <c r="E276" s="1282">
        <v>86</v>
      </c>
      <c r="F276" s="1400">
        <v>21516</v>
      </c>
      <c r="G276" s="1282">
        <f t="shared" si="35"/>
        <v>1850376</v>
      </c>
      <c r="I276" s="44"/>
      <c r="J276" s="44"/>
    </row>
    <row r="277" spans="1:10" s="45" customFormat="1">
      <c r="A277" s="584"/>
      <c r="B277" s="1378">
        <f t="shared" si="36"/>
        <v>8.1499999999999986</v>
      </c>
      <c r="C277" s="1369" t="s">
        <v>1106</v>
      </c>
      <c r="D277" s="1346" t="s">
        <v>139</v>
      </c>
      <c r="E277" s="1282">
        <v>35</v>
      </c>
      <c r="F277" s="1399">
        <v>63050</v>
      </c>
      <c r="G277" s="1282">
        <f t="shared" si="35"/>
        <v>2206750</v>
      </c>
      <c r="I277" s="44"/>
      <c r="J277" s="44"/>
    </row>
    <row r="278" spans="1:10" s="45" customFormat="1">
      <c r="A278" s="584"/>
      <c r="B278" s="1378">
        <f t="shared" si="36"/>
        <v>8.1599999999999984</v>
      </c>
      <c r="C278" s="1369" t="s">
        <v>166</v>
      </c>
      <c r="D278" s="1346" t="s">
        <v>139</v>
      </c>
      <c r="E278" s="1282">
        <v>30</v>
      </c>
      <c r="F278" s="1022">
        <v>63840</v>
      </c>
      <c r="G278" s="1282">
        <f t="shared" si="35"/>
        <v>1915200</v>
      </c>
      <c r="I278" s="44"/>
      <c r="J278" s="44"/>
    </row>
    <row r="279" spans="1:10" s="45" customFormat="1" ht="16.5">
      <c r="A279" s="584"/>
      <c r="B279" s="1378">
        <f t="shared" si="36"/>
        <v>8.1699999999999982</v>
      </c>
      <c r="C279" s="1369" t="s">
        <v>1104</v>
      </c>
      <c r="D279" s="1401" t="s">
        <v>22</v>
      </c>
      <c r="E279" s="1369">
        <v>4</v>
      </c>
      <c r="F279" s="1400">
        <v>158050</v>
      </c>
      <c r="G279" s="1282">
        <f t="shared" si="35"/>
        <v>632200</v>
      </c>
      <c r="I279" s="44"/>
      <c r="J279" s="44"/>
    </row>
    <row r="280" spans="1:10" s="45" customFormat="1" ht="16.5">
      <c r="A280" s="584"/>
      <c r="B280" s="779"/>
      <c r="C280" s="782"/>
      <c r="D280" s="846"/>
      <c r="E280" s="782"/>
      <c r="F280" s="893"/>
      <c r="G280" s="774"/>
      <c r="I280" s="44"/>
      <c r="J280" s="44"/>
    </row>
    <row r="281" spans="1:10" s="45" customFormat="1" ht="15.75" thickBot="1">
      <c r="A281" s="584"/>
      <c r="B281" s="592"/>
      <c r="C281" s="114"/>
      <c r="D281" s="115"/>
      <c r="E281" s="116"/>
      <c r="F281" s="117" t="s">
        <v>1100</v>
      </c>
      <c r="G281" s="1109">
        <f>SUM(G268:G280)</f>
        <v>32154314</v>
      </c>
      <c r="I281" s="44"/>
      <c r="J281" s="44"/>
    </row>
    <row r="282" spans="1:10" s="45" customFormat="1">
      <c r="A282" s="584"/>
      <c r="B282" s="592"/>
      <c r="C282" s="140"/>
      <c r="D282" s="23"/>
      <c r="E282" s="107"/>
      <c r="F282" s="25"/>
      <c r="G282" s="1110"/>
      <c r="I282" s="44"/>
      <c r="J282" s="44"/>
    </row>
    <row r="283" spans="1:10" s="45" customFormat="1" ht="15.75" thickBot="1">
      <c r="A283" s="584"/>
      <c r="B283" s="1026"/>
      <c r="C283" s="871"/>
      <c r="D283" s="873"/>
      <c r="E283" s="874"/>
      <c r="F283" s="1287" t="s">
        <v>1024</v>
      </c>
      <c r="G283" s="1108">
        <f>+G281+G266</f>
        <v>75618274</v>
      </c>
      <c r="I283" s="44"/>
      <c r="J283" s="44"/>
    </row>
    <row r="284" spans="1:10" s="45" customFormat="1" ht="15.75" thickBot="1">
      <c r="A284" s="584"/>
      <c r="B284" s="592"/>
      <c r="C284" s="593"/>
      <c r="D284" s="827"/>
      <c r="E284" s="594"/>
      <c r="F284" s="575"/>
      <c r="G284" s="792"/>
      <c r="I284" s="44"/>
      <c r="J284" s="44"/>
    </row>
    <row r="285" spans="1:10" s="45" customFormat="1">
      <c r="A285" s="584"/>
      <c r="B285" s="1402">
        <v>9</v>
      </c>
      <c r="C285" s="1403" t="s">
        <v>1038</v>
      </c>
      <c r="D285" s="1404"/>
      <c r="E285" s="1404"/>
      <c r="F285" s="1404"/>
      <c r="G285" s="1405"/>
      <c r="I285" s="44"/>
      <c r="J285" s="44"/>
    </row>
    <row r="286" spans="1:10" s="45" customFormat="1">
      <c r="A286" s="584"/>
      <c r="B286" s="1411" t="s">
        <v>1590</v>
      </c>
      <c r="C286" s="1297" t="s">
        <v>943</v>
      </c>
      <c r="D286" s="1389" t="s">
        <v>139</v>
      </c>
      <c r="E286" s="1303">
        <v>160</v>
      </c>
      <c r="F286" s="1282">
        <v>2640</v>
      </c>
      <c r="G286" s="1303">
        <f>+E286*F286</f>
        <v>422400</v>
      </c>
      <c r="I286" s="44"/>
      <c r="J286" s="44"/>
    </row>
    <row r="287" spans="1:10" s="45" customFormat="1">
      <c r="A287" s="584"/>
      <c r="B287" s="1411" t="s">
        <v>1589</v>
      </c>
      <c r="C287" s="1297" t="s">
        <v>1582</v>
      </c>
      <c r="D287" s="1389" t="s">
        <v>139</v>
      </c>
      <c r="E287" s="1303">
        <v>60</v>
      </c>
      <c r="F287" s="1282">
        <v>16270</v>
      </c>
      <c r="G287" s="1303">
        <f>+E287*F287</f>
        <v>976200</v>
      </c>
      <c r="I287" s="44"/>
      <c r="J287" s="44"/>
    </row>
    <row r="288" spans="1:10" s="45" customFormat="1">
      <c r="A288" s="584"/>
      <c r="B288" s="1412">
        <v>9.1999999999999993</v>
      </c>
      <c r="C288" s="1297" t="s">
        <v>1046</v>
      </c>
      <c r="D288" s="1389"/>
      <c r="E288" s="1303"/>
      <c r="F288" s="1303"/>
      <c r="G288" s="1303">
        <f t="shared" ref="G288:G338" si="37">+E288*F288</f>
        <v>0</v>
      </c>
      <c r="I288" s="44"/>
      <c r="J288" s="44"/>
    </row>
    <row r="289" spans="1:10" s="45" customFormat="1">
      <c r="A289" s="584"/>
      <c r="B289" s="1411" t="s">
        <v>1048</v>
      </c>
      <c r="C289" s="1297" t="s">
        <v>1584</v>
      </c>
      <c r="D289" s="1301" t="s">
        <v>56</v>
      </c>
      <c r="E289" s="1302">
        <v>464</v>
      </c>
      <c r="F289" s="1303">
        <v>47420</v>
      </c>
      <c r="G289" s="1303">
        <f t="shared" si="37"/>
        <v>22002880</v>
      </c>
      <c r="I289" s="44"/>
      <c r="J289" s="44"/>
    </row>
    <row r="290" spans="1:10" s="45" customFormat="1">
      <c r="A290" s="584"/>
      <c r="B290" s="1412">
        <v>9.3000000000000007</v>
      </c>
      <c r="C290" s="1297" t="s">
        <v>1047</v>
      </c>
      <c r="D290" s="1301"/>
      <c r="E290" s="1302"/>
      <c r="F290" s="1303"/>
      <c r="G290" s="1303">
        <f t="shared" si="37"/>
        <v>0</v>
      </c>
      <c r="I290" s="44"/>
      <c r="J290" s="44"/>
    </row>
    <row r="291" spans="1:10" s="45" customFormat="1" ht="25.5">
      <c r="A291" s="584"/>
      <c r="B291" s="1411" t="s">
        <v>1049</v>
      </c>
      <c r="C291" s="1297" t="s">
        <v>1585</v>
      </c>
      <c r="D291" s="1301" t="s">
        <v>139</v>
      </c>
      <c r="E291" s="1302">
        <v>13</v>
      </c>
      <c r="F291" s="1303">
        <v>312309</v>
      </c>
      <c r="G291" s="1303">
        <f t="shared" si="37"/>
        <v>4060017</v>
      </c>
      <c r="I291" s="44"/>
      <c r="J291" s="44"/>
    </row>
    <row r="292" spans="1:10" s="45" customFormat="1">
      <c r="A292" s="584"/>
      <c r="B292" s="1411" t="s">
        <v>1050</v>
      </c>
      <c r="C292" s="1297" t="s">
        <v>1415</v>
      </c>
      <c r="D292" s="1301" t="s">
        <v>56</v>
      </c>
      <c r="E292" s="1302">
        <v>39</v>
      </c>
      <c r="F292" s="1303">
        <v>17220</v>
      </c>
      <c r="G292" s="1303">
        <f t="shared" si="37"/>
        <v>671580</v>
      </c>
      <c r="I292" s="44"/>
      <c r="J292" s="44"/>
    </row>
    <row r="293" spans="1:10" s="45" customFormat="1" ht="25.5">
      <c r="A293" s="584"/>
      <c r="B293" s="1411" t="s">
        <v>1051</v>
      </c>
      <c r="C293" s="1297" t="s">
        <v>1586</v>
      </c>
      <c r="D293" s="1301" t="s">
        <v>500</v>
      </c>
      <c r="E293" s="1302">
        <v>122</v>
      </c>
      <c r="F293" s="1413">
        <v>21960</v>
      </c>
      <c r="G293" s="1303">
        <f t="shared" si="37"/>
        <v>2679120</v>
      </c>
      <c r="I293" s="44"/>
      <c r="J293" s="44"/>
    </row>
    <row r="294" spans="1:10" s="45" customFormat="1">
      <c r="A294" s="584"/>
      <c r="B294" s="1411" t="s">
        <v>1052</v>
      </c>
      <c r="C294" s="1297" t="s">
        <v>1587</v>
      </c>
      <c r="D294" s="1301" t="s">
        <v>139</v>
      </c>
      <c r="E294" s="1302">
        <v>12</v>
      </c>
      <c r="F294" s="1303">
        <v>656039</v>
      </c>
      <c r="G294" s="1303">
        <f t="shared" si="37"/>
        <v>7872468</v>
      </c>
      <c r="I294" s="44"/>
      <c r="J294" s="44"/>
    </row>
    <row r="295" spans="1:10" s="45" customFormat="1" ht="25.5">
      <c r="A295" s="584"/>
      <c r="B295" s="1411" t="s">
        <v>1053</v>
      </c>
      <c r="C295" s="1365" t="s">
        <v>1588</v>
      </c>
      <c r="D295" s="1020" t="s">
        <v>139</v>
      </c>
      <c r="E295" s="1281">
        <v>5</v>
      </c>
      <c r="F295" s="1282">
        <v>640640</v>
      </c>
      <c r="G295" s="1282">
        <f t="shared" si="37"/>
        <v>3203200</v>
      </c>
      <c r="I295" s="44"/>
      <c r="J295" s="44"/>
    </row>
    <row r="296" spans="1:10" s="45" customFormat="1" ht="25.5">
      <c r="A296" s="584"/>
      <c r="B296" s="1411" t="s">
        <v>1492</v>
      </c>
      <c r="C296" s="1365" t="s">
        <v>1592</v>
      </c>
      <c r="D296" s="1020" t="s">
        <v>139</v>
      </c>
      <c r="E296" s="1281">
        <v>20</v>
      </c>
      <c r="F296" s="1413">
        <v>234830</v>
      </c>
      <c r="G296" s="1282">
        <f t="shared" si="37"/>
        <v>4696600</v>
      </c>
      <c r="I296" s="44"/>
      <c r="J296" s="44"/>
    </row>
    <row r="297" spans="1:10" s="45" customFormat="1">
      <c r="A297" s="584"/>
      <c r="B297" s="1411" t="s">
        <v>1591</v>
      </c>
      <c r="C297" s="1365" t="s">
        <v>1583</v>
      </c>
      <c r="D297" s="1020" t="s">
        <v>139</v>
      </c>
      <c r="E297" s="1281">
        <v>55</v>
      </c>
      <c r="F297" s="1413">
        <v>36890</v>
      </c>
      <c r="G297" s="1282">
        <f t="shared" si="37"/>
        <v>2028950</v>
      </c>
      <c r="I297" s="44"/>
      <c r="J297" s="44"/>
    </row>
    <row r="298" spans="1:10" s="45" customFormat="1">
      <c r="A298" s="584"/>
      <c r="B298" s="1414"/>
      <c r="C298" s="1365" t="s">
        <v>1054</v>
      </c>
      <c r="D298" s="1020"/>
      <c r="E298" s="1281"/>
      <c r="F298" s="1282"/>
      <c r="G298" s="1282">
        <f t="shared" si="37"/>
        <v>0</v>
      </c>
      <c r="I298" s="44"/>
      <c r="J298" s="44"/>
    </row>
    <row r="299" spans="1:10" s="45" customFormat="1">
      <c r="A299" s="584"/>
      <c r="B299" s="1411" t="s">
        <v>1055</v>
      </c>
      <c r="C299" s="1365" t="s">
        <v>522</v>
      </c>
      <c r="D299" s="1346" t="s">
        <v>142</v>
      </c>
      <c r="E299" s="1393">
        <v>3360</v>
      </c>
      <c r="F299" s="1282">
        <v>3250</v>
      </c>
      <c r="G299" s="1282">
        <f t="shared" si="37"/>
        <v>10920000</v>
      </c>
      <c r="I299" s="44"/>
      <c r="J299" s="44"/>
    </row>
    <row r="300" spans="1:10" s="45" customFormat="1">
      <c r="A300" s="584"/>
      <c r="B300" s="1411" t="s">
        <v>1056</v>
      </c>
      <c r="C300" s="1365" t="s">
        <v>1044</v>
      </c>
      <c r="D300" s="1346" t="s">
        <v>142</v>
      </c>
      <c r="E300" s="1393">
        <v>2160</v>
      </c>
      <c r="F300" s="1282">
        <v>3250</v>
      </c>
      <c r="G300" s="1282">
        <f t="shared" si="37"/>
        <v>7020000</v>
      </c>
      <c r="I300" s="44"/>
      <c r="J300" s="44"/>
    </row>
    <row r="301" spans="1:10" s="45" customFormat="1">
      <c r="A301" s="584"/>
      <c r="B301" s="1414">
        <v>9.5</v>
      </c>
      <c r="C301" s="1365" t="s">
        <v>64</v>
      </c>
      <c r="D301" s="1020"/>
      <c r="E301" s="1281"/>
      <c r="F301" s="1282"/>
      <c r="G301" s="1282">
        <f t="shared" si="37"/>
        <v>0</v>
      </c>
      <c r="I301" s="44"/>
      <c r="J301" s="44"/>
    </row>
    <row r="302" spans="1:10" s="45" customFormat="1" ht="25.5">
      <c r="A302" s="584"/>
      <c r="B302" s="1415" t="s">
        <v>1447</v>
      </c>
      <c r="C302" s="1297" t="s">
        <v>1530</v>
      </c>
      <c r="D302" s="1020"/>
      <c r="E302" s="1281"/>
      <c r="F302" s="1282"/>
      <c r="G302" s="1282"/>
      <c r="I302" s="44"/>
      <c r="J302" s="44"/>
    </row>
    <row r="303" spans="1:10" s="45" customFormat="1">
      <c r="A303" s="584"/>
      <c r="B303" s="1415" t="s">
        <v>1542</v>
      </c>
      <c r="C303" s="1297" t="s">
        <v>1531</v>
      </c>
      <c r="D303" s="1301" t="s">
        <v>483</v>
      </c>
      <c r="E303" s="1302">
        <v>15</v>
      </c>
      <c r="F303" s="1303">
        <v>26670</v>
      </c>
      <c r="G303" s="1282">
        <f>+ROUND(E303*F303,0)</f>
        <v>400050</v>
      </c>
      <c r="I303" s="44"/>
      <c r="J303" s="44"/>
    </row>
    <row r="304" spans="1:10" s="45" customFormat="1">
      <c r="A304" s="584"/>
      <c r="B304" s="1415" t="s">
        <v>1543</v>
      </c>
      <c r="C304" s="1297" t="s">
        <v>1532</v>
      </c>
      <c r="D304" s="1301" t="s">
        <v>483</v>
      </c>
      <c r="E304" s="1302">
        <f>5.1+11+11+10.6</f>
        <v>37.700000000000003</v>
      </c>
      <c r="F304" s="1303">
        <v>28610</v>
      </c>
      <c r="G304" s="1282">
        <f>+ROUND(E304*F304,0)</f>
        <v>1078597</v>
      </c>
      <c r="I304" s="44"/>
      <c r="J304" s="44"/>
    </row>
    <row r="305" spans="1:10" s="45" customFormat="1">
      <c r="A305" s="584"/>
      <c r="B305" s="1415" t="s">
        <v>1544</v>
      </c>
      <c r="C305" s="1297" t="s">
        <v>1533</v>
      </c>
      <c r="D305" s="1301" t="s">
        <v>483</v>
      </c>
      <c r="E305" s="1302">
        <f>6.2+6.2</f>
        <v>12.4</v>
      </c>
      <c r="F305" s="1303">
        <v>37320</v>
      </c>
      <c r="G305" s="1282">
        <f>+ROUND(E305*F305,0)</f>
        <v>462768</v>
      </c>
      <c r="I305" s="44"/>
      <c r="J305" s="44"/>
    </row>
    <row r="306" spans="1:10" s="45" customFormat="1">
      <c r="A306" s="584"/>
      <c r="B306" s="1415" t="s">
        <v>1545</v>
      </c>
      <c r="C306" s="1297" t="s">
        <v>1534</v>
      </c>
      <c r="D306" s="1301" t="s">
        <v>483</v>
      </c>
      <c r="E306" s="1302">
        <f>30+72+21.9+15</f>
        <v>138.9</v>
      </c>
      <c r="F306" s="1303">
        <v>52010</v>
      </c>
      <c r="G306" s="1282">
        <f>+ROUND(E306*F306,0)</f>
        <v>7224189</v>
      </c>
      <c r="I306" s="44"/>
      <c r="J306" s="44"/>
    </row>
    <row r="307" spans="1:10" s="45" customFormat="1">
      <c r="A307" s="584"/>
      <c r="B307" s="1415" t="s">
        <v>1546</v>
      </c>
      <c r="C307" s="1297" t="s">
        <v>1535</v>
      </c>
      <c r="D307" s="1301" t="s">
        <v>483</v>
      </c>
      <c r="E307" s="1302">
        <v>96</v>
      </c>
      <c r="F307" s="1303">
        <v>5100</v>
      </c>
      <c r="G307" s="1282">
        <f>+ROUND(E307*F307,0)</f>
        <v>489600</v>
      </c>
      <c r="I307" s="44"/>
      <c r="J307" s="44"/>
    </row>
    <row r="308" spans="1:10" s="45" customFormat="1">
      <c r="A308" s="584"/>
      <c r="B308" s="1415" t="s">
        <v>1448</v>
      </c>
      <c r="C308" s="1297" t="s">
        <v>1593</v>
      </c>
      <c r="D308" s="1301"/>
      <c r="E308" s="921"/>
      <c r="F308" s="921"/>
      <c r="G308" s="921"/>
      <c r="I308" s="44"/>
      <c r="J308" s="44"/>
    </row>
    <row r="309" spans="1:10" s="45" customFormat="1">
      <c r="A309" s="584"/>
      <c r="B309" s="1415" t="s">
        <v>1493</v>
      </c>
      <c r="C309" s="1297" t="s">
        <v>1536</v>
      </c>
      <c r="D309" s="1301" t="s">
        <v>483</v>
      </c>
      <c r="E309" s="1302">
        <v>13</v>
      </c>
      <c r="F309" s="1303">
        <v>28670</v>
      </c>
      <c r="G309" s="1282">
        <f>+E309*F309</f>
        <v>372710</v>
      </c>
      <c r="I309" s="44"/>
      <c r="J309" s="44"/>
    </row>
    <row r="310" spans="1:10" s="45" customFormat="1">
      <c r="A310" s="584"/>
      <c r="B310" s="1415" t="s">
        <v>1494</v>
      </c>
      <c r="C310" s="1297" t="s">
        <v>1537</v>
      </c>
      <c r="D310" s="1301" t="s">
        <v>43</v>
      </c>
      <c r="E310" s="1302">
        <v>192.5</v>
      </c>
      <c r="F310" s="1303">
        <v>26250</v>
      </c>
      <c r="G310" s="1282">
        <f t="shared" ref="G310:G314" si="38">+E310*F310</f>
        <v>5053125</v>
      </c>
      <c r="I310" s="44"/>
      <c r="J310" s="44"/>
    </row>
    <row r="311" spans="1:10" s="45" customFormat="1">
      <c r="A311" s="584"/>
      <c r="B311" s="1415" t="s">
        <v>1495</v>
      </c>
      <c r="C311" s="1297" t="s">
        <v>1538</v>
      </c>
      <c r="D311" s="1301" t="s">
        <v>1541</v>
      </c>
      <c r="E311" s="1302">
        <v>69</v>
      </c>
      <c r="F311" s="1303">
        <v>15000</v>
      </c>
      <c r="G311" s="1282">
        <f t="shared" si="38"/>
        <v>1035000</v>
      </c>
      <c r="I311" s="44"/>
      <c r="J311" s="44"/>
    </row>
    <row r="312" spans="1:10" s="45" customFormat="1">
      <c r="A312" s="584"/>
      <c r="B312" s="1415" t="s">
        <v>1496</v>
      </c>
      <c r="C312" s="1297" t="s">
        <v>1539</v>
      </c>
      <c r="D312" s="1301" t="s">
        <v>1541</v>
      </c>
      <c r="E312" s="1302">
        <v>308</v>
      </c>
      <c r="F312" s="1303">
        <v>24050</v>
      </c>
      <c r="G312" s="1282">
        <f t="shared" si="38"/>
        <v>7407400</v>
      </c>
      <c r="I312" s="44"/>
      <c r="J312" s="44"/>
    </row>
    <row r="313" spans="1:10" s="45" customFormat="1">
      <c r="A313" s="584"/>
      <c r="B313" s="1415" t="s">
        <v>1497</v>
      </c>
      <c r="C313" s="1297" t="s">
        <v>1540</v>
      </c>
      <c r="D313" s="1301" t="s">
        <v>1541</v>
      </c>
      <c r="E313" s="1302">
        <v>414</v>
      </c>
      <c r="F313" s="1303">
        <v>31970</v>
      </c>
      <c r="G313" s="1282">
        <f t="shared" si="38"/>
        <v>13235580</v>
      </c>
      <c r="I313" s="44"/>
      <c r="J313" s="44"/>
    </row>
    <row r="314" spans="1:10" s="45" customFormat="1">
      <c r="A314" s="584"/>
      <c r="B314" s="1411"/>
      <c r="C314" s="1297" t="s">
        <v>1594</v>
      </c>
      <c r="D314" s="1301" t="s">
        <v>56</v>
      </c>
      <c r="E314" s="1302">
        <v>142</v>
      </c>
      <c r="F314" s="1303">
        <v>54191</v>
      </c>
      <c r="G314" s="1282">
        <f t="shared" si="38"/>
        <v>7695122</v>
      </c>
      <c r="I314" s="1459"/>
      <c r="J314" s="44"/>
    </row>
    <row r="315" spans="1:10" s="45" customFormat="1">
      <c r="A315" s="584"/>
      <c r="B315" s="1412">
        <v>9.6</v>
      </c>
      <c r="C315" s="1297" t="s">
        <v>1446</v>
      </c>
      <c r="D315" s="1301" t="s">
        <v>500</v>
      </c>
      <c r="E315" s="1302">
        <v>57.4</v>
      </c>
      <c r="F315" s="1303">
        <v>43880</v>
      </c>
      <c r="G315" s="1303">
        <f t="shared" si="37"/>
        <v>2518712</v>
      </c>
      <c r="I315" s="44"/>
      <c r="J315" s="44"/>
    </row>
    <row r="316" spans="1:10" s="45" customFormat="1" ht="25.5">
      <c r="A316" s="584"/>
      <c r="B316" s="1411" t="s">
        <v>1072</v>
      </c>
      <c r="C316" s="1297" t="s">
        <v>1419</v>
      </c>
      <c r="D316" s="1301" t="s">
        <v>500</v>
      </c>
      <c r="E316" s="1302">
        <v>33.6</v>
      </c>
      <c r="F316" s="1303">
        <v>34480</v>
      </c>
      <c r="G316" s="1303">
        <f t="shared" si="37"/>
        <v>1158528</v>
      </c>
      <c r="I316" s="44"/>
      <c r="J316" s="44"/>
    </row>
    <row r="317" spans="1:10" s="45" customFormat="1">
      <c r="A317" s="584"/>
      <c r="B317" s="1415" t="s">
        <v>1074</v>
      </c>
      <c r="C317" s="1297" t="s">
        <v>1596</v>
      </c>
      <c r="D317" s="1301" t="s">
        <v>500</v>
      </c>
      <c r="E317" s="1302">
        <v>36</v>
      </c>
      <c r="F317" s="1303">
        <v>31990</v>
      </c>
      <c r="G317" s="1303">
        <f t="shared" si="37"/>
        <v>1151640</v>
      </c>
      <c r="I317" s="44"/>
      <c r="J317" s="44"/>
    </row>
    <row r="318" spans="1:10" s="45" customFormat="1">
      <c r="A318" s="584"/>
      <c r="B318" s="1415">
        <v>9.8000000000000007</v>
      </c>
      <c r="C318" s="1297" t="s">
        <v>1595</v>
      </c>
      <c r="D318" s="1301" t="s">
        <v>56</v>
      </c>
      <c r="E318" s="1302"/>
      <c r="F318" s="1303">
        <v>36520</v>
      </c>
      <c r="G318" s="1303">
        <f t="shared" si="37"/>
        <v>0</v>
      </c>
      <c r="I318" s="44"/>
      <c r="J318" s="44"/>
    </row>
    <row r="319" spans="1:10" s="45" customFormat="1">
      <c r="A319" s="584"/>
      <c r="B319" s="1412">
        <v>9.9</v>
      </c>
      <c r="C319" s="1297" t="s">
        <v>1060</v>
      </c>
      <c r="D319" s="1301"/>
      <c r="E319" s="1302"/>
      <c r="F319" s="1303"/>
      <c r="G319" s="1303">
        <f t="shared" si="37"/>
        <v>0</v>
      </c>
      <c r="I319" s="44"/>
      <c r="J319" s="44"/>
    </row>
    <row r="320" spans="1:10" s="45" customFormat="1" ht="25.5">
      <c r="A320" s="584"/>
      <c r="B320" s="1416" t="s">
        <v>1089</v>
      </c>
      <c r="C320" s="1297" t="s">
        <v>1061</v>
      </c>
      <c r="D320" s="1301" t="s">
        <v>56</v>
      </c>
      <c r="E320" s="1302">
        <v>36</v>
      </c>
      <c r="F320" s="1303">
        <v>17130</v>
      </c>
      <c r="G320" s="1303">
        <f t="shared" si="37"/>
        <v>616680</v>
      </c>
      <c r="I320" s="44"/>
      <c r="J320" s="44"/>
    </row>
    <row r="321" spans="1:10" s="45" customFormat="1">
      <c r="A321" s="584"/>
      <c r="B321" s="1416" t="s">
        <v>1090</v>
      </c>
      <c r="C321" s="1297" t="s">
        <v>1062</v>
      </c>
      <c r="D321" s="1301" t="s">
        <v>56</v>
      </c>
      <c r="E321" s="1302">
        <v>120</v>
      </c>
      <c r="F321" s="1303">
        <v>34392</v>
      </c>
      <c r="G321" s="1303">
        <f t="shared" si="37"/>
        <v>4127040</v>
      </c>
      <c r="I321" s="44"/>
      <c r="J321" s="44"/>
    </row>
    <row r="322" spans="1:10" s="45" customFormat="1" ht="25.5">
      <c r="A322" s="584"/>
      <c r="B322" s="1416" t="s">
        <v>1093</v>
      </c>
      <c r="C322" s="1297" t="s">
        <v>1063</v>
      </c>
      <c r="D322" s="1301" t="s">
        <v>56</v>
      </c>
      <c r="E322" s="1302">
        <v>11</v>
      </c>
      <c r="F322" s="1303">
        <v>25070</v>
      </c>
      <c r="G322" s="1303">
        <f t="shared" si="37"/>
        <v>275770</v>
      </c>
      <c r="I322" s="44"/>
      <c r="J322" s="44"/>
    </row>
    <row r="323" spans="1:10" s="45" customFormat="1" ht="25.5">
      <c r="A323" s="584"/>
      <c r="B323" s="1417" t="s">
        <v>1095</v>
      </c>
      <c r="C323" s="1297" t="s">
        <v>1597</v>
      </c>
      <c r="D323" s="1301" t="s">
        <v>56</v>
      </c>
      <c r="E323" s="1302">
        <v>59</v>
      </c>
      <c r="F323" s="1303">
        <v>40890</v>
      </c>
      <c r="G323" s="1303">
        <f t="shared" si="37"/>
        <v>2412510</v>
      </c>
      <c r="I323" s="44"/>
      <c r="J323" s="44"/>
    </row>
    <row r="324" spans="1:10" s="45" customFormat="1">
      <c r="A324" s="584"/>
      <c r="B324" s="1418">
        <v>9.11</v>
      </c>
      <c r="C324" s="1297" t="s">
        <v>1064</v>
      </c>
      <c r="D324" s="1301" t="s">
        <v>56</v>
      </c>
      <c r="E324" s="1302">
        <v>102</v>
      </c>
      <c r="F324" s="1303">
        <v>44727</v>
      </c>
      <c r="G324" s="1303">
        <f t="shared" si="37"/>
        <v>4562154</v>
      </c>
      <c r="I324" s="44"/>
      <c r="J324" s="44"/>
    </row>
    <row r="325" spans="1:10" s="45" customFormat="1">
      <c r="A325" s="584"/>
      <c r="B325" s="1418">
        <v>9.1199999999999992</v>
      </c>
      <c r="C325" s="1297" t="s">
        <v>1065</v>
      </c>
      <c r="D325" s="1301" t="s">
        <v>56</v>
      </c>
      <c r="E325" s="1302">
        <v>8</v>
      </c>
      <c r="F325" s="1303">
        <v>90513</v>
      </c>
      <c r="G325" s="1303">
        <f t="shared" si="37"/>
        <v>724104</v>
      </c>
      <c r="I325" s="44"/>
      <c r="J325" s="44"/>
    </row>
    <row r="326" spans="1:10" s="45" customFormat="1">
      <c r="A326" s="105"/>
      <c r="B326" s="1418"/>
      <c r="C326" s="1297"/>
      <c r="D326" s="1301"/>
      <c r="E326" s="1302"/>
      <c r="F326" s="1303"/>
      <c r="G326" s="1303"/>
      <c r="I326" s="44"/>
      <c r="J326" s="44"/>
    </row>
    <row r="327" spans="1:10" s="45" customFormat="1" ht="15.75" thickBot="1">
      <c r="A327" s="112" t="s">
        <v>46</v>
      </c>
      <c r="B327" s="1418">
        <v>9.1300000000000008</v>
      </c>
      <c r="C327" s="1297" t="s">
        <v>1071</v>
      </c>
      <c r="D327" s="1301"/>
      <c r="E327" s="1302"/>
      <c r="F327" s="1303"/>
      <c r="G327" s="1303">
        <f t="shared" si="37"/>
        <v>0</v>
      </c>
      <c r="I327" s="44"/>
      <c r="J327" s="44"/>
    </row>
    <row r="328" spans="1:10" s="45" customFormat="1" ht="25.5">
      <c r="A328" s="124"/>
      <c r="B328" s="1418" t="s">
        <v>1454</v>
      </c>
      <c r="C328" s="1297" t="s">
        <v>1073</v>
      </c>
      <c r="D328" s="1301" t="s">
        <v>22</v>
      </c>
      <c r="E328" s="1302">
        <v>1</v>
      </c>
      <c r="F328" s="1303">
        <v>618839</v>
      </c>
      <c r="G328" s="1303">
        <f t="shared" si="37"/>
        <v>618839</v>
      </c>
      <c r="I328" s="44"/>
      <c r="J328" s="44"/>
    </row>
    <row r="329" spans="1:10" s="156" customFormat="1" ht="25.5">
      <c r="A329" s="144" t="s">
        <v>93</v>
      </c>
      <c r="B329" s="1418" t="s">
        <v>1455</v>
      </c>
      <c r="C329" s="1297" t="s">
        <v>1078</v>
      </c>
      <c r="D329" s="1301" t="s">
        <v>56</v>
      </c>
      <c r="E329" s="1302">
        <v>22</v>
      </c>
      <c r="F329" s="1303">
        <v>138273</v>
      </c>
      <c r="G329" s="1303">
        <f t="shared" si="37"/>
        <v>3042006</v>
      </c>
      <c r="I329" s="793"/>
      <c r="J329" s="793"/>
    </row>
    <row r="330" spans="1:10" s="45" customFormat="1" ht="27" customHeight="1">
      <c r="A330" s="66"/>
      <c r="B330" s="1418" t="s">
        <v>1456</v>
      </c>
      <c r="C330" s="1297" t="s">
        <v>1080</v>
      </c>
      <c r="D330" s="1301" t="s">
        <v>500</v>
      </c>
      <c r="E330" s="1302">
        <v>9</v>
      </c>
      <c r="F330" s="1303">
        <v>144255</v>
      </c>
      <c r="G330" s="1303">
        <f t="shared" si="37"/>
        <v>1298295</v>
      </c>
      <c r="I330" s="44"/>
      <c r="J330" s="44"/>
    </row>
    <row r="331" spans="1:10" s="45" customFormat="1" ht="27" customHeight="1">
      <c r="A331" s="66"/>
      <c r="B331" s="1418" t="s">
        <v>1457</v>
      </c>
      <c r="C331" s="1297" t="s">
        <v>1469</v>
      </c>
      <c r="D331" s="1301" t="s">
        <v>22</v>
      </c>
      <c r="E331" s="1302">
        <v>1</v>
      </c>
      <c r="F331" s="1303">
        <v>856320</v>
      </c>
      <c r="G331" s="1303">
        <f t="shared" si="37"/>
        <v>856320</v>
      </c>
      <c r="I331" s="44"/>
      <c r="J331" s="44"/>
    </row>
    <row r="332" spans="1:10" s="45" customFormat="1" ht="27" customHeight="1">
      <c r="A332" s="66"/>
      <c r="B332" s="1418" t="s">
        <v>1458</v>
      </c>
      <c r="C332" s="1297" t="s">
        <v>1470</v>
      </c>
      <c r="D332" s="1301" t="s">
        <v>139</v>
      </c>
      <c r="E332" s="1302">
        <v>0.7</v>
      </c>
      <c r="F332" s="1303">
        <v>670050</v>
      </c>
      <c r="G332" s="1303">
        <f t="shared" si="37"/>
        <v>469034.99999999994</v>
      </c>
      <c r="I332" s="44"/>
      <c r="J332" s="44"/>
    </row>
    <row r="333" spans="1:10" s="45" customFormat="1" ht="27" customHeight="1">
      <c r="A333" s="66"/>
      <c r="B333" s="1418" t="s">
        <v>1458</v>
      </c>
      <c r="C333" s="1297" t="s">
        <v>1081</v>
      </c>
      <c r="D333" s="1301" t="s">
        <v>22</v>
      </c>
      <c r="E333" s="1302">
        <v>4</v>
      </c>
      <c r="F333" s="1303">
        <v>273344</v>
      </c>
      <c r="G333" s="1303">
        <f t="shared" si="37"/>
        <v>1093376</v>
      </c>
      <c r="I333" s="44"/>
      <c r="J333" s="44"/>
    </row>
    <row r="334" spans="1:10" s="45" customFormat="1" ht="27" customHeight="1">
      <c r="A334" s="66"/>
      <c r="B334" s="1418">
        <v>9.14</v>
      </c>
      <c r="C334" s="1297" t="s">
        <v>1083</v>
      </c>
      <c r="D334" s="1301"/>
      <c r="E334" s="1302"/>
      <c r="F334" s="1303"/>
      <c r="G334" s="1303">
        <f t="shared" si="37"/>
        <v>0</v>
      </c>
      <c r="I334" s="44"/>
      <c r="J334" s="44"/>
    </row>
    <row r="335" spans="1:10" s="45" customFormat="1" ht="27" customHeight="1">
      <c r="A335" s="66"/>
      <c r="B335" s="1418" t="s">
        <v>1459</v>
      </c>
      <c r="C335" s="1297" t="s">
        <v>1084</v>
      </c>
      <c r="D335" s="1301" t="s">
        <v>22</v>
      </c>
      <c r="E335" s="1302">
        <v>7</v>
      </c>
      <c r="F335" s="1303">
        <v>431569</v>
      </c>
      <c r="G335" s="1303">
        <f t="shared" si="37"/>
        <v>3020983</v>
      </c>
      <c r="I335" s="44"/>
      <c r="J335" s="44"/>
    </row>
    <row r="336" spans="1:10" s="45" customFormat="1" ht="27" customHeight="1">
      <c r="A336" s="66"/>
      <c r="B336" s="1418">
        <v>9.15</v>
      </c>
      <c r="C336" s="1297" t="s">
        <v>1085</v>
      </c>
      <c r="D336" s="1301"/>
      <c r="E336" s="1302"/>
      <c r="F336" s="1303"/>
      <c r="G336" s="1303">
        <f t="shared" si="37"/>
        <v>0</v>
      </c>
      <c r="I336" s="44"/>
      <c r="J336" s="44"/>
    </row>
    <row r="337" spans="1:10" s="45" customFormat="1" ht="27" customHeight="1">
      <c r="A337" s="66"/>
      <c r="B337" s="1418" t="s">
        <v>1460</v>
      </c>
      <c r="C337" s="1297" t="s">
        <v>1086</v>
      </c>
      <c r="D337" s="1301" t="s">
        <v>56</v>
      </c>
      <c r="E337" s="1302"/>
      <c r="F337" s="1303">
        <v>5550</v>
      </c>
      <c r="G337" s="1303">
        <f t="shared" si="37"/>
        <v>0</v>
      </c>
      <c r="I337" s="44"/>
      <c r="J337" s="44"/>
    </row>
    <row r="338" spans="1:10" s="45" customFormat="1" ht="27" customHeight="1">
      <c r="A338" s="66"/>
      <c r="B338" s="1418" t="s">
        <v>1461</v>
      </c>
      <c r="C338" s="1297" t="s">
        <v>1087</v>
      </c>
      <c r="D338" s="1301" t="s">
        <v>56</v>
      </c>
      <c r="E338" s="1302">
        <v>464</v>
      </c>
      <c r="F338" s="1303">
        <v>10638</v>
      </c>
      <c r="G338" s="1303">
        <f t="shared" si="37"/>
        <v>4936032</v>
      </c>
      <c r="I338" s="44"/>
      <c r="J338" s="44"/>
    </row>
    <row r="339" spans="1:10" s="45" customFormat="1">
      <c r="A339" s="169" t="s">
        <v>97</v>
      </c>
      <c r="B339" s="1418">
        <v>9.16</v>
      </c>
      <c r="C339" s="1297" t="s">
        <v>1092</v>
      </c>
      <c r="D339" s="1301"/>
      <c r="E339" s="1302"/>
      <c r="F339" s="1303"/>
      <c r="G339" s="1303">
        <f t="shared" ref="G339:G345" si="39">+E339*F339</f>
        <v>0</v>
      </c>
      <c r="I339" s="44"/>
      <c r="J339" s="44"/>
    </row>
    <row r="340" spans="1:10" s="45" customFormat="1" ht="25.5">
      <c r="A340" s="169" t="s">
        <v>99</v>
      </c>
      <c r="B340" s="1418" t="s">
        <v>1468</v>
      </c>
      <c r="C340" s="1297" t="s">
        <v>1094</v>
      </c>
      <c r="D340" s="1301" t="s">
        <v>56</v>
      </c>
      <c r="E340" s="1302"/>
      <c r="F340" s="1303">
        <v>61850</v>
      </c>
      <c r="G340" s="1303">
        <f t="shared" si="39"/>
        <v>0</v>
      </c>
      <c r="I340" s="44"/>
      <c r="J340" s="44"/>
    </row>
    <row r="341" spans="1:10" s="45" customFormat="1">
      <c r="A341" s="185" t="s">
        <v>101</v>
      </c>
      <c r="B341" s="1418" t="s">
        <v>1463</v>
      </c>
      <c r="C341" s="1297" t="s">
        <v>1112</v>
      </c>
      <c r="D341" s="1301" t="s">
        <v>56</v>
      </c>
      <c r="E341" s="1302">
        <f>93+20</f>
        <v>113</v>
      </c>
      <c r="F341" s="1303">
        <v>38048</v>
      </c>
      <c r="G341" s="1303">
        <f t="shared" si="39"/>
        <v>4299424</v>
      </c>
      <c r="I341" s="44"/>
      <c r="J341" s="44"/>
    </row>
    <row r="342" spans="1:10" s="45" customFormat="1">
      <c r="A342" s="185"/>
      <c r="B342" s="1418" t="s">
        <v>1464</v>
      </c>
      <c r="C342" s="1297" t="s">
        <v>984</v>
      </c>
      <c r="D342" s="1368" t="s">
        <v>139</v>
      </c>
      <c r="E342" s="1376">
        <f>+E341*0.2</f>
        <v>22.6</v>
      </c>
      <c r="F342" s="1399">
        <v>63050</v>
      </c>
      <c r="G342" s="1303">
        <f t="shared" si="39"/>
        <v>1424930</v>
      </c>
      <c r="I342" s="44"/>
      <c r="J342" s="44"/>
    </row>
    <row r="343" spans="1:10" s="45" customFormat="1" ht="18.75" customHeight="1">
      <c r="A343" s="185" t="s">
        <v>103</v>
      </c>
      <c r="B343" s="1418" t="s">
        <v>1465</v>
      </c>
      <c r="C343" s="1297" t="s">
        <v>1097</v>
      </c>
      <c r="D343" s="1301" t="s">
        <v>56</v>
      </c>
      <c r="E343" s="1419">
        <v>140.46672720579602</v>
      </c>
      <c r="F343" s="1303">
        <v>7620</v>
      </c>
      <c r="G343" s="1303">
        <f t="shared" si="39"/>
        <v>1070356.4613081657</v>
      </c>
      <c r="I343" s="44">
        <v>7620</v>
      </c>
      <c r="J343" s="44"/>
    </row>
    <row r="344" spans="1:10" s="45" customFormat="1">
      <c r="A344" s="185"/>
      <c r="B344" s="1420" t="s">
        <v>1466</v>
      </c>
      <c r="C344" s="1365" t="s">
        <v>1109</v>
      </c>
      <c r="D344" s="1020"/>
      <c r="E344" s="1281"/>
      <c r="F344" s="1282"/>
      <c r="G344" s="1282">
        <f t="shared" si="39"/>
        <v>0</v>
      </c>
      <c r="I344" s="44"/>
      <c r="J344" s="44"/>
    </row>
    <row r="345" spans="1:10" s="45" customFormat="1" ht="51">
      <c r="A345" s="185"/>
      <c r="B345" s="1420" t="s">
        <v>1467</v>
      </c>
      <c r="C345" s="1421" t="s">
        <v>1111</v>
      </c>
      <c r="D345" s="1020" t="s">
        <v>22</v>
      </c>
      <c r="E345" s="1281">
        <v>1</v>
      </c>
      <c r="F345" s="1282">
        <f>2739900*1.3</f>
        <v>3561870</v>
      </c>
      <c r="G345" s="1282">
        <f t="shared" si="39"/>
        <v>3561870</v>
      </c>
      <c r="I345" s="44"/>
      <c r="J345" s="44"/>
    </row>
    <row r="346" spans="1:10" s="45" customFormat="1" ht="15.75" customHeight="1" thickBot="1">
      <c r="A346" s="185"/>
      <c r="B346" s="1406"/>
      <c r="C346" s="1407"/>
      <c r="D346" s="1408"/>
      <c r="E346" s="1409"/>
      <c r="F346" s="1032" t="s">
        <v>1098</v>
      </c>
      <c r="G346" s="1410">
        <f>SUM(G286:G345)</f>
        <v>154246160.46130815</v>
      </c>
      <c r="I346" s="44"/>
      <c r="J346" s="44"/>
    </row>
    <row r="347" spans="1:10" s="45" customFormat="1" ht="15.75" thickBot="1">
      <c r="A347" s="185"/>
      <c r="B347" s="884"/>
      <c r="C347" s="887"/>
      <c r="D347" s="827"/>
      <c r="E347" s="594"/>
      <c r="F347" s="575"/>
      <c r="G347" s="792">
        <f t="shared" ref="G347" si="40">+E347*F347</f>
        <v>0</v>
      </c>
      <c r="I347" s="44"/>
      <c r="J347" s="44"/>
    </row>
    <row r="348" spans="1:10" s="45" customFormat="1">
      <c r="A348" s="185"/>
      <c r="B348" s="1422"/>
      <c r="C348" s="1403" t="s">
        <v>1136</v>
      </c>
      <c r="D348" s="1404"/>
      <c r="E348" s="1404"/>
      <c r="F348" s="1404"/>
      <c r="G348" s="1405"/>
      <c r="I348" s="44"/>
      <c r="J348" s="44"/>
    </row>
    <row r="349" spans="1:10" s="45" customFormat="1">
      <c r="A349" s="185"/>
      <c r="B349" s="1420"/>
      <c r="C349" s="1424" t="s">
        <v>1137</v>
      </c>
      <c r="D349" s="1425"/>
      <c r="E349" s="1425"/>
      <c r="F349" s="1425"/>
      <c r="G349" s="1426"/>
      <c r="I349" s="44"/>
      <c r="J349" s="44"/>
    </row>
    <row r="350" spans="1:10" s="45" customFormat="1">
      <c r="A350" s="185"/>
      <c r="B350" s="1420"/>
      <c r="C350" s="1183" t="s">
        <v>1115</v>
      </c>
      <c r="D350" s="914" t="s">
        <v>1138</v>
      </c>
      <c r="E350" s="930">
        <v>4</v>
      </c>
      <c r="F350" s="915">
        <v>664280</v>
      </c>
      <c r="G350" s="1282">
        <f t="shared" ref="G350:G413" si="41">+E350*F350</f>
        <v>2657120</v>
      </c>
      <c r="I350" s="44"/>
      <c r="J350" s="44"/>
    </row>
    <row r="351" spans="1:10" s="45" customFormat="1" ht="30">
      <c r="A351" s="185"/>
      <c r="B351" s="1420"/>
      <c r="C351" s="907" t="s">
        <v>1116</v>
      </c>
      <c r="D351" s="912" t="s">
        <v>1138</v>
      </c>
      <c r="E351" s="931">
        <v>8</v>
      </c>
      <c r="F351" s="922">
        <v>250000</v>
      </c>
      <c r="G351" s="1282">
        <f t="shared" si="41"/>
        <v>2000000</v>
      </c>
      <c r="I351" s="44"/>
      <c r="J351" s="44"/>
    </row>
    <row r="352" spans="1:10" s="45" customFormat="1" ht="30">
      <c r="A352" s="185"/>
      <c r="B352" s="1420"/>
      <c r="C352" s="907" t="s">
        <v>1117</v>
      </c>
      <c r="D352" s="912" t="s">
        <v>1138</v>
      </c>
      <c r="E352" s="931">
        <v>8</v>
      </c>
      <c r="F352" s="922">
        <v>45000</v>
      </c>
      <c r="G352" s="1282">
        <f t="shared" si="41"/>
        <v>360000</v>
      </c>
      <c r="I352" s="44"/>
      <c r="J352" s="44"/>
    </row>
    <row r="353" spans="1:10" s="45" customFormat="1" ht="30">
      <c r="A353" s="185"/>
      <c r="B353" s="1020" t="s">
        <v>1145</v>
      </c>
      <c r="C353" s="907" t="s">
        <v>1118</v>
      </c>
      <c r="D353" s="912" t="s">
        <v>1138</v>
      </c>
      <c r="E353" s="931">
        <v>4</v>
      </c>
      <c r="F353" s="922">
        <v>40000</v>
      </c>
      <c r="G353" s="1282">
        <f t="shared" si="41"/>
        <v>160000</v>
      </c>
      <c r="I353" s="44"/>
      <c r="J353" s="44"/>
    </row>
    <row r="354" spans="1:10" s="45" customFormat="1">
      <c r="A354" s="185"/>
      <c r="B354" s="1020" t="s">
        <v>1146</v>
      </c>
      <c r="C354" s="907" t="s">
        <v>1119</v>
      </c>
      <c r="D354" s="912" t="s">
        <v>1138</v>
      </c>
      <c r="E354" s="931">
        <v>4</v>
      </c>
      <c r="F354" s="922">
        <v>8000</v>
      </c>
      <c r="G354" s="1282">
        <f t="shared" si="41"/>
        <v>32000</v>
      </c>
      <c r="I354" s="44"/>
      <c r="J354" s="44"/>
    </row>
    <row r="355" spans="1:10" s="45" customFormat="1">
      <c r="A355" s="185"/>
      <c r="B355" s="1020" t="s">
        <v>1147</v>
      </c>
      <c r="C355" s="908" t="s">
        <v>1120</v>
      </c>
      <c r="D355" s="912" t="s">
        <v>1138</v>
      </c>
      <c r="E355" s="931">
        <v>28</v>
      </c>
      <c r="F355" s="922">
        <v>500</v>
      </c>
      <c r="G355" s="1282">
        <f t="shared" si="41"/>
        <v>14000</v>
      </c>
      <c r="I355" s="44"/>
      <c r="J355" s="44"/>
    </row>
    <row r="356" spans="1:10" s="45" customFormat="1">
      <c r="A356" s="185"/>
      <c r="B356" s="1020" t="s">
        <v>1148</v>
      </c>
      <c r="C356" s="908" t="s">
        <v>1121</v>
      </c>
      <c r="D356" s="912" t="s">
        <v>1138</v>
      </c>
      <c r="E356" s="931">
        <v>16</v>
      </c>
      <c r="F356" s="922">
        <v>2000</v>
      </c>
      <c r="G356" s="1282">
        <f t="shared" si="41"/>
        <v>32000</v>
      </c>
      <c r="I356" s="44"/>
      <c r="J356" s="44"/>
    </row>
    <row r="357" spans="1:10" s="45" customFormat="1" ht="30">
      <c r="A357" s="185"/>
      <c r="B357" s="1020" t="s">
        <v>1149</v>
      </c>
      <c r="C357" s="908" t="s">
        <v>1122</v>
      </c>
      <c r="D357" s="912" t="s">
        <v>1138</v>
      </c>
      <c r="E357" s="931">
        <v>6</v>
      </c>
      <c r="F357" s="922">
        <v>4800</v>
      </c>
      <c r="G357" s="1282">
        <f t="shared" si="41"/>
        <v>28800</v>
      </c>
      <c r="I357" s="44"/>
      <c r="J357" s="44"/>
    </row>
    <row r="358" spans="1:10" s="45" customFormat="1">
      <c r="A358" s="185"/>
      <c r="B358" s="1020" t="s">
        <v>1150</v>
      </c>
      <c r="C358" s="908" t="s">
        <v>1123</v>
      </c>
      <c r="D358" s="912" t="s">
        <v>1138</v>
      </c>
      <c r="E358" s="931">
        <v>5</v>
      </c>
      <c r="F358" s="922">
        <v>15000</v>
      </c>
      <c r="G358" s="1282">
        <f t="shared" si="41"/>
        <v>75000</v>
      </c>
      <c r="I358" s="44"/>
      <c r="J358" s="44"/>
    </row>
    <row r="359" spans="1:10" s="45" customFormat="1" ht="30">
      <c r="A359" s="185"/>
      <c r="B359" s="1020" t="s">
        <v>1151</v>
      </c>
      <c r="C359" s="908" t="s">
        <v>1124</v>
      </c>
      <c r="D359" s="912" t="s">
        <v>1138</v>
      </c>
      <c r="E359" s="931">
        <v>5</v>
      </c>
      <c r="F359" s="922">
        <v>1000</v>
      </c>
      <c r="G359" s="1282">
        <f t="shared" si="41"/>
        <v>5000</v>
      </c>
      <c r="I359" s="44"/>
      <c r="J359" s="44"/>
    </row>
    <row r="360" spans="1:10" s="45" customFormat="1">
      <c r="A360" s="185"/>
      <c r="B360" s="1020" t="s">
        <v>1152</v>
      </c>
      <c r="C360" s="907" t="s">
        <v>1125</v>
      </c>
      <c r="D360" s="912" t="s">
        <v>1138</v>
      </c>
      <c r="E360" s="931">
        <v>10</v>
      </c>
      <c r="F360" s="922">
        <v>20000</v>
      </c>
      <c r="G360" s="1282">
        <f t="shared" si="41"/>
        <v>200000</v>
      </c>
      <c r="I360" s="44"/>
      <c r="J360" s="44"/>
    </row>
    <row r="361" spans="1:10" s="45" customFormat="1">
      <c r="A361" s="185"/>
      <c r="B361" s="1020" t="s">
        <v>1153</v>
      </c>
      <c r="C361" s="907" t="s">
        <v>1126</v>
      </c>
      <c r="D361" s="912" t="s">
        <v>1138</v>
      </c>
      <c r="E361" s="931">
        <v>4</v>
      </c>
      <c r="F361" s="922">
        <v>25000</v>
      </c>
      <c r="G361" s="1282">
        <f t="shared" si="41"/>
        <v>100000</v>
      </c>
      <c r="I361" s="44"/>
      <c r="J361" s="44"/>
    </row>
    <row r="362" spans="1:10" s="45" customFormat="1">
      <c r="A362" s="185"/>
      <c r="B362" s="1020" t="s">
        <v>1154</v>
      </c>
      <c r="C362" s="907" t="s">
        <v>1127</v>
      </c>
      <c r="D362" s="912" t="s">
        <v>1138</v>
      </c>
      <c r="E362" s="931">
        <v>4</v>
      </c>
      <c r="F362" s="922">
        <v>17780</v>
      </c>
      <c r="G362" s="1282">
        <f t="shared" si="41"/>
        <v>71120</v>
      </c>
      <c r="I362" s="44"/>
      <c r="J362" s="44"/>
    </row>
    <row r="363" spans="1:10" s="45" customFormat="1">
      <c r="A363" s="185"/>
      <c r="B363" s="1020" t="s">
        <v>1155</v>
      </c>
      <c r="C363" s="1184" t="s">
        <v>1128</v>
      </c>
      <c r="D363" s="1185" t="s">
        <v>1139</v>
      </c>
      <c r="E363" s="1186">
        <v>605</v>
      </c>
      <c r="F363" s="1187">
        <v>2643</v>
      </c>
      <c r="G363" s="1282">
        <f t="shared" si="41"/>
        <v>1599015</v>
      </c>
      <c r="I363" s="44"/>
      <c r="J363" s="44"/>
    </row>
    <row r="364" spans="1:10" s="45" customFormat="1">
      <c r="A364" s="185"/>
      <c r="B364" s="1020" t="s">
        <v>1156</v>
      </c>
      <c r="C364" s="1184" t="s">
        <v>1129</v>
      </c>
      <c r="D364" s="1185" t="s">
        <v>1138</v>
      </c>
      <c r="E364" s="1186">
        <v>3</v>
      </c>
      <c r="F364" s="1187">
        <v>17000</v>
      </c>
      <c r="G364" s="1282">
        <f t="shared" si="41"/>
        <v>51000</v>
      </c>
      <c r="I364" s="44"/>
      <c r="J364" s="44"/>
    </row>
    <row r="365" spans="1:10" s="45" customFormat="1" ht="30">
      <c r="A365" s="185"/>
      <c r="B365" s="1020" t="s">
        <v>1157</v>
      </c>
      <c r="C365" s="907" t="s">
        <v>1130</v>
      </c>
      <c r="D365" s="912" t="s">
        <v>1138</v>
      </c>
      <c r="E365" s="931">
        <v>12</v>
      </c>
      <c r="F365" s="922">
        <v>14500</v>
      </c>
      <c r="G365" s="1282">
        <f t="shared" si="41"/>
        <v>174000</v>
      </c>
      <c r="I365" s="44"/>
      <c r="J365" s="44"/>
    </row>
    <row r="366" spans="1:10" s="45" customFormat="1" ht="30">
      <c r="A366" s="185"/>
      <c r="B366" s="1020" t="s">
        <v>1158</v>
      </c>
      <c r="C366" s="907" t="s">
        <v>1131</v>
      </c>
      <c r="D366" s="912" t="s">
        <v>1138</v>
      </c>
      <c r="E366" s="931">
        <v>3</v>
      </c>
      <c r="F366" s="922">
        <v>2000</v>
      </c>
      <c r="G366" s="1282">
        <f t="shared" si="41"/>
        <v>6000</v>
      </c>
      <c r="I366" s="44"/>
      <c r="J366" s="44"/>
    </row>
    <row r="367" spans="1:10" s="45" customFormat="1">
      <c r="A367" s="185"/>
      <c r="B367" s="1020" t="s">
        <v>1159</v>
      </c>
      <c r="C367" s="907" t="s">
        <v>1132</v>
      </c>
      <c r="D367" s="912" t="s">
        <v>1140</v>
      </c>
      <c r="E367" s="931">
        <v>5</v>
      </c>
      <c r="F367" s="922">
        <v>4500</v>
      </c>
      <c r="G367" s="1282">
        <f t="shared" si="41"/>
        <v>22500</v>
      </c>
      <c r="I367" s="44"/>
      <c r="J367" s="44"/>
    </row>
    <row r="368" spans="1:10" s="45" customFormat="1">
      <c r="A368" s="185"/>
      <c r="B368" s="1020" t="s">
        <v>1160</v>
      </c>
      <c r="C368" s="907" t="s">
        <v>1133</v>
      </c>
      <c r="D368" s="912" t="s">
        <v>1138</v>
      </c>
      <c r="E368" s="931">
        <v>3</v>
      </c>
      <c r="F368" s="922">
        <v>35000</v>
      </c>
      <c r="G368" s="1282">
        <f t="shared" si="41"/>
        <v>105000</v>
      </c>
      <c r="I368" s="44"/>
      <c r="J368" s="44"/>
    </row>
    <row r="369" spans="1:10" s="45" customFormat="1">
      <c r="A369" s="185"/>
      <c r="B369" s="1020" t="s">
        <v>1161</v>
      </c>
      <c r="C369" s="907" t="s">
        <v>1134</v>
      </c>
      <c r="D369" s="912" t="s">
        <v>1138</v>
      </c>
      <c r="E369" s="931">
        <v>3</v>
      </c>
      <c r="F369" s="922">
        <v>20000</v>
      </c>
      <c r="G369" s="1282">
        <f t="shared" si="41"/>
        <v>60000</v>
      </c>
      <c r="I369" s="44"/>
      <c r="J369" s="44"/>
    </row>
    <row r="370" spans="1:10" s="45" customFormat="1" ht="30">
      <c r="A370" s="185"/>
      <c r="B370" s="1020" t="s">
        <v>1162</v>
      </c>
      <c r="C370" s="907" t="s">
        <v>1135</v>
      </c>
      <c r="D370" s="912" t="s">
        <v>1141</v>
      </c>
      <c r="E370" s="931">
        <v>45</v>
      </c>
      <c r="F370" s="922">
        <v>4833</v>
      </c>
      <c r="G370" s="1282">
        <f t="shared" si="41"/>
        <v>217485</v>
      </c>
      <c r="I370" s="44"/>
      <c r="J370" s="44"/>
    </row>
    <row r="371" spans="1:10" s="45" customFormat="1">
      <c r="A371" s="185"/>
      <c r="B371" s="1020">
        <v>10.199999999999999</v>
      </c>
      <c r="C371" s="907" t="s">
        <v>1178</v>
      </c>
      <c r="D371" s="1020"/>
      <c r="E371" s="1281"/>
      <c r="F371" s="1282"/>
      <c r="G371" s="1282">
        <f t="shared" si="41"/>
        <v>0</v>
      </c>
      <c r="I371" s="44"/>
      <c r="J371" s="44"/>
    </row>
    <row r="372" spans="1:10" s="45" customFormat="1" ht="30">
      <c r="A372" s="185"/>
      <c r="B372" s="1020" t="s">
        <v>1179</v>
      </c>
      <c r="C372" s="907" t="s">
        <v>1163</v>
      </c>
      <c r="D372" s="912" t="s">
        <v>1207</v>
      </c>
      <c r="E372" s="921">
        <v>1</v>
      </c>
      <c r="F372" s="922">
        <v>160000</v>
      </c>
      <c r="G372" s="1282">
        <f t="shared" si="41"/>
        <v>160000</v>
      </c>
      <c r="I372" s="44"/>
      <c r="J372" s="44"/>
    </row>
    <row r="373" spans="1:10" s="45" customFormat="1" ht="30">
      <c r="A373" s="185"/>
      <c r="B373" s="1020" t="s">
        <v>1180</v>
      </c>
      <c r="C373" s="907" t="s">
        <v>1164</v>
      </c>
      <c r="D373" s="912" t="s">
        <v>1207</v>
      </c>
      <c r="E373" s="921">
        <v>2</v>
      </c>
      <c r="F373" s="922">
        <v>115000</v>
      </c>
      <c r="G373" s="1282">
        <f t="shared" si="41"/>
        <v>230000</v>
      </c>
      <c r="I373" s="44"/>
      <c r="J373" s="44"/>
    </row>
    <row r="374" spans="1:10" s="45" customFormat="1">
      <c r="A374" s="185"/>
      <c r="B374" s="1020" t="s">
        <v>1181</v>
      </c>
      <c r="C374" s="907" t="s">
        <v>1165</v>
      </c>
      <c r="D374" s="912" t="s">
        <v>1207</v>
      </c>
      <c r="E374" s="921">
        <v>2</v>
      </c>
      <c r="F374" s="922">
        <v>213620</v>
      </c>
      <c r="G374" s="1282">
        <f t="shared" si="41"/>
        <v>427240</v>
      </c>
      <c r="I374" s="44"/>
      <c r="J374" s="44"/>
    </row>
    <row r="375" spans="1:10" s="45" customFormat="1">
      <c r="A375" s="185"/>
      <c r="B375" s="1020" t="s">
        <v>1182</v>
      </c>
      <c r="C375" s="907" t="s">
        <v>1166</v>
      </c>
      <c r="D375" s="912" t="s">
        <v>1207</v>
      </c>
      <c r="E375" s="921">
        <v>2</v>
      </c>
      <c r="F375" s="922">
        <v>15200</v>
      </c>
      <c r="G375" s="1282">
        <f t="shared" si="41"/>
        <v>30400</v>
      </c>
      <c r="I375" s="44"/>
      <c r="J375" s="44"/>
    </row>
    <row r="376" spans="1:10" s="45" customFormat="1">
      <c r="A376" s="185"/>
      <c r="B376" s="1020" t="s">
        <v>1183</v>
      </c>
      <c r="C376" s="907" t="s">
        <v>1167</v>
      </c>
      <c r="D376" s="912" t="s">
        <v>1207</v>
      </c>
      <c r="E376" s="921">
        <v>2</v>
      </c>
      <c r="F376" s="922">
        <v>16500</v>
      </c>
      <c r="G376" s="1282">
        <f t="shared" si="41"/>
        <v>33000</v>
      </c>
      <c r="I376" s="44"/>
      <c r="J376" s="44"/>
    </row>
    <row r="377" spans="1:10" s="45" customFormat="1">
      <c r="A377" s="185"/>
      <c r="B377" s="1020" t="s">
        <v>1184</v>
      </c>
      <c r="C377" s="907" t="s">
        <v>1168</v>
      </c>
      <c r="D377" s="912" t="s">
        <v>1207</v>
      </c>
      <c r="E377" s="921">
        <v>2</v>
      </c>
      <c r="F377" s="922">
        <v>22000</v>
      </c>
      <c r="G377" s="1282">
        <f t="shared" si="41"/>
        <v>44000</v>
      </c>
      <c r="I377" s="44"/>
      <c r="J377" s="44"/>
    </row>
    <row r="378" spans="1:10" s="45" customFormat="1">
      <c r="A378" s="185"/>
      <c r="B378" s="1020" t="s">
        <v>1185</v>
      </c>
      <c r="C378" s="907" t="s">
        <v>1169</v>
      </c>
      <c r="D378" s="912" t="s">
        <v>1207</v>
      </c>
      <c r="E378" s="921">
        <v>5</v>
      </c>
      <c r="F378" s="922">
        <v>500</v>
      </c>
      <c r="G378" s="1282">
        <f t="shared" si="41"/>
        <v>2500</v>
      </c>
      <c r="I378" s="44"/>
      <c r="J378" s="44"/>
    </row>
    <row r="379" spans="1:10" s="45" customFormat="1">
      <c r="A379" s="185"/>
      <c r="B379" s="1020" t="s">
        <v>1186</v>
      </c>
      <c r="C379" s="907" t="s">
        <v>1170</v>
      </c>
      <c r="D379" s="912" t="s">
        <v>1207</v>
      </c>
      <c r="E379" s="921">
        <v>2</v>
      </c>
      <c r="F379" s="922">
        <v>2500</v>
      </c>
      <c r="G379" s="1282">
        <f t="shared" si="41"/>
        <v>5000</v>
      </c>
      <c r="I379" s="44"/>
      <c r="J379" s="44"/>
    </row>
    <row r="380" spans="1:10" s="45" customFormat="1">
      <c r="A380" s="185"/>
      <c r="B380" s="1020" t="s">
        <v>1187</v>
      </c>
      <c r="C380" s="907" t="s">
        <v>1171</v>
      </c>
      <c r="D380" s="912" t="s">
        <v>1208</v>
      </c>
      <c r="E380" s="921">
        <v>5</v>
      </c>
      <c r="F380" s="922">
        <v>6000</v>
      </c>
      <c r="G380" s="1282">
        <f t="shared" si="41"/>
        <v>30000</v>
      </c>
      <c r="I380" s="44"/>
      <c r="J380" s="44"/>
    </row>
    <row r="381" spans="1:10" s="45" customFormat="1">
      <c r="A381" s="185"/>
      <c r="B381" s="1020" t="s">
        <v>1188</v>
      </c>
      <c r="C381" s="907" t="s">
        <v>1172</v>
      </c>
      <c r="D381" s="912" t="s">
        <v>1207</v>
      </c>
      <c r="E381" s="921">
        <v>2</v>
      </c>
      <c r="F381" s="922">
        <v>2000</v>
      </c>
      <c r="G381" s="1282">
        <f t="shared" si="41"/>
        <v>4000</v>
      </c>
      <c r="I381" s="44"/>
      <c r="J381" s="44"/>
    </row>
    <row r="382" spans="1:10" s="45" customFormat="1">
      <c r="A382" s="185"/>
      <c r="B382" s="1020" t="s">
        <v>1189</v>
      </c>
      <c r="C382" s="907" t="s">
        <v>1173</v>
      </c>
      <c r="D382" s="912" t="s">
        <v>1207</v>
      </c>
      <c r="E382" s="921">
        <v>2</v>
      </c>
      <c r="F382" s="922">
        <v>15000</v>
      </c>
      <c r="G382" s="1282">
        <f t="shared" si="41"/>
        <v>30000</v>
      </c>
      <c r="I382" s="44"/>
      <c r="J382" s="44"/>
    </row>
    <row r="383" spans="1:10" s="45" customFormat="1">
      <c r="A383" s="185"/>
      <c r="B383" s="1020" t="s">
        <v>1190</v>
      </c>
      <c r="C383" s="907" t="s">
        <v>1174</v>
      </c>
      <c r="D383" s="912" t="s">
        <v>1207</v>
      </c>
      <c r="E383" s="921">
        <v>2</v>
      </c>
      <c r="F383" s="922">
        <v>17780</v>
      </c>
      <c r="G383" s="1282">
        <f t="shared" si="41"/>
        <v>35560</v>
      </c>
      <c r="I383" s="44"/>
      <c r="J383" s="44"/>
    </row>
    <row r="384" spans="1:10" s="45" customFormat="1">
      <c r="A384" s="185"/>
      <c r="B384" s="1020" t="s">
        <v>1191</v>
      </c>
      <c r="C384" s="907" t="s">
        <v>1175</v>
      </c>
      <c r="D384" s="912" t="s">
        <v>1208</v>
      </c>
      <c r="E384" s="921">
        <v>8</v>
      </c>
      <c r="F384" s="922">
        <v>2400</v>
      </c>
      <c r="G384" s="1282">
        <f t="shared" si="41"/>
        <v>19200</v>
      </c>
      <c r="I384" s="44"/>
      <c r="J384" s="44"/>
    </row>
    <row r="385" spans="1:10" s="45" customFormat="1">
      <c r="A385" s="185"/>
      <c r="B385" s="1020" t="s">
        <v>1192</v>
      </c>
      <c r="C385" s="907" t="s">
        <v>1176</v>
      </c>
      <c r="D385" s="912" t="s">
        <v>1207</v>
      </c>
      <c r="E385" s="921">
        <v>2</v>
      </c>
      <c r="F385" s="922">
        <v>19500</v>
      </c>
      <c r="G385" s="1282">
        <f t="shared" si="41"/>
        <v>39000</v>
      </c>
      <c r="I385" s="44"/>
      <c r="J385" s="44"/>
    </row>
    <row r="386" spans="1:10" s="45" customFormat="1" ht="30">
      <c r="A386" s="185"/>
      <c r="B386" s="1020" t="s">
        <v>1193</v>
      </c>
      <c r="C386" s="907" t="s">
        <v>1177</v>
      </c>
      <c r="D386" s="912" t="s">
        <v>1207</v>
      </c>
      <c r="E386" s="921">
        <v>1</v>
      </c>
      <c r="F386" s="922">
        <v>3841910</v>
      </c>
      <c r="G386" s="1282">
        <f t="shared" si="41"/>
        <v>3841910</v>
      </c>
      <c r="I386" s="44"/>
      <c r="J386" s="44"/>
    </row>
    <row r="387" spans="1:10" s="45" customFormat="1" ht="30">
      <c r="A387" s="185"/>
      <c r="B387" s="1020">
        <v>10.3</v>
      </c>
      <c r="C387" s="907" t="s">
        <v>1194</v>
      </c>
      <c r="D387" s="1020"/>
      <c r="E387" s="1281"/>
      <c r="F387" s="1282"/>
      <c r="G387" s="1282">
        <f t="shared" si="41"/>
        <v>0</v>
      </c>
      <c r="I387" s="44"/>
      <c r="J387" s="44"/>
    </row>
    <row r="388" spans="1:10" s="45" customFormat="1">
      <c r="A388" s="185"/>
      <c r="B388" s="1020" t="s">
        <v>1201</v>
      </c>
      <c r="C388" s="907" t="s">
        <v>1195</v>
      </c>
      <c r="D388" s="912" t="s">
        <v>1208</v>
      </c>
      <c r="E388" s="921">
        <v>12</v>
      </c>
      <c r="F388" s="922">
        <v>4500</v>
      </c>
      <c r="G388" s="1282">
        <f t="shared" si="41"/>
        <v>54000</v>
      </c>
      <c r="I388" s="44"/>
      <c r="J388" s="44"/>
    </row>
    <row r="389" spans="1:10" s="45" customFormat="1">
      <c r="A389" s="185"/>
      <c r="B389" s="1020" t="s">
        <v>1202</v>
      </c>
      <c r="C389" s="907" t="s">
        <v>1196</v>
      </c>
      <c r="D389" s="912" t="s">
        <v>1207</v>
      </c>
      <c r="E389" s="921">
        <v>3</v>
      </c>
      <c r="F389" s="922">
        <v>1000</v>
      </c>
      <c r="G389" s="1282">
        <f t="shared" si="41"/>
        <v>3000</v>
      </c>
      <c r="I389" s="44"/>
      <c r="J389" s="44"/>
    </row>
    <row r="390" spans="1:10" s="45" customFormat="1">
      <c r="A390" s="185"/>
      <c r="B390" s="1020" t="s">
        <v>1203</v>
      </c>
      <c r="C390" s="907" t="s">
        <v>1197</v>
      </c>
      <c r="D390" s="912" t="s">
        <v>1208</v>
      </c>
      <c r="E390" s="921">
        <v>5</v>
      </c>
      <c r="F390" s="922">
        <v>5000</v>
      </c>
      <c r="G390" s="1282">
        <f t="shared" si="41"/>
        <v>25000</v>
      </c>
      <c r="I390" s="44"/>
      <c r="J390" s="44"/>
    </row>
    <row r="391" spans="1:10" s="45" customFormat="1">
      <c r="A391" s="185"/>
      <c r="B391" s="1020" t="s">
        <v>1204</v>
      </c>
      <c r="C391" s="907" t="s">
        <v>1198</v>
      </c>
      <c r="D391" s="912" t="s">
        <v>1207</v>
      </c>
      <c r="E391" s="921">
        <v>1</v>
      </c>
      <c r="F391" s="922">
        <v>60000</v>
      </c>
      <c r="G391" s="1282">
        <f t="shared" si="41"/>
        <v>60000</v>
      </c>
      <c r="I391" s="44"/>
      <c r="J391" s="44"/>
    </row>
    <row r="392" spans="1:10" s="45" customFormat="1">
      <c r="A392" s="185"/>
      <c r="B392" s="1020" t="s">
        <v>1205</v>
      </c>
      <c r="C392" s="907" t="s">
        <v>1199</v>
      </c>
      <c r="D392" s="912" t="s">
        <v>1207</v>
      </c>
      <c r="E392" s="921">
        <v>1</v>
      </c>
      <c r="F392" s="922">
        <v>20000</v>
      </c>
      <c r="G392" s="1282">
        <f t="shared" si="41"/>
        <v>20000</v>
      </c>
      <c r="I392" s="44"/>
      <c r="J392" s="44"/>
    </row>
    <row r="393" spans="1:10" s="45" customFormat="1">
      <c r="A393" s="185"/>
      <c r="B393" s="1020" t="s">
        <v>1206</v>
      </c>
      <c r="C393" s="907" t="s">
        <v>1200</v>
      </c>
      <c r="D393" s="912" t="s">
        <v>1207</v>
      </c>
      <c r="E393" s="921">
        <v>1</v>
      </c>
      <c r="F393" s="922">
        <v>20000</v>
      </c>
      <c r="G393" s="1282">
        <f t="shared" si="41"/>
        <v>20000</v>
      </c>
      <c r="I393" s="44"/>
      <c r="J393" s="44"/>
    </row>
    <row r="394" spans="1:10" s="45" customFormat="1" ht="31.5">
      <c r="A394" s="185"/>
      <c r="B394" s="1020">
        <v>10.4</v>
      </c>
      <c r="C394" s="1283" t="s">
        <v>1209</v>
      </c>
      <c r="D394" s="1020"/>
      <c r="E394" s="1281"/>
      <c r="F394" s="1282"/>
      <c r="G394" s="1282">
        <f t="shared" si="41"/>
        <v>0</v>
      </c>
      <c r="I394" s="44"/>
      <c r="J394" s="44"/>
    </row>
    <row r="395" spans="1:10" s="45" customFormat="1">
      <c r="A395" s="185"/>
      <c r="B395" s="1020" t="s">
        <v>1210</v>
      </c>
      <c r="C395" s="943" t="s">
        <v>1238</v>
      </c>
      <c r="D395" s="925" t="s">
        <v>525</v>
      </c>
      <c r="E395" s="932">
        <v>30</v>
      </c>
      <c r="F395" s="926">
        <v>8211</v>
      </c>
      <c r="G395" s="1282">
        <f t="shared" si="41"/>
        <v>246330</v>
      </c>
      <c r="I395" s="44"/>
      <c r="J395" s="44"/>
    </row>
    <row r="396" spans="1:10" s="45" customFormat="1">
      <c r="A396" s="185"/>
      <c r="B396" s="1020" t="s">
        <v>1211</v>
      </c>
      <c r="C396" s="1034" t="s">
        <v>1239</v>
      </c>
      <c r="D396" s="928" t="s">
        <v>525</v>
      </c>
      <c r="E396" s="933">
        <v>600</v>
      </c>
      <c r="F396" s="929">
        <v>3141</v>
      </c>
      <c r="G396" s="1282">
        <f t="shared" si="41"/>
        <v>1884600</v>
      </c>
      <c r="I396" s="44"/>
      <c r="J396" s="44"/>
    </row>
    <row r="397" spans="1:10" s="45" customFormat="1">
      <c r="A397" s="185"/>
      <c r="B397" s="1020" t="s">
        <v>1212</v>
      </c>
      <c r="C397" s="943" t="s">
        <v>1240</v>
      </c>
      <c r="D397" s="925" t="s">
        <v>525</v>
      </c>
      <c r="E397" s="932">
        <v>50</v>
      </c>
      <c r="F397" s="926">
        <v>5146.92</v>
      </c>
      <c r="G397" s="1282">
        <f t="shared" si="41"/>
        <v>257346</v>
      </c>
      <c r="I397" s="44"/>
      <c r="J397" s="44"/>
    </row>
    <row r="398" spans="1:10" s="45" customFormat="1">
      <c r="A398" s="185"/>
      <c r="B398" s="1020" t="s">
        <v>1213</v>
      </c>
      <c r="C398" s="943" t="s">
        <v>1241</v>
      </c>
      <c r="D398" s="925" t="s">
        <v>1242</v>
      </c>
      <c r="E398" s="932">
        <v>2</v>
      </c>
      <c r="F398" s="926">
        <v>6500</v>
      </c>
      <c r="G398" s="1282">
        <f t="shared" si="41"/>
        <v>13000</v>
      </c>
      <c r="I398" s="44"/>
      <c r="J398" s="44"/>
    </row>
    <row r="399" spans="1:10" s="45" customFormat="1">
      <c r="A399" s="185"/>
      <c r="B399" s="1020" t="s">
        <v>1214</v>
      </c>
      <c r="C399" s="943" t="s">
        <v>1243</v>
      </c>
      <c r="D399" s="925" t="s">
        <v>1242</v>
      </c>
      <c r="E399" s="932">
        <v>3</v>
      </c>
      <c r="F399" s="926">
        <v>3500</v>
      </c>
      <c r="G399" s="1282">
        <f t="shared" si="41"/>
        <v>10500</v>
      </c>
      <c r="I399" s="44"/>
      <c r="J399" s="44"/>
    </row>
    <row r="400" spans="1:10" s="45" customFormat="1">
      <c r="A400" s="185"/>
      <c r="B400" s="1020" t="s">
        <v>1215</v>
      </c>
      <c r="C400" s="943" t="s">
        <v>1244</v>
      </c>
      <c r="D400" s="925" t="s">
        <v>1242</v>
      </c>
      <c r="E400" s="932">
        <v>20</v>
      </c>
      <c r="F400" s="926">
        <v>5000</v>
      </c>
      <c r="G400" s="1282">
        <f t="shared" si="41"/>
        <v>100000</v>
      </c>
      <c r="I400" s="44"/>
      <c r="J400" s="44"/>
    </row>
    <row r="401" spans="1:10" s="45" customFormat="1">
      <c r="A401" s="185"/>
      <c r="B401" s="1020" t="s">
        <v>1216</v>
      </c>
      <c r="C401" s="943" t="s">
        <v>1245</v>
      </c>
      <c r="D401" s="925" t="s">
        <v>1242</v>
      </c>
      <c r="E401" s="932">
        <v>3</v>
      </c>
      <c r="F401" s="926">
        <v>1500</v>
      </c>
      <c r="G401" s="1282">
        <f t="shared" si="41"/>
        <v>4500</v>
      </c>
      <c r="I401" s="44"/>
      <c r="J401" s="44"/>
    </row>
    <row r="402" spans="1:10" s="45" customFormat="1">
      <c r="A402" s="185"/>
      <c r="B402" s="1020" t="s">
        <v>1217</v>
      </c>
      <c r="C402" s="943" t="s">
        <v>1246</v>
      </c>
      <c r="D402" s="925" t="s">
        <v>1242</v>
      </c>
      <c r="E402" s="932">
        <v>20</v>
      </c>
      <c r="F402" s="926">
        <v>6500</v>
      </c>
      <c r="G402" s="1282">
        <f t="shared" si="41"/>
        <v>130000</v>
      </c>
      <c r="I402" s="44"/>
      <c r="J402" s="44"/>
    </row>
    <row r="403" spans="1:10" s="45" customFormat="1">
      <c r="A403" s="185"/>
      <c r="B403" s="1020" t="s">
        <v>1218</v>
      </c>
      <c r="C403" s="943" t="s">
        <v>1247</v>
      </c>
      <c r="D403" s="925" t="s">
        <v>1242</v>
      </c>
      <c r="E403" s="932">
        <v>120</v>
      </c>
      <c r="F403" s="926">
        <v>3500</v>
      </c>
      <c r="G403" s="1282">
        <f t="shared" si="41"/>
        <v>420000</v>
      </c>
      <c r="I403" s="44"/>
      <c r="J403" s="44"/>
    </row>
    <row r="404" spans="1:10" s="45" customFormat="1">
      <c r="A404" s="185"/>
      <c r="B404" s="1020" t="s">
        <v>1219</v>
      </c>
      <c r="C404" s="943" t="s">
        <v>1248</v>
      </c>
      <c r="D404" s="925" t="s">
        <v>1242</v>
      </c>
      <c r="E404" s="932">
        <v>60</v>
      </c>
      <c r="F404" s="926">
        <v>6000</v>
      </c>
      <c r="G404" s="1282">
        <f t="shared" si="41"/>
        <v>360000</v>
      </c>
      <c r="I404" s="44"/>
      <c r="J404" s="44"/>
    </row>
    <row r="405" spans="1:10" s="45" customFormat="1">
      <c r="A405" s="185"/>
      <c r="B405" s="1020" t="s">
        <v>1220</v>
      </c>
      <c r="C405" s="943" t="s">
        <v>1249</v>
      </c>
      <c r="D405" s="925" t="s">
        <v>1242</v>
      </c>
      <c r="E405" s="932">
        <v>70</v>
      </c>
      <c r="F405" s="926">
        <v>5300</v>
      </c>
      <c r="G405" s="1282">
        <f t="shared" si="41"/>
        <v>371000</v>
      </c>
      <c r="I405" s="44"/>
      <c r="J405" s="44"/>
    </row>
    <row r="406" spans="1:10" s="45" customFormat="1">
      <c r="A406" s="185"/>
      <c r="B406" s="1020" t="s">
        <v>1221</v>
      </c>
      <c r="C406" s="943" t="s">
        <v>1250</v>
      </c>
      <c r="D406" s="925" t="s">
        <v>1242</v>
      </c>
      <c r="E406" s="932">
        <v>12</v>
      </c>
      <c r="F406" s="926">
        <v>101966</v>
      </c>
      <c r="G406" s="1282">
        <f t="shared" si="41"/>
        <v>1223592</v>
      </c>
      <c r="I406" s="44"/>
      <c r="J406" s="44"/>
    </row>
    <row r="407" spans="1:10" s="45" customFormat="1">
      <c r="A407" s="185"/>
      <c r="B407" s="1020" t="s">
        <v>1222</v>
      </c>
      <c r="C407" s="943" t="s">
        <v>1251</v>
      </c>
      <c r="D407" s="925" t="s">
        <v>1242</v>
      </c>
      <c r="E407" s="932">
        <v>32</v>
      </c>
      <c r="F407" s="926">
        <v>12000</v>
      </c>
      <c r="G407" s="1282">
        <f t="shared" si="41"/>
        <v>384000</v>
      </c>
      <c r="I407" s="44"/>
      <c r="J407" s="44"/>
    </row>
    <row r="408" spans="1:10" s="45" customFormat="1">
      <c r="A408" s="185"/>
      <c r="B408" s="1020" t="s">
        <v>1223</v>
      </c>
      <c r="C408" s="943" t="s">
        <v>1252</v>
      </c>
      <c r="D408" s="925" t="s">
        <v>1242</v>
      </c>
      <c r="E408" s="932">
        <v>6</v>
      </c>
      <c r="F408" s="926">
        <v>512220</v>
      </c>
      <c r="G408" s="1282">
        <f t="shared" si="41"/>
        <v>3073320</v>
      </c>
      <c r="I408" s="44"/>
      <c r="J408" s="44"/>
    </row>
    <row r="409" spans="1:10" s="45" customFormat="1" ht="30">
      <c r="A409" s="185"/>
      <c r="B409" s="1020" t="s">
        <v>1224</v>
      </c>
      <c r="C409" s="943" t="s">
        <v>1253</v>
      </c>
      <c r="D409" s="925" t="s">
        <v>1242</v>
      </c>
      <c r="E409" s="932">
        <v>5</v>
      </c>
      <c r="F409" s="926">
        <v>493080</v>
      </c>
      <c r="G409" s="1282">
        <f t="shared" si="41"/>
        <v>2465400</v>
      </c>
      <c r="I409" s="44"/>
      <c r="J409" s="44"/>
    </row>
    <row r="410" spans="1:10" s="45" customFormat="1">
      <c r="A410" s="185"/>
      <c r="B410" s="1020" t="s">
        <v>1225</v>
      </c>
      <c r="C410" s="943" t="s">
        <v>1254</v>
      </c>
      <c r="D410" s="925" t="s">
        <v>1242</v>
      </c>
      <c r="E410" s="932">
        <v>21</v>
      </c>
      <c r="F410" s="926">
        <v>5000</v>
      </c>
      <c r="G410" s="1282">
        <f t="shared" si="41"/>
        <v>105000</v>
      </c>
      <c r="I410" s="44"/>
      <c r="J410" s="44"/>
    </row>
    <row r="411" spans="1:10" s="45" customFormat="1">
      <c r="A411" s="185"/>
      <c r="B411" s="1020" t="s">
        <v>1226</v>
      </c>
      <c r="C411" s="943" t="s">
        <v>1255</v>
      </c>
      <c r="D411" s="925" t="s">
        <v>1242</v>
      </c>
      <c r="E411" s="932">
        <v>8</v>
      </c>
      <c r="F411" s="926">
        <v>44780</v>
      </c>
      <c r="G411" s="1282">
        <f t="shared" si="41"/>
        <v>358240</v>
      </c>
      <c r="I411" s="44"/>
      <c r="J411" s="44"/>
    </row>
    <row r="412" spans="1:10" s="45" customFormat="1">
      <c r="A412" s="185"/>
      <c r="B412" s="1020" t="s">
        <v>1227</v>
      </c>
      <c r="C412" s="943" t="s">
        <v>1256</v>
      </c>
      <c r="D412" s="925" t="s">
        <v>1242</v>
      </c>
      <c r="E412" s="932">
        <v>9</v>
      </c>
      <c r="F412" s="926">
        <v>13050</v>
      </c>
      <c r="G412" s="1282">
        <f t="shared" si="41"/>
        <v>117450</v>
      </c>
      <c r="I412" s="44"/>
      <c r="J412" s="44"/>
    </row>
    <row r="413" spans="1:10" s="45" customFormat="1">
      <c r="A413" s="185"/>
      <c r="B413" s="1020" t="s">
        <v>1228</v>
      </c>
      <c r="C413" s="943" t="s">
        <v>1257</v>
      </c>
      <c r="D413" s="925" t="s">
        <v>1242</v>
      </c>
      <c r="E413" s="932">
        <v>7</v>
      </c>
      <c r="F413" s="926">
        <v>10590</v>
      </c>
      <c r="G413" s="1282">
        <f t="shared" si="41"/>
        <v>74130</v>
      </c>
      <c r="I413" s="44"/>
      <c r="J413" s="44"/>
    </row>
    <row r="414" spans="1:10" s="45" customFormat="1">
      <c r="A414" s="185"/>
      <c r="B414" s="1020" t="s">
        <v>1229</v>
      </c>
      <c r="C414" s="943" t="s">
        <v>1258</v>
      </c>
      <c r="D414" s="925" t="s">
        <v>1242</v>
      </c>
      <c r="E414" s="932">
        <v>45</v>
      </c>
      <c r="F414" s="926">
        <v>4500</v>
      </c>
      <c r="G414" s="1282">
        <f t="shared" ref="G414:G422" si="42">+E414*F414</f>
        <v>202500</v>
      </c>
      <c r="I414" s="44"/>
      <c r="J414" s="44"/>
    </row>
    <row r="415" spans="1:10" s="45" customFormat="1">
      <c r="A415" s="185"/>
      <c r="B415" s="1020" t="s">
        <v>1230</v>
      </c>
      <c r="C415" s="943" t="s">
        <v>1259</v>
      </c>
      <c r="D415" s="925" t="s">
        <v>1242</v>
      </c>
      <c r="E415" s="932">
        <v>44</v>
      </c>
      <c r="F415" s="926">
        <v>4500</v>
      </c>
      <c r="G415" s="1282">
        <f t="shared" si="42"/>
        <v>198000</v>
      </c>
      <c r="I415" s="44"/>
      <c r="J415" s="44"/>
    </row>
    <row r="416" spans="1:10" s="45" customFormat="1" ht="30">
      <c r="A416" s="185"/>
      <c r="B416" s="1020" t="s">
        <v>1231</v>
      </c>
      <c r="C416" s="942" t="s">
        <v>1260</v>
      </c>
      <c r="D416" s="925" t="s">
        <v>1242</v>
      </c>
      <c r="E416" s="932">
        <v>1</v>
      </c>
      <c r="F416" s="926">
        <v>484080</v>
      </c>
      <c r="G416" s="1282">
        <f t="shared" si="42"/>
        <v>484080</v>
      </c>
      <c r="I416" s="44"/>
      <c r="J416" s="44"/>
    </row>
    <row r="417" spans="1:10" s="45" customFormat="1">
      <c r="A417" s="185"/>
      <c r="B417" s="1020" t="s">
        <v>1232</v>
      </c>
      <c r="C417" s="943" t="s">
        <v>1261</v>
      </c>
      <c r="D417" s="925" t="s">
        <v>1242</v>
      </c>
      <c r="E417" s="932">
        <v>4</v>
      </c>
      <c r="F417" s="926">
        <v>142980</v>
      </c>
      <c r="G417" s="1282">
        <f t="shared" si="42"/>
        <v>571920</v>
      </c>
      <c r="I417" s="44"/>
      <c r="J417" s="44"/>
    </row>
    <row r="418" spans="1:10" s="45" customFormat="1">
      <c r="A418" s="185"/>
      <c r="B418" s="1020" t="s">
        <v>1233</v>
      </c>
      <c r="C418" s="943" t="s">
        <v>1262</v>
      </c>
      <c r="D418" s="925" t="s">
        <v>1242</v>
      </c>
      <c r="E418" s="932">
        <v>1</v>
      </c>
      <c r="F418" s="926">
        <v>111060</v>
      </c>
      <c r="G418" s="1282">
        <f t="shared" si="42"/>
        <v>111060</v>
      </c>
      <c r="I418" s="44"/>
      <c r="J418" s="44"/>
    </row>
    <row r="419" spans="1:10" s="45" customFormat="1" ht="30">
      <c r="A419" s="185"/>
      <c r="B419" s="1020" t="s">
        <v>1234</v>
      </c>
      <c r="C419" s="943" t="s">
        <v>1263</v>
      </c>
      <c r="D419" s="925" t="s">
        <v>1242</v>
      </c>
      <c r="E419" s="932">
        <v>1</v>
      </c>
      <c r="F419" s="926">
        <v>307080</v>
      </c>
      <c r="G419" s="1282">
        <f t="shared" si="42"/>
        <v>307080</v>
      </c>
      <c r="I419" s="44"/>
      <c r="J419" s="44"/>
    </row>
    <row r="420" spans="1:10" s="45" customFormat="1">
      <c r="A420" s="185"/>
      <c r="B420" s="1020" t="s">
        <v>1235</v>
      </c>
      <c r="C420" s="943" t="s">
        <v>1264</v>
      </c>
      <c r="D420" s="925" t="s">
        <v>1242</v>
      </c>
      <c r="E420" s="932">
        <v>1</v>
      </c>
      <c r="F420" s="926">
        <v>61330</v>
      </c>
      <c r="G420" s="1282">
        <f t="shared" si="42"/>
        <v>61330</v>
      </c>
      <c r="I420" s="44"/>
      <c r="J420" s="44"/>
    </row>
    <row r="421" spans="1:10" s="45" customFormat="1">
      <c r="A421" s="185"/>
      <c r="B421" s="1020" t="s">
        <v>1236</v>
      </c>
      <c r="C421" s="943" t="s">
        <v>1265</v>
      </c>
      <c r="D421" s="925" t="s">
        <v>1242</v>
      </c>
      <c r="E421" s="932">
        <v>5</v>
      </c>
      <c r="F421" s="926">
        <v>108520</v>
      </c>
      <c r="G421" s="1282">
        <f t="shared" si="42"/>
        <v>542600</v>
      </c>
      <c r="I421" s="44"/>
      <c r="J421" s="44"/>
    </row>
    <row r="422" spans="1:10" s="45" customFormat="1">
      <c r="A422" s="185"/>
      <c r="B422" s="1020" t="s">
        <v>1237</v>
      </c>
      <c r="C422" s="943" t="s">
        <v>1266</v>
      </c>
      <c r="D422" s="925" t="s">
        <v>1242</v>
      </c>
      <c r="E422" s="932">
        <v>1</v>
      </c>
      <c r="F422" s="926">
        <v>877460</v>
      </c>
      <c r="G422" s="1282">
        <f t="shared" si="42"/>
        <v>877460</v>
      </c>
      <c r="I422" s="44"/>
      <c r="J422" s="44"/>
    </row>
    <row r="423" spans="1:10" s="45" customFormat="1">
      <c r="A423" s="185"/>
      <c r="B423" s="104"/>
      <c r="C423" s="1280"/>
      <c r="D423" s="104"/>
      <c r="E423" s="103"/>
      <c r="F423" s="587"/>
      <c r="G423" s="1423"/>
      <c r="I423" s="44"/>
      <c r="J423" s="44"/>
    </row>
    <row r="424" spans="1:10" s="45" customFormat="1" ht="15.75" thickBot="1">
      <c r="A424" s="185"/>
      <c r="B424" s="1025"/>
      <c r="C424" s="871"/>
      <c r="D424" s="873"/>
      <c r="E424" s="874"/>
      <c r="F424" s="1287" t="s">
        <v>1268</v>
      </c>
      <c r="G424" s="1004">
        <f>SUM(G350:G423)</f>
        <v>28038288</v>
      </c>
      <c r="I424" s="44"/>
      <c r="J424" s="44"/>
    </row>
    <row r="425" spans="1:10" s="45" customFormat="1" ht="16.5" hidden="1" customHeight="1" thickBot="1">
      <c r="A425" s="185"/>
      <c r="B425" s="827"/>
      <c r="C425" s="887"/>
      <c r="D425" s="827"/>
      <c r="E425" s="594"/>
      <c r="F425" s="575"/>
      <c r="G425" s="792"/>
      <c r="I425" s="44"/>
      <c r="J425" s="44"/>
    </row>
    <row r="426" spans="1:10" s="45" customFormat="1" hidden="1">
      <c r="A426" s="185"/>
      <c r="B426" s="937">
        <v>11</v>
      </c>
      <c r="C426" s="75" t="s">
        <v>1267</v>
      </c>
      <c r="D426" s="76"/>
      <c r="E426" s="76"/>
      <c r="F426" s="76"/>
      <c r="G426" s="126"/>
      <c r="I426" s="44"/>
      <c r="J426" s="44"/>
    </row>
    <row r="427" spans="1:10" s="45" customFormat="1" ht="25.5" hidden="1">
      <c r="A427" s="185"/>
      <c r="B427" s="827">
        <v>11.1</v>
      </c>
      <c r="C427" s="887" t="s">
        <v>1269</v>
      </c>
      <c r="D427" s="827" t="s">
        <v>22</v>
      </c>
      <c r="E427" s="594"/>
      <c r="F427" s="575">
        <v>19599539</v>
      </c>
      <c r="G427" s="910">
        <f t="shared" ref="G427:G432" si="43">+F427*E427</f>
        <v>0</v>
      </c>
      <c r="I427" s="44"/>
      <c r="J427" s="44"/>
    </row>
    <row r="428" spans="1:10" s="45" customFormat="1" ht="25.5" hidden="1">
      <c r="A428" s="185"/>
      <c r="B428" s="827">
        <v>11.2</v>
      </c>
      <c r="C428" s="887" t="s">
        <v>1270</v>
      </c>
      <c r="D428" s="827" t="s">
        <v>22</v>
      </c>
      <c r="E428" s="594"/>
      <c r="F428" s="575">
        <v>20250689.461308599</v>
      </c>
      <c r="G428" s="910">
        <f t="shared" si="43"/>
        <v>0</v>
      </c>
      <c r="I428" s="44"/>
      <c r="J428" s="44"/>
    </row>
    <row r="429" spans="1:10" s="45" customFormat="1" ht="25.5" hidden="1">
      <c r="A429" s="185"/>
      <c r="B429" s="827">
        <v>11.3</v>
      </c>
      <c r="C429" s="897" t="s">
        <v>1271</v>
      </c>
      <c r="D429" s="827" t="s">
        <v>22</v>
      </c>
      <c r="E429" s="594"/>
      <c r="F429" s="575">
        <v>17742200</v>
      </c>
      <c r="G429" s="910">
        <f t="shared" si="43"/>
        <v>0</v>
      </c>
      <c r="I429" s="44"/>
      <c r="J429" s="44"/>
    </row>
    <row r="430" spans="1:10" s="45" customFormat="1" ht="38.25" hidden="1">
      <c r="A430" s="185"/>
      <c r="B430" s="827">
        <v>11.4</v>
      </c>
      <c r="C430" s="887" t="s">
        <v>1272</v>
      </c>
      <c r="D430" s="827" t="s">
        <v>22</v>
      </c>
      <c r="E430" s="594"/>
      <c r="F430" s="575">
        <v>1000000</v>
      </c>
      <c r="G430" s="910">
        <f t="shared" si="43"/>
        <v>0</v>
      </c>
      <c r="I430" s="44"/>
      <c r="J430" s="44"/>
    </row>
    <row r="431" spans="1:10" s="45" customFormat="1" hidden="1">
      <c r="A431" s="185"/>
      <c r="B431" s="827">
        <v>11.5</v>
      </c>
      <c r="C431" s="887" t="s">
        <v>1273</v>
      </c>
      <c r="D431" s="827" t="s">
        <v>22</v>
      </c>
      <c r="E431" s="594"/>
      <c r="F431" s="575">
        <v>4000000</v>
      </c>
      <c r="G431" s="910">
        <f t="shared" si="43"/>
        <v>0</v>
      </c>
      <c r="I431" s="44"/>
      <c r="J431" s="44"/>
    </row>
    <row r="432" spans="1:10" s="45" customFormat="1" ht="38.25" hidden="1">
      <c r="A432" s="185"/>
      <c r="B432" s="827">
        <v>11.6</v>
      </c>
      <c r="C432" s="887" t="s">
        <v>1274</v>
      </c>
      <c r="D432" s="827" t="s">
        <v>22</v>
      </c>
      <c r="E432" s="594"/>
      <c r="F432" s="575">
        <v>704208.11077789369</v>
      </c>
      <c r="G432" s="910">
        <f t="shared" si="43"/>
        <v>0</v>
      </c>
      <c r="I432" s="44"/>
      <c r="J432" s="44"/>
    </row>
    <row r="433" spans="1:10" s="45" customFormat="1" ht="15.75" thickBot="1">
      <c r="A433" s="185"/>
      <c r="B433" s="827"/>
      <c r="C433" s="887"/>
      <c r="D433" s="827"/>
      <c r="E433" s="594"/>
      <c r="F433" s="575"/>
      <c r="G433" s="792"/>
      <c r="I433" s="44"/>
      <c r="J433" s="44"/>
    </row>
    <row r="434" spans="1:10" s="45" customFormat="1" ht="15.75" hidden="1" thickBot="1">
      <c r="A434" s="185"/>
      <c r="B434" s="1025"/>
      <c r="C434" s="871"/>
      <c r="D434" s="873"/>
      <c r="E434" s="874"/>
      <c r="F434" s="1287" t="s">
        <v>1405</v>
      </c>
      <c r="G434" s="1004">
        <f>SUM(G427:G433)</f>
        <v>0</v>
      </c>
      <c r="I434" s="44"/>
      <c r="J434" s="44"/>
    </row>
    <row r="435" spans="1:10" s="45" customFormat="1" ht="15.75" hidden="1" thickBot="1">
      <c r="A435" s="185"/>
      <c r="B435" s="827"/>
      <c r="C435" s="887"/>
      <c r="D435" s="827"/>
      <c r="E435" s="594"/>
      <c r="F435" s="575"/>
      <c r="G435" s="792"/>
      <c r="I435" s="44"/>
      <c r="J435" s="44"/>
    </row>
    <row r="436" spans="1:10" s="45" customFormat="1">
      <c r="A436" s="185"/>
      <c r="B436" s="1427">
        <v>12</v>
      </c>
      <c r="C436" s="1403" t="s">
        <v>1275</v>
      </c>
      <c r="D436" s="1404"/>
      <c r="E436" s="1404"/>
      <c r="F436" s="1404"/>
      <c r="G436" s="1405"/>
      <c r="I436" s="44"/>
      <c r="J436" s="44"/>
    </row>
    <row r="437" spans="1:10" s="45" customFormat="1">
      <c r="A437" s="185"/>
      <c r="B437" s="1020">
        <v>12.1</v>
      </c>
      <c r="C437" s="1365" t="s">
        <v>1276</v>
      </c>
      <c r="D437" s="1020" t="s">
        <v>22</v>
      </c>
      <c r="E437" s="1281">
        <v>9</v>
      </c>
      <c r="F437" s="1282">
        <v>207180</v>
      </c>
      <c r="G437" s="1022">
        <f t="shared" ref="G437:G450" si="44">+F437*E437</f>
        <v>1864620</v>
      </c>
      <c r="I437" s="44"/>
      <c r="J437" s="44"/>
    </row>
    <row r="438" spans="1:10" s="45" customFormat="1">
      <c r="A438" s="185"/>
      <c r="B438" s="1020">
        <v>12.2</v>
      </c>
      <c r="C438" s="1365" t="s">
        <v>1277</v>
      </c>
      <c r="D438" s="1020" t="s">
        <v>22</v>
      </c>
      <c r="E438" s="1281">
        <v>2</v>
      </c>
      <c r="F438" s="1282">
        <v>315000</v>
      </c>
      <c r="G438" s="1022">
        <f t="shared" si="44"/>
        <v>630000</v>
      </c>
      <c r="I438" s="44"/>
      <c r="J438" s="44"/>
    </row>
    <row r="439" spans="1:10" s="45" customFormat="1">
      <c r="A439" s="185"/>
      <c r="B439" s="1020">
        <v>12.3</v>
      </c>
      <c r="C439" s="1365" t="s">
        <v>1278</v>
      </c>
      <c r="D439" s="1020" t="s">
        <v>22</v>
      </c>
      <c r="E439" s="1281">
        <v>1</v>
      </c>
      <c r="F439" s="1282">
        <v>158050</v>
      </c>
      <c r="G439" s="1022">
        <f t="shared" si="44"/>
        <v>158050</v>
      </c>
      <c r="I439" s="44"/>
      <c r="J439" s="44"/>
    </row>
    <row r="440" spans="1:10" s="45" customFormat="1">
      <c r="A440" s="185"/>
      <c r="B440" s="1020">
        <v>12.4</v>
      </c>
      <c r="C440" s="1365" t="s">
        <v>1279</v>
      </c>
      <c r="D440" s="1020" t="s">
        <v>22</v>
      </c>
      <c r="E440" s="1281">
        <v>1</v>
      </c>
      <c r="F440" s="1282">
        <v>492140</v>
      </c>
      <c r="G440" s="1022">
        <f t="shared" si="44"/>
        <v>492140</v>
      </c>
      <c r="I440" s="44"/>
      <c r="J440" s="44"/>
    </row>
    <row r="441" spans="1:10" s="45" customFormat="1">
      <c r="A441" s="185"/>
      <c r="B441" s="1020">
        <v>12.5</v>
      </c>
      <c r="C441" s="1365" t="s">
        <v>1280</v>
      </c>
      <c r="D441" s="1020" t="s">
        <v>22</v>
      </c>
      <c r="E441" s="1281">
        <v>1</v>
      </c>
      <c r="F441" s="1282">
        <v>256670</v>
      </c>
      <c r="G441" s="1022">
        <f t="shared" si="44"/>
        <v>256670</v>
      </c>
      <c r="I441" s="44"/>
      <c r="J441" s="44"/>
    </row>
    <row r="442" spans="1:10" s="45" customFormat="1">
      <c r="A442" s="185"/>
      <c r="B442" s="1020">
        <v>12.6</v>
      </c>
      <c r="C442" s="1365" t="s">
        <v>1281</v>
      </c>
      <c r="D442" s="1020" t="s">
        <v>22</v>
      </c>
      <c r="E442" s="1281">
        <v>5</v>
      </c>
      <c r="F442" s="1282">
        <v>366520</v>
      </c>
      <c r="G442" s="1022">
        <f t="shared" si="44"/>
        <v>1832600</v>
      </c>
      <c r="I442" s="44"/>
      <c r="J442" s="44"/>
    </row>
    <row r="443" spans="1:10" s="45" customFormat="1" ht="25.5">
      <c r="A443" s="185"/>
      <c r="B443" s="1020">
        <v>12.7</v>
      </c>
      <c r="C443" s="1365" t="s">
        <v>1307</v>
      </c>
      <c r="D443" s="1020" t="s">
        <v>500</v>
      </c>
      <c r="E443" s="1281">
        <v>12</v>
      </c>
      <c r="F443" s="1282">
        <v>140420</v>
      </c>
      <c r="G443" s="1022">
        <f t="shared" si="44"/>
        <v>1685040</v>
      </c>
      <c r="I443" s="44"/>
      <c r="J443" s="44"/>
    </row>
    <row r="444" spans="1:10" s="45" customFormat="1" ht="31.5" customHeight="1">
      <c r="A444" s="185"/>
      <c r="B444" s="1301">
        <v>12.8</v>
      </c>
      <c r="C444" s="1297" t="s">
        <v>1304</v>
      </c>
      <c r="D444" s="1301" t="s">
        <v>500</v>
      </c>
      <c r="E444" s="1302">
        <f>13+55+50</f>
        <v>118</v>
      </c>
      <c r="F444" s="1303">
        <v>48740</v>
      </c>
      <c r="G444" s="1022">
        <f t="shared" si="44"/>
        <v>5751320</v>
      </c>
      <c r="I444" s="44"/>
      <c r="J444" s="44"/>
    </row>
    <row r="445" spans="1:10" s="45" customFormat="1" ht="25.5">
      <c r="A445" s="185"/>
      <c r="B445" s="1020">
        <v>12.9</v>
      </c>
      <c r="C445" s="1365" t="s">
        <v>1303</v>
      </c>
      <c r="D445" s="1020" t="s">
        <v>500</v>
      </c>
      <c r="E445" s="1281">
        <v>74</v>
      </c>
      <c r="F445" s="1282">
        <v>41820</v>
      </c>
      <c r="G445" s="1022">
        <f t="shared" si="44"/>
        <v>3094680</v>
      </c>
      <c r="I445" s="44"/>
      <c r="J445" s="44"/>
    </row>
    <row r="446" spans="1:10" s="45" customFormat="1" ht="25.5">
      <c r="A446" s="185"/>
      <c r="B446" s="1428">
        <v>12.1</v>
      </c>
      <c r="C446" s="1365" t="s">
        <v>1302</v>
      </c>
      <c r="D446" s="1020" t="s">
        <v>500</v>
      </c>
      <c r="E446" s="1281">
        <v>39</v>
      </c>
      <c r="F446" s="1282">
        <v>21516</v>
      </c>
      <c r="G446" s="1022">
        <f t="shared" si="44"/>
        <v>839124</v>
      </c>
      <c r="I446" s="44"/>
      <c r="J446" s="44"/>
    </row>
    <row r="447" spans="1:10" s="45" customFormat="1" ht="25.5">
      <c r="A447" s="185"/>
      <c r="B447" s="1020">
        <v>12.11</v>
      </c>
      <c r="C447" s="1365" t="s">
        <v>1305</v>
      </c>
      <c r="D447" s="1020" t="s">
        <v>500</v>
      </c>
      <c r="E447" s="1281">
        <v>24</v>
      </c>
      <c r="F447" s="1282">
        <v>20557</v>
      </c>
      <c r="G447" s="1022">
        <f t="shared" si="44"/>
        <v>493368</v>
      </c>
      <c r="I447" s="44"/>
      <c r="J447" s="44"/>
    </row>
    <row r="448" spans="1:10" s="45" customFormat="1" ht="25.5">
      <c r="A448" s="185"/>
      <c r="B448" s="1020">
        <v>12.12</v>
      </c>
      <c r="C448" s="1365" t="s">
        <v>1306</v>
      </c>
      <c r="D448" s="1020" t="s">
        <v>500</v>
      </c>
      <c r="E448" s="1281">
        <v>60</v>
      </c>
      <c r="F448" s="1282">
        <v>5770</v>
      </c>
      <c r="G448" s="1022">
        <f t="shared" si="44"/>
        <v>346200</v>
      </c>
      <c r="I448" s="44"/>
      <c r="J448" s="44"/>
    </row>
    <row r="449" spans="1:10" s="45" customFormat="1">
      <c r="A449" s="185"/>
      <c r="B449" s="1020">
        <v>12.13</v>
      </c>
      <c r="C449" s="1365" t="s">
        <v>1552</v>
      </c>
      <c r="D449" s="1020" t="s">
        <v>500</v>
      </c>
      <c r="E449" s="1281">
        <v>1051</v>
      </c>
      <c r="F449" s="1303">
        <v>2610</v>
      </c>
      <c r="G449" s="1022">
        <f t="shared" si="44"/>
        <v>2743110</v>
      </c>
      <c r="I449" s="44"/>
      <c r="J449" s="44"/>
    </row>
    <row r="450" spans="1:10" s="45" customFormat="1">
      <c r="A450" s="185"/>
      <c r="B450" s="1020">
        <v>12.14</v>
      </c>
      <c r="C450" s="1365" t="s">
        <v>1436</v>
      </c>
      <c r="D450" s="1020" t="s">
        <v>139</v>
      </c>
      <c r="E450" s="1281">
        <v>2</v>
      </c>
      <c r="F450" s="1282">
        <v>410360</v>
      </c>
      <c r="G450" s="1022">
        <f t="shared" si="44"/>
        <v>820720</v>
      </c>
      <c r="I450" s="44"/>
      <c r="J450" s="44"/>
    </row>
    <row r="451" spans="1:10" s="45" customFormat="1" ht="15.75" thickBot="1">
      <c r="A451" s="185"/>
      <c r="B451" s="1025"/>
      <c r="C451" s="1407"/>
      <c r="D451" s="1408"/>
      <c r="E451" s="1409"/>
      <c r="F451" s="1032" t="s">
        <v>1323</v>
      </c>
      <c r="G451" s="1410">
        <f>SUM(G447:G450)</f>
        <v>4403398</v>
      </c>
      <c r="I451" s="44"/>
      <c r="J451" s="44"/>
    </row>
    <row r="452" spans="1:10" s="45" customFormat="1" ht="15.75" thickBot="1">
      <c r="A452" s="185"/>
      <c r="B452" s="827"/>
      <c r="C452" s="887"/>
      <c r="D452" s="827"/>
      <c r="E452" s="594"/>
      <c r="F452" s="575"/>
      <c r="G452" s="910"/>
      <c r="I452" s="44"/>
      <c r="J452" s="44"/>
    </row>
    <row r="453" spans="1:10" s="45" customFormat="1">
      <c r="A453" s="185"/>
      <c r="B453" s="1427">
        <v>13</v>
      </c>
      <c r="C453" s="1403" t="s">
        <v>1412</v>
      </c>
      <c r="D453" s="1404"/>
      <c r="E453" s="1404"/>
      <c r="F453" s="1404"/>
      <c r="G453" s="1405"/>
      <c r="I453" s="44"/>
      <c r="J453" s="44"/>
    </row>
    <row r="454" spans="1:10" s="45" customFormat="1">
      <c r="A454" s="185"/>
      <c r="B454" s="1301">
        <v>13.1</v>
      </c>
      <c r="C454" s="1429" t="s">
        <v>1343</v>
      </c>
      <c r="D454" s="1425"/>
      <c r="E454" s="1425"/>
      <c r="F454" s="1425"/>
      <c r="G454" s="1426"/>
      <c r="I454" s="44"/>
      <c r="J454" s="44"/>
    </row>
    <row r="455" spans="1:10" s="45" customFormat="1">
      <c r="A455" s="185"/>
      <c r="B455" s="1366" t="s">
        <v>1344</v>
      </c>
      <c r="C455" s="1430" t="s">
        <v>1325</v>
      </c>
      <c r="D455" s="1366" t="s">
        <v>22</v>
      </c>
      <c r="E455" s="1431">
        <v>7</v>
      </c>
      <c r="F455" s="1282">
        <v>34630</v>
      </c>
      <c r="G455" s="1282">
        <f>+F455*E455</f>
        <v>242410</v>
      </c>
      <c r="I455" s="44"/>
      <c r="J455" s="44"/>
    </row>
    <row r="456" spans="1:10" s="45" customFormat="1">
      <c r="A456" s="185"/>
      <c r="B456" s="1366" t="s">
        <v>1345</v>
      </c>
      <c r="C456" s="1430" t="s">
        <v>1326</v>
      </c>
      <c r="D456" s="1366" t="s">
        <v>22</v>
      </c>
      <c r="E456" s="1431">
        <v>13</v>
      </c>
      <c r="F456" s="1282">
        <v>3130</v>
      </c>
      <c r="G456" s="1282">
        <f t="shared" ref="G456:G490" si="45">+F456*E456</f>
        <v>40690</v>
      </c>
      <c r="I456" s="44"/>
      <c r="J456" s="44"/>
    </row>
    <row r="457" spans="1:10" s="45" customFormat="1">
      <c r="A457" s="185"/>
      <c r="B457" s="1366" t="s">
        <v>1346</v>
      </c>
      <c r="C457" s="1430" t="s">
        <v>1327</v>
      </c>
      <c r="D457" s="1366" t="s">
        <v>22</v>
      </c>
      <c r="E457" s="1431">
        <v>1</v>
      </c>
      <c r="F457" s="1282">
        <v>2920</v>
      </c>
      <c r="G457" s="1282">
        <f t="shared" si="45"/>
        <v>2920</v>
      </c>
      <c r="I457" s="44"/>
      <c r="J457" s="44"/>
    </row>
    <row r="458" spans="1:10" s="45" customFormat="1">
      <c r="A458" s="185"/>
      <c r="B458" s="1366" t="s">
        <v>1347</v>
      </c>
      <c r="C458" s="1430" t="s">
        <v>1328</v>
      </c>
      <c r="D458" s="1366" t="s">
        <v>22</v>
      </c>
      <c r="E458" s="1431">
        <v>4</v>
      </c>
      <c r="F458" s="1282">
        <v>3100</v>
      </c>
      <c r="G458" s="1282">
        <f t="shared" si="45"/>
        <v>12400</v>
      </c>
      <c r="I458" s="44"/>
      <c r="J458" s="44"/>
    </row>
    <row r="459" spans="1:10" s="45" customFormat="1">
      <c r="A459" s="185"/>
      <c r="B459" s="1366" t="s">
        <v>1348</v>
      </c>
      <c r="C459" s="1430" t="s">
        <v>1329</v>
      </c>
      <c r="D459" s="1366" t="s">
        <v>22</v>
      </c>
      <c r="E459" s="1431">
        <v>1</v>
      </c>
      <c r="F459" s="1282">
        <v>3370</v>
      </c>
      <c r="G459" s="1282">
        <f t="shared" si="45"/>
        <v>3370</v>
      </c>
      <c r="I459" s="44"/>
      <c r="J459" s="44"/>
    </row>
    <row r="460" spans="1:10" s="45" customFormat="1">
      <c r="A460" s="185"/>
      <c r="B460" s="1366" t="s">
        <v>1349</v>
      </c>
      <c r="C460" s="1430" t="s">
        <v>1331</v>
      </c>
      <c r="D460" s="1366" t="s">
        <v>500</v>
      </c>
      <c r="E460" s="1431">
        <v>24</v>
      </c>
      <c r="F460" s="1282">
        <v>3870</v>
      </c>
      <c r="G460" s="1282">
        <f t="shared" si="45"/>
        <v>92880</v>
      </c>
      <c r="I460" s="44"/>
      <c r="J460" s="44"/>
    </row>
    <row r="461" spans="1:10" s="45" customFormat="1">
      <c r="A461" s="185"/>
      <c r="B461" s="1366" t="s">
        <v>1350</v>
      </c>
      <c r="C461" s="1430" t="s">
        <v>1330</v>
      </c>
      <c r="D461" s="1366" t="s">
        <v>500</v>
      </c>
      <c r="E461" s="1431">
        <v>7</v>
      </c>
      <c r="F461" s="1282">
        <v>4740</v>
      </c>
      <c r="G461" s="1282">
        <f t="shared" si="45"/>
        <v>33180</v>
      </c>
      <c r="I461" s="44"/>
      <c r="J461" s="44"/>
    </row>
    <row r="462" spans="1:10" s="45" customFormat="1">
      <c r="A462" s="185"/>
      <c r="B462" s="1366" t="s">
        <v>1351</v>
      </c>
      <c r="C462" s="1430" t="s">
        <v>1333</v>
      </c>
      <c r="D462" s="1366" t="s">
        <v>22</v>
      </c>
      <c r="E462" s="1431">
        <v>3</v>
      </c>
      <c r="F462" s="1282">
        <v>47640</v>
      </c>
      <c r="G462" s="1282">
        <f t="shared" si="45"/>
        <v>142920</v>
      </c>
      <c r="I462" s="44"/>
      <c r="J462" s="44"/>
    </row>
    <row r="463" spans="1:10" s="45" customFormat="1">
      <c r="A463" s="185"/>
      <c r="B463" s="1366" t="s">
        <v>1352</v>
      </c>
      <c r="C463" s="1430" t="s">
        <v>1332</v>
      </c>
      <c r="D463" s="1366" t="s">
        <v>22</v>
      </c>
      <c r="E463" s="1431">
        <v>3</v>
      </c>
      <c r="F463" s="1282">
        <v>33030</v>
      </c>
      <c r="G463" s="1282">
        <f t="shared" si="45"/>
        <v>99090</v>
      </c>
      <c r="I463" s="44"/>
      <c r="J463" s="44"/>
    </row>
    <row r="464" spans="1:10" s="45" customFormat="1">
      <c r="A464" s="185"/>
      <c r="B464" s="1366" t="s">
        <v>1353</v>
      </c>
      <c r="C464" s="1430" t="s">
        <v>1334</v>
      </c>
      <c r="D464" s="1366" t="s">
        <v>22</v>
      </c>
      <c r="E464" s="1431">
        <v>3</v>
      </c>
      <c r="F464" s="1282">
        <v>3250</v>
      </c>
      <c r="G464" s="1282">
        <f t="shared" si="45"/>
        <v>9750</v>
      </c>
      <c r="I464" s="44"/>
      <c r="J464" s="44"/>
    </row>
    <row r="465" spans="1:10" s="45" customFormat="1">
      <c r="A465" s="185"/>
      <c r="B465" s="1432">
        <v>13.2</v>
      </c>
      <c r="C465" s="1433" t="s">
        <v>1335</v>
      </c>
      <c r="D465" s="1432"/>
      <c r="E465" s="1434"/>
      <c r="F465" s="1435"/>
      <c r="G465" s="1436"/>
      <c r="I465" s="44"/>
      <c r="J465" s="44"/>
    </row>
    <row r="466" spans="1:10" s="45" customFormat="1">
      <c r="A466" s="185"/>
      <c r="B466" s="1020" t="s">
        <v>1354</v>
      </c>
      <c r="C466" s="1365" t="s">
        <v>1336</v>
      </c>
      <c r="D466" s="1020" t="s">
        <v>1337</v>
      </c>
      <c r="E466" s="1281">
        <v>1</v>
      </c>
      <c r="F466" s="1437">
        <v>38073</v>
      </c>
      <c r="G466" s="1282">
        <f t="shared" si="45"/>
        <v>38073</v>
      </c>
      <c r="I466" s="44"/>
      <c r="J466" s="44"/>
    </row>
    <row r="467" spans="1:10" s="45" customFormat="1">
      <c r="A467" s="185"/>
      <c r="B467" s="1020" t="s">
        <v>1355</v>
      </c>
      <c r="C467" s="1365" t="s">
        <v>1339</v>
      </c>
      <c r="D467" s="1020" t="s">
        <v>1337</v>
      </c>
      <c r="E467" s="1281">
        <v>2</v>
      </c>
      <c r="F467" s="1437">
        <v>119840</v>
      </c>
      <c r="G467" s="1282">
        <f t="shared" si="45"/>
        <v>239680</v>
      </c>
      <c r="I467" s="44"/>
      <c r="J467" s="44"/>
    </row>
    <row r="468" spans="1:10" s="45" customFormat="1">
      <c r="A468" s="185"/>
      <c r="B468" s="1020" t="s">
        <v>1356</v>
      </c>
      <c r="C468" s="1365" t="s">
        <v>1340</v>
      </c>
      <c r="D468" s="1020" t="s">
        <v>1337</v>
      </c>
      <c r="E468" s="1281">
        <v>5</v>
      </c>
      <c r="F468" s="1437">
        <v>34234</v>
      </c>
      <c r="G468" s="1282">
        <f t="shared" si="45"/>
        <v>171170</v>
      </c>
      <c r="I468" s="44"/>
      <c r="J468" s="44"/>
    </row>
    <row r="469" spans="1:10" s="45" customFormat="1">
      <c r="A469" s="185"/>
      <c r="B469" s="1020" t="s">
        <v>1357</v>
      </c>
      <c r="C469" s="1365" t="s">
        <v>1341</v>
      </c>
      <c r="D469" s="1020" t="s">
        <v>1337</v>
      </c>
      <c r="E469" s="1281">
        <v>3</v>
      </c>
      <c r="F469" s="1282">
        <v>158604</v>
      </c>
      <c r="G469" s="1282">
        <f t="shared" si="45"/>
        <v>475812</v>
      </c>
      <c r="I469" s="44"/>
      <c r="J469" s="44"/>
    </row>
    <row r="470" spans="1:10" s="45" customFormat="1">
      <c r="A470" s="185"/>
      <c r="B470" s="1020" t="s">
        <v>1358</v>
      </c>
      <c r="C470" s="1365" t="s">
        <v>1338</v>
      </c>
      <c r="D470" s="1020" t="s">
        <v>22</v>
      </c>
      <c r="E470" s="1281">
        <v>1</v>
      </c>
      <c r="F470" s="1282">
        <v>208740</v>
      </c>
      <c r="G470" s="1282">
        <f t="shared" si="45"/>
        <v>208740</v>
      </c>
      <c r="I470" s="44"/>
      <c r="J470" s="44"/>
    </row>
    <row r="471" spans="1:10" s="45" customFormat="1">
      <c r="A471" s="185"/>
      <c r="B471" s="1432">
        <v>13.3</v>
      </c>
      <c r="C471" s="1433" t="s">
        <v>1342</v>
      </c>
      <c r="D471" s="1432"/>
      <c r="E471" s="1434"/>
      <c r="F471" s="1435"/>
      <c r="G471" s="1436"/>
      <c r="I471" s="44"/>
      <c r="J471" s="44"/>
    </row>
    <row r="472" spans="1:10" s="45" customFormat="1">
      <c r="A472" s="185"/>
      <c r="B472" s="1020" t="s">
        <v>1361</v>
      </c>
      <c r="C472" s="1365" t="s">
        <v>1359</v>
      </c>
      <c r="D472" s="1020" t="s">
        <v>22</v>
      </c>
      <c r="E472" s="1281">
        <v>3</v>
      </c>
      <c r="F472" s="1282">
        <v>29260</v>
      </c>
      <c r="G472" s="1282">
        <f t="shared" si="45"/>
        <v>87780</v>
      </c>
      <c r="I472" s="44"/>
      <c r="J472" s="44"/>
    </row>
    <row r="473" spans="1:10" s="45" customFormat="1">
      <c r="A473" s="185"/>
      <c r="B473" s="1020" t="s">
        <v>1373</v>
      </c>
      <c r="C473" s="1365" t="s">
        <v>1360</v>
      </c>
      <c r="D473" s="1020" t="s">
        <v>22</v>
      </c>
      <c r="E473" s="1281">
        <v>3</v>
      </c>
      <c r="F473" s="1282">
        <v>39530</v>
      </c>
      <c r="G473" s="1282">
        <f t="shared" si="45"/>
        <v>118590</v>
      </c>
      <c r="I473" s="44"/>
      <c r="J473" s="44"/>
    </row>
    <row r="474" spans="1:10" s="45" customFormat="1">
      <c r="A474" s="185"/>
      <c r="B474" s="1020" t="s">
        <v>1374</v>
      </c>
      <c r="C474" s="1365" t="s">
        <v>1362</v>
      </c>
      <c r="D474" s="1020" t="s">
        <v>22</v>
      </c>
      <c r="E474" s="1281">
        <v>3</v>
      </c>
      <c r="F474" s="1282">
        <v>66930</v>
      </c>
      <c r="G474" s="1282">
        <f t="shared" si="45"/>
        <v>200790</v>
      </c>
      <c r="I474" s="44"/>
      <c r="J474" s="44"/>
    </row>
    <row r="475" spans="1:10" s="45" customFormat="1">
      <c r="A475" s="185"/>
      <c r="B475" s="1432">
        <v>13.4</v>
      </c>
      <c r="C475" s="1438" t="s">
        <v>1363</v>
      </c>
      <c r="D475" s="1432"/>
      <c r="E475" s="1434"/>
      <c r="F475" s="1435"/>
      <c r="G475" s="1436"/>
      <c r="I475" s="44"/>
      <c r="J475" s="44"/>
    </row>
    <row r="476" spans="1:10" s="45" customFormat="1">
      <c r="A476" s="185"/>
      <c r="B476" s="1020" t="s">
        <v>1375</v>
      </c>
      <c r="C476" s="1365" t="s">
        <v>1364</v>
      </c>
      <c r="D476" s="1020" t="s">
        <v>500</v>
      </c>
      <c r="E476" s="1281">
        <v>5</v>
      </c>
      <c r="F476" s="1282">
        <v>22210</v>
      </c>
      <c r="G476" s="1282">
        <f t="shared" si="45"/>
        <v>111050</v>
      </c>
      <c r="I476" s="44"/>
      <c r="J476" s="44"/>
    </row>
    <row r="477" spans="1:10" s="45" customFormat="1">
      <c r="A477" s="185"/>
      <c r="B477" s="1020" t="s">
        <v>1376</v>
      </c>
      <c r="C477" s="1365" t="s">
        <v>1365</v>
      </c>
      <c r="D477" s="1020" t="s">
        <v>500</v>
      </c>
      <c r="E477" s="1281">
        <v>5</v>
      </c>
      <c r="F477" s="1282">
        <v>20970</v>
      </c>
      <c r="G477" s="1282">
        <f t="shared" si="45"/>
        <v>104850</v>
      </c>
      <c r="I477" s="44"/>
      <c r="J477" s="44"/>
    </row>
    <row r="478" spans="1:10" s="45" customFormat="1">
      <c r="A478" s="185"/>
      <c r="B478" s="1020" t="s">
        <v>1377</v>
      </c>
      <c r="C478" s="1365" t="s">
        <v>1366</v>
      </c>
      <c r="D478" s="1020" t="s">
        <v>500</v>
      </c>
      <c r="E478" s="1281">
        <v>4</v>
      </c>
      <c r="F478" s="1282">
        <v>18270</v>
      </c>
      <c r="G478" s="1282">
        <f t="shared" si="45"/>
        <v>73080</v>
      </c>
      <c r="I478" s="44"/>
      <c r="J478" s="44"/>
    </row>
    <row r="479" spans="1:10" s="45" customFormat="1">
      <c r="A479" s="185"/>
      <c r="B479" s="1432">
        <v>13.5</v>
      </c>
      <c r="C479" s="1441" t="s">
        <v>1367</v>
      </c>
      <c r="D479" s="1442"/>
      <c r="E479" s="1442"/>
      <c r="F479" s="1442"/>
      <c r="G479" s="1443"/>
      <c r="I479" s="44"/>
      <c r="J479" s="44"/>
    </row>
    <row r="480" spans="1:10" s="45" customFormat="1">
      <c r="A480" s="185"/>
      <c r="B480" s="1020" t="s">
        <v>1378</v>
      </c>
      <c r="C480" s="1365" t="s">
        <v>1364</v>
      </c>
      <c r="D480" s="1020" t="s">
        <v>1337</v>
      </c>
      <c r="E480" s="1281">
        <v>2</v>
      </c>
      <c r="F480" s="1282">
        <v>8658</v>
      </c>
      <c r="G480" s="1282">
        <f t="shared" si="45"/>
        <v>17316</v>
      </c>
      <c r="I480" s="44"/>
      <c r="J480" s="44"/>
    </row>
    <row r="481" spans="1:10" s="45" customFormat="1">
      <c r="A481" s="185"/>
      <c r="B481" s="1020" t="s">
        <v>1379</v>
      </c>
      <c r="C481" s="1365" t="s">
        <v>1365</v>
      </c>
      <c r="D481" s="1020" t="s">
        <v>1337</v>
      </c>
      <c r="E481" s="1281">
        <v>6</v>
      </c>
      <c r="F481" s="1282">
        <v>5510</v>
      </c>
      <c r="G481" s="1282">
        <f t="shared" si="45"/>
        <v>33060</v>
      </c>
      <c r="I481" s="44"/>
      <c r="J481" s="44"/>
    </row>
    <row r="482" spans="1:10" s="45" customFormat="1">
      <c r="A482" s="185"/>
      <c r="B482" s="1020" t="s">
        <v>1380</v>
      </c>
      <c r="C482" s="1365" t="s">
        <v>1366</v>
      </c>
      <c r="D482" s="1020" t="s">
        <v>1337</v>
      </c>
      <c r="E482" s="1281">
        <v>2</v>
      </c>
      <c r="F482" s="1282">
        <v>2169</v>
      </c>
      <c r="G482" s="1282">
        <f t="shared" si="45"/>
        <v>4338</v>
      </c>
      <c r="I482" s="44"/>
      <c r="J482" s="44"/>
    </row>
    <row r="483" spans="1:10" s="45" customFormat="1">
      <c r="A483" s="185"/>
      <c r="B483" s="1444">
        <v>13.6</v>
      </c>
      <c r="C483" s="1439" t="s">
        <v>1368</v>
      </c>
      <c r="D483" s="1440"/>
      <c r="E483" s="1440"/>
      <c r="F483" s="1440"/>
      <c r="G483" s="1445"/>
      <c r="I483" s="44"/>
      <c r="J483" s="44"/>
    </row>
    <row r="484" spans="1:10" s="45" customFormat="1">
      <c r="A484" s="185"/>
      <c r="B484" s="1414" t="s">
        <v>1381</v>
      </c>
      <c r="C484" s="1365" t="s">
        <v>1365</v>
      </c>
      <c r="D484" s="1020" t="s">
        <v>1337</v>
      </c>
      <c r="E484" s="1281">
        <v>3</v>
      </c>
      <c r="F484" s="1282">
        <v>6465</v>
      </c>
      <c r="G484" s="1282">
        <f t="shared" si="45"/>
        <v>19395</v>
      </c>
      <c r="I484" s="44"/>
      <c r="J484" s="44"/>
    </row>
    <row r="485" spans="1:10" s="45" customFormat="1">
      <c r="A485" s="185"/>
      <c r="B485" s="1414" t="s">
        <v>1382</v>
      </c>
      <c r="C485" s="1365" t="s">
        <v>1366</v>
      </c>
      <c r="D485" s="1020" t="s">
        <v>1337</v>
      </c>
      <c r="E485" s="1281">
        <v>1</v>
      </c>
      <c r="F485" s="1282">
        <v>4785</v>
      </c>
      <c r="G485" s="1282">
        <f t="shared" si="45"/>
        <v>4785</v>
      </c>
      <c r="I485" s="44"/>
      <c r="J485" s="44"/>
    </row>
    <row r="486" spans="1:10" s="45" customFormat="1">
      <c r="A486" s="185"/>
      <c r="B486" s="1446">
        <v>13.7</v>
      </c>
      <c r="C486" s="1447" t="s">
        <v>1369</v>
      </c>
      <c r="D486" s="1448"/>
      <c r="E486" s="1448"/>
      <c r="F486" s="1448"/>
      <c r="G486" s="1449"/>
      <c r="I486" s="44"/>
      <c r="J486" s="44"/>
    </row>
    <row r="487" spans="1:10" s="45" customFormat="1">
      <c r="A487" s="185"/>
      <c r="B487" s="1020" t="s">
        <v>1383</v>
      </c>
      <c r="C487" s="1365" t="s">
        <v>1371</v>
      </c>
      <c r="D487" s="1020" t="s">
        <v>1337</v>
      </c>
      <c r="E487" s="1281">
        <v>2</v>
      </c>
      <c r="F487" s="1282">
        <v>24760</v>
      </c>
      <c r="G487" s="1282">
        <f t="shared" si="45"/>
        <v>49520</v>
      </c>
      <c r="I487" s="44"/>
      <c r="J487" s="44"/>
    </row>
    <row r="488" spans="1:10" s="45" customFormat="1">
      <c r="A488" s="185"/>
      <c r="B488" s="1020" t="s">
        <v>1384</v>
      </c>
      <c r="C488" s="1365" t="s">
        <v>1370</v>
      </c>
      <c r="D488" s="1020" t="s">
        <v>1337</v>
      </c>
      <c r="E488" s="1281">
        <v>2</v>
      </c>
      <c r="F488" s="1282">
        <v>29900</v>
      </c>
      <c r="G488" s="1282">
        <f t="shared" si="45"/>
        <v>59800</v>
      </c>
      <c r="I488" s="44"/>
      <c r="J488" s="44"/>
    </row>
    <row r="489" spans="1:10" s="45" customFormat="1">
      <c r="A489" s="185"/>
      <c r="B489" s="1446">
        <v>13.8</v>
      </c>
      <c r="C489" s="1447" t="s">
        <v>1372</v>
      </c>
      <c r="D489" s="1448"/>
      <c r="E489" s="1448"/>
      <c r="F489" s="1448"/>
      <c r="G489" s="1449"/>
      <c r="I489" s="44"/>
      <c r="J489" s="44"/>
    </row>
    <row r="490" spans="1:10" s="45" customFormat="1">
      <c r="A490" s="185"/>
      <c r="B490" s="1414" t="s">
        <v>1385</v>
      </c>
      <c r="C490" s="1365" t="s">
        <v>1365</v>
      </c>
      <c r="D490" s="1020" t="s">
        <v>500</v>
      </c>
      <c r="E490" s="1281">
        <v>6</v>
      </c>
      <c r="F490" s="1282">
        <v>10451</v>
      </c>
      <c r="G490" s="1282">
        <f t="shared" si="45"/>
        <v>62706</v>
      </c>
      <c r="I490" s="44"/>
      <c r="J490" s="44"/>
    </row>
    <row r="491" spans="1:10" s="45" customFormat="1" ht="15.75" thickBot="1">
      <c r="A491" s="185"/>
      <c r="B491" s="1025"/>
      <c r="C491" s="1407"/>
      <c r="D491" s="1408"/>
      <c r="E491" s="1409"/>
      <c r="F491" s="1032" t="s">
        <v>1404</v>
      </c>
      <c r="G491" s="1410">
        <f>SUM(G455:G490)</f>
        <v>2760145</v>
      </c>
      <c r="I491" s="44"/>
      <c r="J491" s="44"/>
    </row>
    <row r="492" spans="1:10" s="45" customFormat="1">
      <c r="A492" s="185"/>
      <c r="B492" s="74"/>
      <c r="C492" s="75" t="s">
        <v>1389</v>
      </c>
      <c r="D492" s="76"/>
      <c r="E492" s="76"/>
      <c r="F492" s="76"/>
      <c r="G492" s="77"/>
      <c r="I492" s="44"/>
      <c r="J492" s="44"/>
    </row>
    <row r="493" spans="1:10" s="45" customFormat="1">
      <c r="A493" s="185"/>
      <c r="B493" s="1414"/>
      <c r="C493" s="1365" t="s">
        <v>1390</v>
      </c>
      <c r="D493" s="1020" t="s">
        <v>1337</v>
      </c>
      <c r="E493" s="1281">
        <v>1</v>
      </c>
      <c r="F493" s="1282">
        <v>78639</v>
      </c>
      <c r="G493" s="1282">
        <v>78639</v>
      </c>
      <c r="I493" s="44"/>
      <c r="J493" s="44"/>
    </row>
    <row r="494" spans="1:10" s="45" customFormat="1">
      <c r="A494" s="185"/>
      <c r="B494" s="1414"/>
      <c r="C494" s="1365" t="s">
        <v>1391</v>
      </c>
      <c r="D494" s="1020" t="s">
        <v>1337</v>
      </c>
      <c r="E494" s="1281">
        <v>1</v>
      </c>
      <c r="F494" s="1282">
        <v>942239</v>
      </c>
      <c r="G494" s="1282">
        <v>942239</v>
      </c>
      <c r="I494" s="44"/>
      <c r="J494" s="44"/>
    </row>
    <row r="495" spans="1:10" s="45" customFormat="1">
      <c r="A495" s="185"/>
      <c r="B495" s="1414"/>
      <c r="C495" s="1365" t="s">
        <v>1392</v>
      </c>
      <c r="D495" s="1020" t="s">
        <v>1337</v>
      </c>
      <c r="E495" s="1281">
        <v>2</v>
      </c>
      <c r="F495" s="1282">
        <v>212089</v>
      </c>
      <c r="G495" s="1282">
        <v>424178</v>
      </c>
      <c r="I495" s="44"/>
      <c r="J495" s="44"/>
    </row>
    <row r="496" spans="1:10" s="45" customFormat="1">
      <c r="A496" s="185"/>
      <c r="B496" s="574"/>
      <c r="C496" s="1450"/>
      <c r="D496" s="820"/>
      <c r="E496" s="969"/>
      <c r="F496" s="858"/>
      <c r="G496" s="1451"/>
      <c r="I496" s="44"/>
      <c r="J496" s="44"/>
    </row>
    <row r="497" spans="1:10" s="45" customFormat="1" ht="15.75" thickBot="1">
      <c r="A497" s="185"/>
      <c r="B497" s="1025"/>
      <c r="C497" s="871"/>
      <c r="D497" s="873"/>
      <c r="E497" s="874"/>
      <c r="F497" s="1304" t="s">
        <v>1547</v>
      </c>
      <c r="G497" s="1004">
        <f>SUM(G493:G496)</f>
        <v>1445056</v>
      </c>
      <c r="I497" s="44"/>
      <c r="J497" s="44"/>
    </row>
    <row r="498" spans="1:10" s="45" customFormat="1" ht="15.75" thickBot="1">
      <c r="A498" s="185"/>
      <c r="B498" s="16"/>
      <c r="C498" s="1023"/>
      <c r="D498" s="821"/>
      <c r="E498" s="825"/>
      <c r="F498" s="826"/>
      <c r="G498" s="1024"/>
      <c r="I498" s="44"/>
      <c r="J498" s="44"/>
    </row>
    <row r="499" spans="1:10" s="45" customFormat="1">
      <c r="A499" s="185"/>
      <c r="B499" s="74"/>
      <c r="C499" s="75" t="s">
        <v>1387</v>
      </c>
      <c r="D499" s="76"/>
      <c r="E499" s="76"/>
      <c r="F499" s="76"/>
      <c r="G499" s="126"/>
      <c r="I499" s="44"/>
      <c r="J499" s="44"/>
    </row>
    <row r="500" spans="1:10" s="45" customFormat="1" ht="25.5">
      <c r="A500" s="185"/>
      <c r="B500" s="1414"/>
      <c r="C500" s="1365" t="s">
        <v>1388</v>
      </c>
      <c r="D500" s="1020" t="s">
        <v>22</v>
      </c>
      <c r="E500" s="1281">
        <v>2</v>
      </c>
      <c r="F500" s="1282">
        <v>3177088</v>
      </c>
      <c r="G500" s="1282">
        <f t="shared" ref="G500" si="46">+F500*E500</f>
        <v>6354176</v>
      </c>
      <c r="I500" s="44"/>
      <c r="J500" s="44"/>
    </row>
    <row r="501" spans="1:10" s="45" customFormat="1" ht="15.75" thickBot="1">
      <c r="A501" s="185"/>
      <c r="B501" s="1025"/>
      <c r="C501" s="1407"/>
      <c r="D501" s="1408"/>
      <c r="E501" s="1409"/>
      <c r="F501" s="1032" t="s">
        <v>1394</v>
      </c>
      <c r="G501" s="1410">
        <f>+G500</f>
        <v>6354176</v>
      </c>
      <c r="I501" s="44"/>
      <c r="J501" s="44"/>
    </row>
    <row r="502" spans="1:10" s="45" customFormat="1" ht="15.75" thickBot="1">
      <c r="A502" s="185"/>
      <c r="B502" s="886"/>
      <c r="C502" s="1348" t="s">
        <v>1580</v>
      </c>
      <c r="D502" s="1349"/>
      <c r="E502" s="1350"/>
      <c r="F502" s="1351"/>
      <c r="G502" s="1352"/>
      <c r="I502" s="44"/>
      <c r="J502" s="44"/>
    </row>
    <row r="503" spans="1:10" s="45" customFormat="1" ht="319.5" thickBot="1">
      <c r="A503" s="185"/>
      <c r="B503" s="1311">
        <v>3.23</v>
      </c>
      <c r="C503" s="1312" t="s">
        <v>978</v>
      </c>
      <c r="D503" s="1313" t="s">
        <v>22</v>
      </c>
      <c r="E503" s="1314">
        <v>1</v>
      </c>
      <c r="F503" s="1315">
        <v>20915045.159595501</v>
      </c>
      <c r="G503" s="1316">
        <f t="shared" ref="G503" si="47">+F503*E503</f>
        <v>20915045.159595501</v>
      </c>
      <c r="I503" s="1460">
        <f>13962000*1.06*1.06*1.16*1.2</f>
        <v>21837282.854400001</v>
      </c>
      <c r="J503" s="44"/>
    </row>
    <row r="504" spans="1:10" s="45" customFormat="1">
      <c r="A504" s="185"/>
      <c r="B504" s="886"/>
      <c r="C504" s="1259"/>
      <c r="D504" s="1260"/>
      <c r="E504" s="1261"/>
      <c r="F504" s="1262" t="s">
        <v>1581</v>
      </c>
      <c r="G504" s="1263">
        <f>+G503</f>
        <v>20915045.159595501</v>
      </c>
      <c r="I504" s="44"/>
      <c r="J504" s="44"/>
    </row>
    <row r="505" spans="1:10" s="45" customFormat="1">
      <c r="A505" s="185"/>
      <c r="B505" s="1264"/>
      <c r="C505" s="1265"/>
      <c r="D505" s="1266"/>
      <c r="E505" s="1267"/>
      <c r="F505" s="1268" t="s">
        <v>1394</v>
      </c>
      <c r="G505" s="1269">
        <f>+G504+G501+G497</f>
        <v>28714277.159595501</v>
      </c>
      <c r="I505" s="44"/>
      <c r="J505" s="44"/>
    </row>
    <row r="506" spans="1:10" s="45" customFormat="1" ht="15.75" thickBot="1">
      <c r="A506" s="185"/>
      <c r="B506" s="886"/>
      <c r="C506" s="1259"/>
      <c r="D506" s="1260"/>
      <c r="E506" s="1261"/>
      <c r="F506" s="1262"/>
      <c r="G506" s="1263"/>
      <c r="I506" s="44"/>
      <c r="J506" s="44"/>
    </row>
    <row r="507" spans="1:10" s="45" customFormat="1">
      <c r="A507" s="185"/>
      <c r="B507" s="74"/>
      <c r="C507" s="75" t="s">
        <v>1408</v>
      </c>
      <c r="D507" s="76"/>
      <c r="E507" s="76"/>
      <c r="F507" s="76"/>
      <c r="G507" s="77"/>
      <c r="I507" s="44"/>
      <c r="J507" s="44"/>
    </row>
    <row r="508" spans="1:10" s="45" customFormat="1">
      <c r="A508" s="185"/>
      <c r="B508" s="1364"/>
      <c r="C508" s="1365" t="s">
        <v>1400</v>
      </c>
      <c r="D508" s="1366" t="s">
        <v>139</v>
      </c>
      <c r="E508" s="1452" t="e">
        <f>+(E518+E519+E522+E520+E521+E522)*0.6*1</f>
        <v>#REF!</v>
      </c>
      <c r="F508" s="1282">
        <v>2640</v>
      </c>
      <c r="G508" s="1282" t="e">
        <f>+F508*E508</f>
        <v>#REF!</v>
      </c>
      <c r="I508" s="44"/>
      <c r="J508" s="44"/>
    </row>
    <row r="509" spans="1:10" s="45" customFormat="1">
      <c r="A509" s="185"/>
      <c r="B509" s="1364"/>
      <c r="C509" s="1365" t="s">
        <v>941</v>
      </c>
      <c r="D509" s="1346" t="s">
        <v>139</v>
      </c>
      <c r="E509" s="1282" t="e">
        <f>+E508</f>
        <v>#REF!</v>
      </c>
      <c r="F509" s="1282">
        <v>10240</v>
      </c>
      <c r="G509" s="1282" t="e">
        <f t="shared" ref="G509" si="48">+E509*F509</f>
        <v>#REF!</v>
      </c>
      <c r="I509" s="44"/>
      <c r="J509" s="44"/>
    </row>
    <row r="510" spans="1:10" s="45" customFormat="1">
      <c r="A510" s="185"/>
      <c r="B510" s="1364"/>
      <c r="C510" s="1365" t="s">
        <v>1548</v>
      </c>
      <c r="D510" s="1346" t="s">
        <v>139</v>
      </c>
      <c r="E510" s="1282">
        <f>0.7*1290*0.06</f>
        <v>54.179999999999993</v>
      </c>
      <c r="F510" s="1282">
        <v>46020</v>
      </c>
      <c r="G510" s="1282">
        <f>+F510*E510</f>
        <v>2493363.5999999996</v>
      </c>
      <c r="I510" s="44"/>
      <c r="J510" s="44"/>
    </row>
    <row r="511" spans="1:10" s="45" customFormat="1">
      <c r="A511" s="185"/>
      <c r="B511" s="1364"/>
      <c r="C511" s="1365" t="s">
        <v>1549</v>
      </c>
      <c r="D511" s="1346" t="s">
        <v>139</v>
      </c>
      <c r="E511" s="1282">
        <v>54</v>
      </c>
      <c r="F511" s="1282">
        <v>15590</v>
      </c>
      <c r="G511" s="1282">
        <f>+F511*E511</f>
        <v>841860</v>
      </c>
      <c r="I511" s="44"/>
      <c r="J511" s="44"/>
    </row>
    <row r="512" spans="1:10" s="45" customFormat="1" ht="51">
      <c r="A512" s="185"/>
      <c r="B512" s="1364"/>
      <c r="C512" s="1342" t="s">
        <v>1575</v>
      </c>
      <c r="D512" s="1020" t="s">
        <v>139</v>
      </c>
      <c r="E512" s="1343" t="e">
        <f>+(E520+E521+E522+92)*0.2*0.6</f>
        <v>#REF!</v>
      </c>
      <c r="F512" s="1344">
        <v>76530</v>
      </c>
      <c r="G512" s="1345" t="e">
        <f t="shared" ref="G512:G513" si="49">+F512*E512</f>
        <v>#REF!</v>
      </c>
      <c r="I512" s="44"/>
      <c r="J512" s="44"/>
    </row>
    <row r="513" spans="1:10" s="45" customFormat="1" ht="51">
      <c r="A513" s="185"/>
      <c r="B513" s="1364"/>
      <c r="C513" s="1342" t="s">
        <v>1576</v>
      </c>
      <c r="D513" s="1020" t="s">
        <v>139</v>
      </c>
      <c r="E513" s="1343" t="e">
        <f>+(E520+E521+E522+92)*0.15*0.6</f>
        <v>#REF!</v>
      </c>
      <c r="F513" s="1344">
        <v>74730</v>
      </c>
      <c r="G513" s="1345" t="e">
        <f t="shared" si="49"/>
        <v>#REF!</v>
      </c>
      <c r="I513" s="44"/>
      <c r="J513" s="44"/>
    </row>
    <row r="514" spans="1:10" s="45" customFormat="1">
      <c r="A514" s="185"/>
      <c r="B514" s="1364"/>
      <c r="C514" s="1342" t="s">
        <v>1578</v>
      </c>
      <c r="D514" s="1346" t="s">
        <v>139</v>
      </c>
      <c r="E514" s="1343" t="e">
        <f>+(E521+E522+E523+92)*0.15*0.6</f>
        <v>#REF!</v>
      </c>
      <c r="F514" s="1344">
        <v>34090</v>
      </c>
      <c r="G514" s="1345" t="e">
        <f t="shared" ref="G514:G516" si="50">+F514*E514</f>
        <v>#REF!</v>
      </c>
      <c r="I514" s="44"/>
      <c r="J514" s="44"/>
    </row>
    <row r="515" spans="1:10" s="45" customFormat="1">
      <c r="A515" s="185"/>
      <c r="B515" s="1364"/>
      <c r="C515" s="1347" t="s">
        <v>1579</v>
      </c>
      <c r="D515" s="1346" t="s">
        <v>139</v>
      </c>
      <c r="E515" s="1343" t="e">
        <f>+(E520+E521+E522+92)*0.6*0.07</f>
        <v>#REF!</v>
      </c>
      <c r="F515" s="1344">
        <f>421207+22500</f>
        <v>443707</v>
      </c>
      <c r="G515" s="1345" t="e">
        <f t="shared" si="50"/>
        <v>#REF!</v>
      </c>
      <c r="I515" s="1461"/>
      <c r="J515" s="44"/>
    </row>
    <row r="516" spans="1:10" s="45" customFormat="1">
      <c r="A516" s="185"/>
      <c r="B516" s="1364"/>
      <c r="C516" s="1347" t="s">
        <v>1577</v>
      </c>
      <c r="D516" s="1346" t="s">
        <v>56</v>
      </c>
      <c r="E516" s="1343" t="e">
        <f>+(E520+E521+E522+92)*0.6</f>
        <v>#REF!</v>
      </c>
      <c r="F516" s="1344">
        <v>1954</v>
      </c>
      <c r="G516" s="1345" t="e">
        <f t="shared" si="50"/>
        <v>#REF!</v>
      </c>
      <c r="I516" s="960" t="e">
        <f>+#REF!/E515</f>
        <v>#REF!</v>
      </c>
      <c r="J516" s="44"/>
    </row>
    <row r="517" spans="1:10" s="45" customFormat="1">
      <c r="A517" s="185"/>
      <c r="B517" s="1364"/>
      <c r="C517" s="1365" t="s">
        <v>1550</v>
      </c>
      <c r="D517" s="1346"/>
      <c r="E517" s="1282"/>
      <c r="F517" s="1282"/>
      <c r="G517" s="1282"/>
      <c r="I517" s="44"/>
      <c r="J517" s="44"/>
    </row>
    <row r="518" spans="1:10" s="45" customFormat="1">
      <c r="A518" s="185"/>
      <c r="B518" s="1414"/>
      <c r="C518" s="1365" t="s">
        <v>1396</v>
      </c>
      <c r="D518" s="1020" t="s">
        <v>500</v>
      </c>
      <c r="E518" s="1281" t="e">
        <f>+#REF!</f>
        <v>#REF!</v>
      </c>
      <c r="F518" s="1282">
        <v>5021</v>
      </c>
      <c r="G518" s="1453" t="e">
        <f>+F518*E518</f>
        <v>#REF!</v>
      </c>
      <c r="I518" s="960"/>
      <c r="J518" s="44"/>
    </row>
    <row r="519" spans="1:10" s="45" customFormat="1">
      <c r="A519" s="185"/>
      <c r="B519" s="1414"/>
      <c r="C519" s="1365" t="s">
        <v>1397</v>
      </c>
      <c r="D519" s="1020" t="s">
        <v>500</v>
      </c>
      <c r="E519" s="1281" t="e">
        <f>+#REF!</f>
        <v>#REF!</v>
      </c>
      <c r="F519" s="1282">
        <v>5021</v>
      </c>
      <c r="G519" s="1453" t="e">
        <f>+F519*E519</f>
        <v>#REF!</v>
      </c>
      <c r="I519" s="44"/>
      <c r="J519" s="44"/>
    </row>
    <row r="520" spans="1:10" s="45" customFormat="1">
      <c r="A520" s="185"/>
      <c r="B520" s="1414"/>
      <c r="C520" s="1365" t="s">
        <v>1402</v>
      </c>
      <c r="D520" s="1020" t="s">
        <v>500</v>
      </c>
      <c r="E520" s="1281" t="e">
        <f>+#REF!</f>
        <v>#REF!</v>
      </c>
      <c r="F520" s="1282">
        <v>3632</v>
      </c>
      <c r="G520" s="1453" t="e">
        <f t="shared" ref="G520:G522" si="51">+F520*E520</f>
        <v>#REF!</v>
      </c>
      <c r="I520" s="44"/>
      <c r="J520" s="44"/>
    </row>
    <row r="521" spans="1:10" s="45" customFormat="1">
      <c r="A521" s="185"/>
      <c r="B521" s="1414"/>
      <c r="C521" s="1365" t="s">
        <v>1434</v>
      </c>
      <c r="D521" s="1020" t="s">
        <v>500</v>
      </c>
      <c r="E521" s="1281" t="e">
        <f>+#REF!</f>
        <v>#REF!</v>
      </c>
      <c r="F521" s="1282">
        <v>3512</v>
      </c>
      <c r="G521" s="1453" t="e">
        <f t="shared" si="51"/>
        <v>#REF!</v>
      </c>
      <c r="I521" s="44"/>
      <c r="J521" s="44"/>
    </row>
    <row r="522" spans="1:10" s="45" customFormat="1">
      <c r="A522" s="185"/>
      <c r="B522" s="1364"/>
      <c r="C522" s="1454" t="s">
        <v>1406</v>
      </c>
      <c r="D522" s="1020" t="s">
        <v>500</v>
      </c>
      <c r="E522" s="1281" t="e">
        <f>+#REF!</f>
        <v>#REF!</v>
      </c>
      <c r="F522" s="1282">
        <v>3512</v>
      </c>
      <c r="G522" s="1453" t="e">
        <f t="shared" si="51"/>
        <v>#REF!</v>
      </c>
      <c r="I522" s="44"/>
      <c r="J522" s="44"/>
    </row>
    <row r="523" spans="1:10" s="45" customFormat="1" ht="15.75" thickBot="1">
      <c r="A523" s="185"/>
      <c r="B523" s="876"/>
      <c r="C523" s="1338"/>
      <c r="D523" s="873"/>
      <c r="E523" s="874"/>
      <c r="F523" s="1330" t="s">
        <v>1398</v>
      </c>
      <c r="G523" s="1004" t="e">
        <f>SUM(G508:G522)</f>
        <v>#REF!</v>
      </c>
      <c r="I523" s="44"/>
      <c r="J523" s="44"/>
    </row>
    <row r="524" spans="1:10" s="45" customFormat="1">
      <c r="A524" s="185"/>
      <c r="B524" s="827"/>
      <c r="C524" s="887"/>
      <c r="D524" s="827"/>
      <c r="E524" s="594"/>
      <c r="F524" s="575"/>
      <c r="G524" s="792"/>
      <c r="I524" s="44"/>
      <c r="J524" s="44"/>
    </row>
    <row r="525" spans="1:10" s="45" customFormat="1" ht="15.75" customHeight="1">
      <c r="A525" s="212"/>
      <c r="B525" s="38"/>
      <c r="C525" s="145"/>
      <c r="D525" s="146"/>
      <c r="E525" s="146"/>
      <c r="F525" s="147" t="s">
        <v>94</v>
      </c>
      <c r="G525" s="946" t="e">
        <f>+G30+G45+G88+G130+G171+G207+G256+G283+G346+G424+G434+G451+G491+G505+G523</f>
        <v>#REF!</v>
      </c>
      <c r="I525" s="44"/>
      <c r="J525" s="44"/>
    </row>
    <row r="526" spans="1:10" s="45" customFormat="1">
      <c r="A526" s="212"/>
      <c r="B526" s="38"/>
      <c r="C526" s="157"/>
      <c r="G526" s="796"/>
      <c r="I526" s="44"/>
      <c r="J526" s="44"/>
    </row>
    <row r="527" spans="1:10" s="45" customFormat="1">
      <c r="A527" s="212"/>
      <c r="B527" s="38"/>
      <c r="C527" s="157"/>
      <c r="G527" s="796"/>
      <c r="I527" s="44"/>
      <c r="J527" s="44"/>
    </row>
    <row r="528" spans="1:10" s="45" customFormat="1">
      <c r="A528" s="212"/>
      <c r="B528" s="38"/>
      <c r="C528" s="162" t="s">
        <v>96</v>
      </c>
      <c r="D528" s="163"/>
      <c r="E528" s="164"/>
      <c r="F528" s="165"/>
      <c r="G528" s="798"/>
      <c r="I528" s="44"/>
      <c r="J528" s="44"/>
    </row>
    <row r="529" spans="1:10" s="45" customFormat="1">
      <c r="A529" s="212"/>
      <c r="B529" s="38"/>
      <c r="C529" s="170"/>
      <c r="D529" s="171"/>
      <c r="E529" s="171"/>
      <c r="F529" s="172" t="s">
        <v>98</v>
      </c>
      <c r="G529" s="799" t="e">
        <f>+G525</f>
        <v>#REF!</v>
      </c>
      <c r="I529" s="44"/>
      <c r="J529" s="44"/>
    </row>
    <row r="530" spans="1:10">
      <c r="C530" s="177"/>
      <c r="D530" s="178"/>
      <c r="E530" s="179" t="s">
        <v>100</v>
      </c>
      <c r="F530" s="180">
        <v>0.18</v>
      </c>
      <c r="G530" s="800" t="e">
        <f>+G529*F530</f>
        <v>#REF!</v>
      </c>
      <c r="I530" s="419"/>
      <c r="J530" s="419"/>
    </row>
    <row r="531" spans="1:10">
      <c r="C531" s="186"/>
      <c r="D531" s="187"/>
      <c r="E531" s="188" t="s">
        <v>102</v>
      </c>
      <c r="F531" s="189">
        <v>0.08</v>
      </c>
      <c r="G531" s="801" t="e">
        <f>+G529*F531</f>
        <v>#REF!</v>
      </c>
      <c r="I531" s="419"/>
      <c r="J531" s="419"/>
    </row>
    <row r="532" spans="1:10">
      <c r="C532" s="186"/>
      <c r="D532" s="187"/>
      <c r="E532" s="188" t="s">
        <v>104</v>
      </c>
      <c r="F532" s="189">
        <v>0.05</v>
      </c>
      <c r="G532" s="801" t="e">
        <f>+G529*F532</f>
        <v>#REF!</v>
      </c>
      <c r="I532" s="419"/>
      <c r="J532" s="419"/>
    </row>
    <row r="533" spans="1:10">
      <c r="C533" s="191"/>
      <c r="D533" s="192"/>
      <c r="E533" s="193" t="s">
        <v>105</v>
      </c>
      <c r="F533" s="194">
        <f>+F532+F531+F530</f>
        <v>0.31</v>
      </c>
      <c r="G533" s="802" t="e">
        <f>+G530+G531+G532</f>
        <v>#REF!</v>
      </c>
      <c r="I533" s="419"/>
      <c r="J533" s="419"/>
    </row>
    <row r="534" spans="1:10">
      <c r="C534" s="191"/>
      <c r="D534" s="192"/>
      <c r="E534" s="193" t="s">
        <v>107</v>
      </c>
      <c r="F534" s="194">
        <v>0.16</v>
      </c>
      <c r="G534" s="803" t="e">
        <f>+G532*F534</f>
        <v>#REF!</v>
      </c>
      <c r="I534" s="419"/>
      <c r="J534" s="419"/>
    </row>
    <row r="535" spans="1:10">
      <c r="C535" s="200"/>
      <c r="D535" s="201"/>
      <c r="E535" s="201"/>
      <c r="F535" s="202" t="s">
        <v>109</v>
      </c>
      <c r="G535" s="804" t="e">
        <f>+G529+G533+G534</f>
        <v>#REF!</v>
      </c>
      <c r="I535" s="419"/>
      <c r="J535" s="419"/>
    </row>
    <row r="536" spans="1:10">
      <c r="C536" s="38"/>
      <c r="G536" s="810"/>
    </row>
    <row r="537" spans="1:10">
      <c r="C537" s="38"/>
      <c r="G537" s="1046"/>
    </row>
    <row r="538" spans="1:10">
      <c r="C538" s="38"/>
      <c r="G538" s="1046"/>
    </row>
    <row r="539" spans="1:10">
      <c r="C539" s="38"/>
      <c r="G539" s="1046"/>
    </row>
    <row r="540" spans="1:10">
      <c r="C540" s="38"/>
      <c r="G540" s="1046"/>
    </row>
    <row r="541" spans="1:10">
      <c r="C541" s="38"/>
      <c r="G541" s="1046"/>
    </row>
    <row r="542" spans="1:10">
      <c r="C542" s="38"/>
      <c r="G542" s="1046"/>
    </row>
    <row r="543" spans="1:10">
      <c r="C543" s="38"/>
      <c r="G543" s="1046"/>
    </row>
    <row r="544" spans="1:10">
      <c r="C544" s="38"/>
      <c r="G544" s="1046"/>
    </row>
    <row r="545" spans="3:7">
      <c r="C545" s="38"/>
      <c r="G545" s="1046"/>
    </row>
    <row r="546" spans="3:7">
      <c r="C546" s="38"/>
      <c r="G546" s="1046"/>
    </row>
    <row r="547" spans="3:7">
      <c r="C547" s="38"/>
      <c r="G547" s="1046"/>
    </row>
    <row r="548" spans="3:7">
      <c r="C548" s="38"/>
      <c r="G548" s="1046"/>
    </row>
    <row r="549" spans="3:7">
      <c r="C549" s="38"/>
      <c r="G549" s="1046"/>
    </row>
    <row r="550" spans="3:7">
      <c r="C550" s="38"/>
      <c r="G550" s="1046"/>
    </row>
    <row r="551" spans="3:7">
      <c r="C551" s="38"/>
      <c r="G551" s="1046"/>
    </row>
    <row r="552" spans="3:7">
      <c r="C552" s="38"/>
      <c r="G552" s="1046"/>
    </row>
    <row r="553" spans="3:7">
      <c r="C553" s="38"/>
      <c r="G553" s="1046"/>
    </row>
    <row r="554" spans="3:7">
      <c r="C554" s="38"/>
      <c r="G554" s="1046"/>
    </row>
    <row r="555" spans="3:7">
      <c r="C555" s="38"/>
      <c r="G555" s="1046"/>
    </row>
    <row r="556" spans="3:7">
      <c r="C556" s="38"/>
      <c r="G556" s="1046"/>
    </row>
    <row r="557" spans="3:7">
      <c r="C557" s="38"/>
      <c r="G557" s="1046"/>
    </row>
    <row r="558" spans="3:7">
      <c r="C558" s="38"/>
      <c r="G558" s="1046"/>
    </row>
    <row r="559" spans="3:7">
      <c r="C559" s="38"/>
      <c r="G559" s="1046"/>
    </row>
    <row r="560" spans="3:7">
      <c r="C560" s="38"/>
      <c r="G560" s="1046"/>
    </row>
    <row r="561" spans="3:7">
      <c r="C561" s="38"/>
      <c r="G561" s="1046"/>
    </row>
    <row r="562" spans="3:7">
      <c r="C562" s="38"/>
      <c r="G562" s="1046"/>
    </row>
    <row r="563" spans="3:7">
      <c r="C563" s="38"/>
      <c r="G563" s="1046"/>
    </row>
    <row r="564" spans="3:7">
      <c r="C564" s="38"/>
      <c r="G564" s="1046"/>
    </row>
    <row r="565" spans="3:7">
      <c r="C565" s="38"/>
      <c r="G565" s="1046"/>
    </row>
    <row r="566" spans="3:7">
      <c r="C566" s="38"/>
      <c r="G566" s="1046"/>
    </row>
    <row r="567" spans="3:7">
      <c r="C567" s="38"/>
      <c r="G567" s="1046"/>
    </row>
    <row r="568" spans="3:7">
      <c r="C568" s="38"/>
      <c r="G568" s="1046"/>
    </row>
    <row r="569" spans="3:7">
      <c r="C569" s="38"/>
      <c r="G569" s="1046"/>
    </row>
    <row r="570" spans="3:7">
      <c r="C570" s="38"/>
      <c r="G570" s="1046"/>
    </row>
    <row r="571" spans="3:7">
      <c r="C571" s="38"/>
      <c r="G571" s="1046"/>
    </row>
    <row r="572" spans="3:7">
      <c r="C572" s="38"/>
      <c r="G572" s="1046"/>
    </row>
    <row r="573" spans="3:7">
      <c r="C573" s="38"/>
      <c r="G573" s="1046"/>
    </row>
    <row r="574" spans="3:7">
      <c r="C574" s="38"/>
      <c r="G574" s="1046"/>
    </row>
    <row r="575" spans="3:7">
      <c r="C575" s="38"/>
      <c r="G575" s="1046"/>
    </row>
    <row r="576" spans="3:7">
      <c r="C576" s="38"/>
      <c r="G576" s="1046"/>
    </row>
    <row r="577" spans="2:9">
      <c r="C577" s="38"/>
      <c r="G577" s="1046"/>
    </row>
    <row r="578" spans="2:9">
      <c r="C578" s="38"/>
      <c r="G578" s="1046"/>
    </row>
    <row r="579" spans="2:9" ht="23.25">
      <c r="B579" s="1909" t="s">
        <v>1421</v>
      </c>
      <c r="C579" s="1909"/>
      <c r="D579" s="1909"/>
      <c r="E579" s="1909"/>
      <c r="F579" s="1909"/>
      <c r="G579" s="1909"/>
    </row>
    <row r="580" spans="2:9">
      <c r="C580" s="38"/>
      <c r="D580" s="216"/>
      <c r="E580" s="217"/>
      <c r="F580" s="95"/>
      <c r="G580" s="95"/>
    </row>
    <row r="581" spans="2:9" ht="15.75">
      <c r="C581" s="1920" t="s">
        <v>947</v>
      </c>
      <c r="D581" s="1920"/>
      <c r="E581" s="1920"/>
      <c r="F581" s="1920"/>
      <c r="G581" s="1038" t="e">
        <f>+G535</f>
        <v>#REF!</v>
      </c>
    </row>
    <row r="582" spans="2:9" ht="15.75">
      <c r="C582" s="1919" t="s">
        <v>1435</v>
      </c>
      <c r="D582" s="1919"/>
      <c r="E582" s="1919"/>
      <c r="F582" s="1919"/>
      <c r="G582" s="1003" t="e">
        <f>+G581*0.06</f>
        <v>#REF!</v>
      </c>
    </row>
    <row r="583" spans="2:9" ht="15.75">
      <c r="C583" s="971"/>
      <c r="D583" s="971"/>
      <c r="E583" s="971"/>
      <c r="F583" s="971"/>
      <c r="G583" s="1003"/>
    </row>
    <row r="584" spans="2:9" ht="15.75">
      <c r="C584" s="1921" t="s">
        <v>948</v>
      </c>
      <c r="D584" s="1921"/>
      <c r="E584" s="1921"/>
      <c r="F584" s="1921"/>
      <c r="G584" s="1003" t="e">
        <f>+#REF!</f>
        <v>#REF!</v>
      </c>
    </row>
    <row r="585" spans="2:9" ht="15.75">
      <c r="C585" s="1921" t="s">
        <v>1551</v>
      </c>
      <c r="D585" s="1921"/>
      <c r="E585" s="1921"/>
      <c r="F585" s="1921"/>
      <c r="G585" s="1003" t="e">
        <f>+G584*0.04</f>
        <v>#REF!</v>
      </c>
    </row>
    <row r="586" spans="2:9" ht="15.75">
      <c r="C586" s="1288"/>
      <c r="D586" s="1288"/>
      <c r="E586" s="1288"/>
      <c r="F586" s="1288"/>
      <c r="G586" s="1037"/>
    </row>
    <row r="587" spans="2:9" ht="15.75">
      <c r="C587" s="1921" t="s">
        <v>570</v>
      </c>
      <c r="D587" s="1921"/>
      <c r="E587" s="1921"/>
      <c r="F587" s="1921"/>
      <c r="G587" s="1037" t="e">
        <f>SUM(G581:G586)</f>
        <v>#REF!</v>
      </c>
    </row>
    <row r="588" spans="2:9" ht="15.75">
      <c r="C588" s="1919" t="s">
        <v>1401</v>
      </c>
      <c r="D588" s="1919"/>
      <c r="E588" s="1919"/>
      <c r="F588" s="1919"/>
      <c r="G588" s="1003" t="e">
        <f>+(G587/0.98)*0.02</f>
        <v>#REF!</v>
      </c>
      <c r="I588" s="945" t="e">
        <f>+I589-G589</f>
        <v>#REF!</v>
      </c>
    </row>
    <row r="589" spans="2:9" ht="15.75">
      <c r="C589" s="1919" t="s">
        <v>484</v>
      </c>
      <c r="D589" s="1919"/>
      <c r="E589" s="1919"/>
      <c r="F589" s="1919"/>
      <c r="G589" s="1039" t="e">
        <f>+G587+G588</f>
        <v>#REF!</v>
      </c>
      <c r="I589" s="424">
        <v>2406339516</v>
      </c>
    </row>
    <row r="590" spans="2:9">
      <c r="G590" s="945"/>
    </row>
  </sheetData>
  <mergeCells count="19">
    <mergeCell ref="B579:G579"/>
    <mergeCell ref="E1:F1"/>
    <mergeCell ref="E2:F2"/>
    <mergeCell ref="B3:D3"/>
    <mergeCell ref="E3:G3"/>
    <mergeCell ref="B4:D4"/>
    <mergeCell ref="E4:G4"/>
    <mergeCell ref="B5:B6"/>
    <mergeCell ref="C5:E6"/>
    <mergeCell ref="F6:G6"/>
    <mergeCell ref="C30:F30"/>
    <mergeCell ref="C45:F45"/>
    <mergeCell ref="C589:F589"/>
    <mergeCell ref="C581:F581"/>
    <mergeCell ref="C582:F582"/>
    <mergeCell ref="C584:F584"/>
    <mergeCell ref="C585:F585"/>
    <mergeCell ref="C587:F587"/>
    <mergeCell ref="C588:F588"/>
  </mergeCells>
  <conditionalFormatting sqref="G535">
    <cfRule type="expression" dxfId="184" priority="22" stopIfTrue="1">
      <formula>"&gt;G29"</formula>
    </cfRule>
    <cfRule type="expression" dxfId="183" priority="23" stopIfTrue="1">
      <formula>"&lt;G29"""</formula>
    </cfRule>
  </conditionalFormatting>
  <conditionalFormatting sqref="B5">
    <cfRule type="cellIs" dxfId="182" priority="24" stopIfTrue="1" operator="equal">
      <formula>"ESCRIBA AQUÍ EL NOMBRE DE LA OBRA"</formula>
    </cfRule>
  </conditionalFormatting>
  <conditionalFormatting sqref="G1">
    <cfRule type="cellIs" dxfId="181" priority="25" stopIfTrue="1" operator="equal">
      <formula>"CHEQ. INSUMOS"</formula>
    </cfRule>
  </conditionalFormatting>
  <conditionalFormatting sqref="G2">
    <cfRule type="cellIs" dxfId="180" priority="26" stopIfTrue="1" operator="equal">
      <formula>"CHEQ. INSUMOS"</formula>
    </cfRule>
  </conditionalFormatting>
  <conditionalFormatting sqref="B11:C11 B172:C172 B209:C209 C285">
    <cfRule type="cellIs" dxfId="179" priority="21" stopIfTrue="1" operator="equal">
      <formula>"ESCRIBA AQUÍ EL NOMBRE DEL CAPITULO"</formula>
    </cfRule>
  </conditionalFormatting>
  <conditionalFormatting sqref="B18:C18">
    <cfRule type="cellIs" dxfId="178" priority="20" stopIfTrue="1" operator="equal">
      <formula>"ESCRIBA AQUÍ EL NOMBRE DEL CAPITULO"</formula>
    </cfRule>
  </conditionalFormatting>
  <conditionalFormatting sqref="B48:C48">
    <cfRule type="cellIs" dxfId="177" priority="19" stopIfTrue="1" operator="equal">
      <formula>"ESCRIBA AQUÍ EL NOMBRE DEL CAPITULO"</formula>
    </cfRule>
  </conditionalFormatting>
  <conditionalFormatting sqref="B25:C25">
    <cfRule type="cellIs" dxfId="176" priority="18" stopIfTrue="1" operator="equal">
      <formula>"ESCRIBA AQUÍ EL NOMBRE DEL CAPITULO"</formula>
    </cfRule>
  </conditionalFormatting>
  <conditionalFormatting sqref="B90:C90">
    <cfRule type="cellIs" dxfId="175" priority="17" stopIfTrue="1" operator="equal">
      <formula>"ESCRIBA AQUÍ EL NOMBRE DEL CAPITULO"</formula>
    </cfRule>
  </conditionalFormatting>
  <conditionalFormatting sqref="B132:C132">
    <cfRule type="cellIs" dxfId="174" priority="16" stopIfTrue="1" operator="equal">
      <formula>"ESCRIBA AQUÍ EL NOMBRE DEL CAPITULO"</formula>
    </cfRule>
  </conditionalFormatting>
  <conditionalFormatting sqref="B174:C174">
    <cfRule type="cellIs" dxfId="173" priority="15" stopIfTrue="1" operator="equal">
      <formula>"ESCRIBA AQUÍ EL NOMBRE DEL CAPITULO"</formula>
    </cfRule>
  </conditionalFormatting>
  <conditionalFormatting sqref="B210:C210">
    <cfRule type="cellIs" dxfId="172" priority="14" stopIfTrue="1" operator="equal">
      <formula>"ESCRIBA AQUÍ EL NOMBRE DEL CAPITULO"</formula>
    </cfRule>
  </conditionalFormatting>
  <conditionalFormatting sqref="B32:C32">
    <cfRule type="cellIs" dxfId="171" priority="13" stopIfTrue="1" operator="equal">
      <formula>"ESCRIBA AQUÍ EL NOMBRE DEL CAPITULO"</formula>
    </cfRule>
  </conditionalFormatting>
  <conditionalFormatting sqref="B258:C258">
    <cfRule type="cellIs" dxfId="170" priority="12" stopIfTrue="1" operator="equal">
      <formula>"ESCRIBA AQUÍ EL NOMBRE DEL CAPITULO"</formula>
    </cfRule>
  </conditionalFormatting>
  <conditionalFormatting sqref="C348:C349">
    <cfRule type="cellIs" dxfId="169" priority="11" stopIfTrue="1" operator="equal">
      <formula>"ESCRIBA AQUÍ EL NOMBRE DEL CAPITULO"</formula>
    </cfRule>
  </conditionalFormatting>
  <conditionalFormatting sqref="C426">
    <cfRule type="cellIs" dxfId="168" priority="10" stopIfTrue="1" operator="equal">
      <formula>"ESCRIBA AQUÍ EL NOMBRE DEL CAPITULO"</formula>
    </cfRule>
  </conditionalFormatting>
  <conditionalFormatting sqref="C436">
    <cfRule type="cellIs" dxfId="167" priority="9" stopIfTrue="1" operator="equal">
      <formula>"ESCRIBA AQUÍ EL NOMBRE DEL CAPITULO"</formula>
    </cfRule>
  </conditionalFormatting>
  <conditionalFormatting sqref="C453:C454">
    <cfRule type="cellIs" dxfId="166" priority="8" stopIfTrue="1" operator="equal">
      <formula>"ESCRIBA AQUÍ EL NOMBRE DEL CAPITULO"</formula>
    </cfRule>
  </conditionalFormatting>
  <conditionalFormatting sqref="C479">
    <cfRule type="cellIs" dxfId="165" priority="7" stopIfTrue="1" operator="equal">
      <formula>"ESCRIBA AQUÍ EL NOMBRE DEL CAPITULO"</formula>
    </cfRule>
  </conditionalFormatting>
  <conditionalFormatting sqref="B483:C483">
    <cfRule type="cellIs" dxfId="164" priority="6" stopIfTrue="1" operator="equal">
      <formula>"ESCRIBA AQUÍ EL NOMBRE DEL CAPITULO"</formula>
    </cfRule>
  </conditionalFormatting>
  <conditionalFormatting sqref="B486:C486">
    <cfRule type="cellIs" dxfId="163" priority="5" stopIfTrue="1" operator="equal">
      <formula>"ESCRIBA AQUÍ EL NOMBRE DEL CAPITULO"</formula>
    </cfRule>
  </conditionalFormatting>
  <conditionalFormatting sqref="B489:C489">
    <cfRule type="cellIs" dxfId="162" priority="4" stopIfTrue="1" operator="equal">
      <formula>"ESCRIBA AQUÍ EL NOMBRE DEL CAPITULO"</formula>
    </cfRule>
  </conditionalFormatting>
  <conditionalFormatting sqref="B507:C507">
    <cfRule type="cellIs" dxfId="161" priority="3" stopIfTrue="1" operator="equal">
      <formula>"ESCRIBA AQUÍ EL NOMBRE DEL CAPITULO"</formula>
    </cfRule>
  </conditionalFormatting>
  <conditionalFormatting sqref="B499:C499">
    <cfRule type="cellIs" dxfId="160" priority="2" stopIfTrue="1" operator="equal">
      <formula>"ESCRIBA AQUÍ EL NOMBRE DEL CAPITULO"</formula>
    </cfRule>
  </conditionalFormatting>
  <conditionalFormatting sqref="B492:C492">
    <cfRule type="cellIs" dxfId="159" priority="1" stopIfTrue="1" operator="equal">
      <formula>"ESCRIBA AQUÍ EL NOMBRE DEL CAPITULO"</formula>
    </cfRule>
  </conditionalFormatting>
  <pageMargins left="0.7" right="0.7" top="0.75" bottom="0.75" header="0.3" footer="0.3"/>
  <pageSetup scale="9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540"/>
  <sheetViews>
    <sheetView showGridLines="0" topLeftCell="B119" zoomScale="85" zoomScaleNormal="85" workbookViewId="0">
      <pane xSplit="1" topLeftCell="C1" activePane="topRight" state="frozen"/>
      <selection activeCell="B6" sqref="B6"/>
      <selection pane="topRight" activeCell="G546" sqref="G546"/>
    </sheetView>
  </sheetViews>
  <sheetFormatPr baseColWidth="10" defaultRowHeight="15"/>
  <cols>
    <col min="1" max="1" width="0" style="917" hidden="1" customWidth="1"/>
    <col min="2" max="2" width="8" style="917" customWidth="1"/>
    <col min="3" max="3" width="44" style="917" customWidth="1"/>
    <col min="4" max="4" width="6.140625" style="917" customWidth="1"/>
    <col min="5" max="5" width="9" style="917" customWidth="1"/>
    <col min="6" max="6" width="12.28515625" style="917" bestFit="1" customWidth="1"/>
    <col min="7" max="7" width="19.5703125" style="917" customWidth="1"/>
    <col min="8" max="8" width="11.42578125" style="917"/>
    <col min="9" max="9" width="19.42578125" style="917" customWidth="1"/>
    <col min="10" max="54" width="11.42578125" style="917"/>
    <col min="55" max="57" width="0" style="917" hidden="1" customWidth="1"/>
    <col min="58" max="16384" width="11.42578125" style="917"/>
  </cols>
  <sheetData>
    <row r="1" spans="1:57" s="19" customFormat="1" ht="12" hidden="1" customHeight="1" thickTop="1">
      <c r="A1" s="1"/>
      <c r="B1" s="2">
        <v>2012.2</v>
      </c>
      <c r="C1" s="3"/>
      <c r="D1" s="4"/>
      <c r="E1" s="1885" t="s">
        <v>0</v>
      </c>
      <c r="F1" s="1885"/>
      <c r="G1" s="5">
        <v>408578100</v>
      </c>
      <c r="W1" s="20"/>
      <c r="X1" s="21"/>
      <c r="Y1" s="22"/>
      <c r="Z1" s="23"/>
      <c r="AA1" s="24"/>
      <c r="AB1" s="25">
        <v>0</v>
      </c>
      <c r="AC1" s="26">
        <v>0</v>
      </c>
      <c r="AD1" s="27"/>
      <c r="AE1" s="25"/>
      <c r="AF1" s="25">
        <v>1</v>
      </c>
      <c r="AG1" s="25"/>
      <c r="AH1" s="28">
        <v>0</v>
      </c>
      <c r="AI1" s="29">
        <v>0</v>
      </c>
      <c r="AJ1" s="29">
        <v>0</v>
      </c>
      <c r="BC1" s="19" t="s">
        <v>9</v>
      </c>
      <c r="BE1" s="19">
        <v>0</v>
      </c>
    </row>
    <row r="2" spans="1:57" s="19" customFormat="1" ht="12" hidden="1" customHeight="1" thickBot="1">
      <c r="A2" s="1" t="s">
        <v>6</v>
      </c>
      <c r="B2" s="30" t="s">
        <v>6</v>
      </c>
      <c r="C2" s="31"/>
      <c r="D2" s="32"/>
      <c r="E2" s="1886"/>
      <c r="F2" s="1886"/>
      <c r="G2" s="33" t="s">
        <v>10</v>
      </c>
    </row>
    <row r="3" spans="1:57" s="45" customFormat="1" ht="21" customHeight="1" thickTop="1">
      <c r="A3" s="39"/>
      <c r="B3" s="1887" t="s">
        <v>1420</v>
      </c>
      <c r="C3" s="1888"/>
      <c r="D3" s="1888"/>
      <c r="E3" s="1889" t="s">
        <v>12</v>
      </c>
      <c r="F3" s="1890"/>
      <c r="G3" s="1891"/>
    </row>
    <row r="4" spans="1:57" s="45" customFormat="1" ht="21" customHeight="1">
      <c r="A4" s="39"/>
      <c r="B4" s="1910" t="s">
        <v>1437</v>
      </c>
      <c r="C4" s="1911"/>
      <c r="D4" s="1912"/>
      <c r="E4" s="1894" t="s">
        <v>14</v>
      </c>
      <c r="F4" s="1895"/>
      <c r="G4" s="1896"/>
    </row>
    <row r="5" spans="1:57" s="45" customFormat="1" ht="15" customHeight="1">
      <c r="A5" s="39"/>
      <c r="B5" s="1897" t="s">
        <v>15</v>
      </c>
      <c r="C5" s="1913" t="s">
        <v>480</v>
      </c>
      <c r="D5" s="1914"/>
      <c r="E5" s="1915"/>
      <c r="F5" s="46" t="s">
        <v>17</v>
      </c>
      <c r="G5" s="47">
        <v>41751</v>
      </c>
    </row>
    <row r="6" spans="1:57" s="45" customFormat="1" ht="21" customHeight="1" thickBot="1">
      <c r="A6" s="39"/>
      <c r="B6" s="1898"/>
      <c r="C6" s="1916"/>
      <c r="D6" s="1917"/>
      <c r="E6" s="1918"/>
      <c r="F6" s="1905"/>
      <c r="G6" s="1906"/>
    </row>
    <row r="7" spans="1:57" s="45" customFormat="1" ht="20.100000000000001" customHeight="1" thickTop="1">
      <c r="A7" s="39"/>
      <c r="B7" s="52"/>
      <c r="C7" s="53"/>
      <c r="D7" s="54"/>
      <c r="E7" s="55"/>
      <c r="F7" s="52"/>
      <c r="G7" s="56"/>
    </row>
    <row r="8" spans="1:57" s="45" customFormat="1" ht="15.75" customHeight="1">
      <c r="A8" s="59" t="s">
        <v>19</v>
      </c>
      <c r="B8" s="60" t="s">
        <v>20</v>
      </c>
      <c r="C8" s="60" t="s">
        <v>21</v>
      </c>
      <c r="D8" s="60" t="s">
        <v>22</v>
      </c>
      <c r="E8" s="60" t="s">
        <v>23</v>
      </c>
      <c r="F8" s="60" t="s">
        <v>24</v>
      </c>
      <c r="G8" s="61" t="s">
        <v>25</v>
      </c>
    </row>
    <row r="9" spans="1:57" s="45" customFormat="1" ht="14.25" customHeight="1" thickBot="1">
      <c r="A9" s="66"/>
      <c r="B9" s="67"/>
      <c r="C9" s="68"/>
      <c r="D9" s="69"/>
      <c r="E9" s="70"/>
      <c r="F9" s="67"/>
      <c r="G9" s="71"/>
    </row>
    <row r="10" spans="1:57" s="45" customFormat="1" ht="23.1" hidden="1" customHeight="1">
      <c r="A10" s="66"/>
      <c r="B10" s="67"/>
      <c r="C10" s="68"/>
      <c r="D10" s="69"/>
      <c r="E10" s="70"/>
      <c r="F10" s="67"/>
      <c r="G10" s="71"/>
    </row>
    <row r="11" spans="1:57" s="45" customFormat="1" ht="12.75" hidden="1" customHeight="1">
      <c r="A11" s="73" t="s">
        <v>38</v>
      </c>
      <c r="B11" s="74"/>
      <c r="C11" s="75" t="s">
        <v>39</v>
      </c>
      <c r="D11" s="76"/>
      <c r="E11" s="76"/>
      <c r="F11" s="76"/>
      <c r="G11" s="77">
        <f>+G16</f>
        <v>1224780</v>
      </c>
    </row>
    <row r="12" spans="1:57" s="45" customFormat="1" ht="12.75" hidden="1" customHeight="1">
      <c r="A12" s="84" t="s">
        <v>40</v>
      </c>
      <c r="B12" s="85"/>
      <c r="C12" s="86"/>
      <c r="D12" s="87"/>
      <c r="E12" s="88"/>
      <c r="F12" s="89"/>
      <c r="G12" s="90"/>
    </row>
    <row r="13" spans="1:57" s="45" customFormat="1" ht="15.75" hidden="1" thickBot="1">
      <c r="A13" s="100" t="s">
        <v>41</v>
      </c>
      <c r="B13" s="101"/>
      <c r="C13" s="102" t="s">
        <v>42</v>
      </c>
      <c r="D13" s="574" t="s">
        <v>43</v>
      </c>
      <c r="E13" s="103">
        <v>298</v>
      </c>
      <c r="F13" s="25">
        <v>2760</v>
      </c>
      <c r="G13" s="26">
        <f>+F13*E13</f>
        <v>822480</v>
      </c>
    </row>
    <row r="14" spans="1:57" s="45" customFormat="1" ht="15.75" hidden="1" thickBot="1">
      <c r="A14" s="100" t="s">
        <v>44</v>
      </c>
      <c r="B14" s="101"/>
      <c r="C14" s="102" t="s">
        <v>45</v>
      </c>
      <c r="D14" s="104" t="s">
        <v>43</v>
      </c>
      <c r="E14" s="103">
        <v>298</v>
      </c>
      <c r="F14" s="25">
        <v>1350</v>
      </c>
      <c r="G14" s="26">
        <f t="shared" ref="G14" si="0">+F14*E14</f>
        <v>402300</v>
      </c>
    </row>
    <row r="15" spans="1:57" s="45" customFormat="1" ht="15.75" hidden="1" thickBot="1">
      <c r="A15" s="105"/>
      <c r="B15" s="106"/>
      <c r="C15" s="22"/>
      <c r="D15" s="23"/>
      <c r="E15" s="107"/>
      <c r="F15" s="25"/>
      <c r="G15" s="108"/>
    </row>
    <row r="16" spans="1:57" s="45" customFormat="1" ht="12.75" hidden="1" customHeight="1" thickBot="1">
      <c r="A16" s="112" t="s">
        <v>46</v>
      </c>
      <c r="B16" s="113"/>
      <c r="C16" s="114"/>
      <c r="D16" s="115"/>
      <c r="E16" s="116"/>
      <c r="F16" s="117" t="s">
        <v>47</v>
      </c>
      <c r="G16" s="118">
        <f>SUM(G13:G15)</f>
        <v>1224780</v>
      </c>
    </row>
    <row r="17" spans="1:7" s="45" customFormat="1" ht="23.1" hidden="1" customHeight="1" thickBot="1">
      <c r="A17" s="124"/>
      <c r="B17" s="67"/>
      <c r="C17" s="68"/>
      <c r="D17" s="69"/>
      <c r="E17" s="70"/>
      <c r="F17" s="67"/>
      <c r="G17" s="125"/>
    </row>
    <row r="18" spans="1:7" s="45" customFormat="1" ht="15.75" hidden="1" thickBot="1">
      <c r="A18" s="73" t="s">
        <v>38</v>
      </c>
      <c r="B18" s="74"/>
      <c r="C18" s="75" t="s">
        <v>48</v>
      </c>
      <c r="D18" s="76"/>
      <c r="E18" s="76"/>
      <c r="F18" s="76"/>
      <c r="G18" s="126">
        <f>+G24</f>
        <v>85268164</v>
      </c>
    </row>
    <row r="19" spans="1:7" s="45" customFormat="1" ht="15.75" hidden="1" thickBot="1">
      <c r="A19" s="84" t="s">
        <v>40</v>
      </c>
      <c r="B19" s="85"/>
      <c r="C19" s="86"/>
      <c r="D19" s="87"/>
      <c r="E19" s="88"/>
      <c r="F19" s="89"/>
      <c r="G19" s="90"/>
    </row>
    <row r="20" spans="1:7" s="45" customFormat="1" ht="20.25" hidden="1" customHeight="1">
      <c r="A20" s="127" t="s">
        <v>49</v>
      </c>
      <c r="B20" s="128"/>
      <c r="C20" s="129" t="s">
        <v>50</v>
      </c>
      <c r="D20" s="130" t="s">
        <v>51</v>
      </c>
      <c r="E20" s="131">
        <f>(111+218+146+116+780+2150)*1.2</f>
        <v>4225.2</v>
      </c>
      <c r="F20" s="25">
        <v>2610</v>
      </c>
      <c r="G20" s="26">
        <f>+F20*E20</f>
        <v>11027772</v>
      </c>
    </row>
    <row r="21" spans="1:7" s="45" customFormat="1" ht="24.75" hidden="1" customHeight="1">
      <c r="A21" s="584"/>
      <c r="B21" s="592"/>
      <c r="C21" s="593" t="s">
        <v>481</v>
      </c>
      <c r="D21" s="130" t="s">
        <v>51</v>
      </c>
      <c r="E21" s="594">
        <f>7.2+5.3+7.5+6+20+15</f>
        <v>61</v>
      </c>
      <c r="F21" s="575">
        <v>74380</v>
      </c>
      <c r="G21" s="26">
        <f>+F21*E21</f>
        <v>4537180</v>
      </c>
    </row>
    <row r="22" spans="1:7" s="45" customFormat="1" ht="15.75" hidden="1" thickBot="1">
      <c r="A22" s="132" t="s">
        <v>52</v>
      </c>
      <c r="B22" s="133"/>
      <c r="C22" s="134" t="s">
        <v>474</v>
      </c>
      <c r="D22" s="135" t="s">
        <v>51</v>
      </c>
      <c r="E22" s="136">
        <f>+E20</f>
        <v>4225.2</v>
      </c>
      <c r="F22" s="25">
        <v>15560</v>
      </c>
      <c r="G22" s="26">
        <f>+F22*E22</f>
        <v>65744112</v>
      </c>
    </row>
    <row r="23" spans="1:7" s="45" customFormat="1" ht="15.75" hidden="1" thickBot="1">
      <c r="A23" s="105"/>
      <c r="B23" s="106"/>
      <c r="C23" s="22" t="s">
        <v>482</v>
      </c>
      <c r="D23" s="23" t="s">
        <v>483</v>
      </c>
      <c r="E23" s="107">
        <f>68+40+100+30+80</f>
        <v>318</v>
      </c>
      <c r="F23" s="25">
        <v>12450</v>
      </c>
      <c r="G23" s="26">
        <f>+F23*E23</f>
        <v>3959100</v>
      </c>
    </row>
    <row r="24" spans="1:7" s="45" customFormat="1" ht="15.75" hidden="1" thickBot="1">
      <c r="A24" s="112" t="s">
        <v>46</v>
      </c>
      <c r="B24" s="113"/>
      <c r="C24" s="114"/>
      <c r="D24" s="115"/>
      <c r="E24" s="116"/>
      <c r="F24" s="117" t="s">
        <v>54</v>
      </c>
      <c r="G24" s="137">
        <f>SUM(G20:G23)</f>
        <v>85268164</v>
      </c>
    </row>
    <row r="25" spans="1:7" s="45" customFormat="1">
      <c r="A25" s="73"/>
      <c r="B25" s="74">
        <v>1</v>
      </c>
      <c r="C25" s="775" t="s">
        <v>1114</v>
      </c>
      <c r="D25" s="76"/>
      <c r="E25" s="76"/>
      <c r="F25" s="76"/>
      <c r="G25" s="126"/>
    </row>
    <row r="26" spans="1:7" s="45" customFormat="1" ht="15" customHeight="1">
      <c r="A26" s="124"/>
      <c r="B26" s="771">
        <v>1.1000000000000001</v>
      </c>
      <c r="C26" s="102" t="s">
        <v>975</v>
      </c>
      <c r="D26" s="772" t="s">
        <v>56</v>
      </c>
      <c r="E26" s="773">
        <v>964</v>
      </c>
      <c r="F26" s="587">
        <v>1320</v>
      </c>
      <c r="G26" s="774">
        <f>+F26*E26</f>
        <v>1272480</v>
      </c>
    </row>
    <row r="27" spans="1:7" s="45" customFormat="1" ht="15" customHeight="1">
      <c r="A27" s="124"/>
      <c r="B27" s="771">
        <f>+B26+0.1</f>
        <v>1.2000000000000002</v>
      </c>
      <c r="C27" s="102" t="s">
        <v>940</v>
      </c>
      <c r="D27" s="820" t="s">
        <v>56</v>
      </c>
      <c r="E27" s="773">
        <v>964</v>
      </c>
      <c r="F27" s="587">
        <v>1350</v>
      </c>
      <c r="G27" s="774">
        <f t="shared" ref="G27:G29" si="1">+F27*E27</f>
        <v>1301400</v>
      </c>
    </row>
    <row r="28" spans="1:7" s="45" customFormat="1" ht="15" customHeight="1">
      <c r="A28" s="124"/>
      <c r="B28" s="771">
        <f t="shared" ref="B28:B29" si="2">+B27+0.1</f>
        <v>1.3000000000000003</v>
      </c>
      <c r="C28" s="593" t="s">
        <v>974</v>
      </c>
      <c r="D28" s="827" t="s">
        <v>22</v>
      </c>
      <c r="E28" s="594">
        <v>1</v>
      </c>
      <c r="F28" s="575">
        <v>1533150</v>
      </c>
      <c r="G28" s="774">
        <f t="shared" si="1"/>
        <v>1533150</v>
      </c>
    </row>
    <row r="29" spans="1:7" s="45" customFormat="1" ht="15" customHeight="1" thickBot="1">
      <c r="A29" s="124"/>
      <c r="B29" s="771">
        <f t="shared" si="2"/>
        <v>1.4000000000000004</v>
      </c>
      <c r="C29" s="102" t="s">
        <v>1001</v>
      </c>
      <c r="D29" s="772" t="s">
        <v>56</v>
      </c>
      <c r="E29" s="780">
        <v>40</v>
      </c>
      <c r="F29" s="587">
        <v>29190</v>
      </c>
      <c r="G29" s="774">
        <f t="shared" si="1"/>
        <v>1167600</v>
      </c>
    </row>
    <row r="30" spans="1:7" s="45" customFormat="1" ht="15" customHeight="1" thickBot="1">
      <c r="A30" s="124"/>
      <c r="B30" s="869"/>
      <c r="C30" s="1884" t="s">
        <v>982</v>
      </c>
      <c r="D30" s="1884"/>
      <c r="E30" s="1884"/>
      <c r="F30" s="1884"/>
      <c r="G30" s="870">
        <f>SUM(G26:G29)</f>
        <v>5274630</v>
      </c>
    </row>
    <row r="31" spans="1:7" s="45" customFormat="1" ht="15" customHeight="1" thickBot="1">
      <c r="A31" s="124"/>
      <c r="B31" s="823"/>
      <c r="C31" s="824"/>
      <c r="D31" s="821"/>
      <c r="E31" s="825"/>
      <c r="F31" s="43"/>
      <c r="G31" s="826"/>
    </row>
    <row r="32" spans="1:7" s="45" customFormat="1" ht="15" customHeight="1">
      <c r="A32" s="124"/>
      <c r="B32" s="74">
        <v>2</v>
      </c>
      <c r="C32" s="75" t="s">
        <v>85</v>
      </c>
      <c r="D32" s="76"/>
      <c r="E32" s="76"/>
      <c r="F32" s="76"/>
      <c r="G32" s="126"/>
    </row>
    <row r="33" spans="1:7" s="45" customFormat="1" ht="15" customHeight="1">
      <c r="A33" s="124"/>
      <c r="B33" s="85"/>
      <c r="C33" s="86"/>
      <c r="D33" s="87"/>
      <c r="E33" s="88"/>
      <c r="F33" s="89"/>
      <c r="G33" s="90"/>
    </row>
    <row r="34" spans="1:7" s="45" customFormat="1" ht="17.25" customHeight="1">
      <c r="A34" s="124"/>
      <c r="B34" s="592">
        <v>2.1</v>
      </c>
      <c r="C34" s="822" t="s">
        <v>1520</v>
      </c>
      <c r="D34" s="827" t="s">
        <v>51</v>
      </c>
      <c r="E34" s="594">
        <v>21</v>
      </c>
      <c r="F34" s="575">
        <v>248000</v>
      </c>
      <c r="G34" s="774">
        <f>+F34*E34</f>
        <v>5208000</v>
      </c>
    </row>
    <row r="35" spans="1:7" s="45" customFormat="1" ht="15" customHeight="1">
      <c r="A35" s="124"/>
      <c r="B35" s="592">
        <f>+B34+0.1</f>
        <v>2.2000000000000002</v>
      </c>
      <c r="C35" s="593" t="s">
        <v>87</v>
      </c>
      <c r="D35" s="827" t="s">
        <v>43</v>
      </c>
      <c r="E35" s="594">
        <f>270*1.5</f>
        <v>405</v>
      </c>
      <c r="F35" s="575">
        <v>20403</v>
      </c>
      <c r="G35" s="774">
        <f t="shared" ref="G35:G43" si="3">+F35*E35</f>
        <v>8263215</v>
      </c>
    </row>
    <row r="36" spans="1:7" s="45" customFormat="1" ht="15" customHeight="1">
      <c r="A36" s="124"/>
      <c r="B36" s="592">
        <f t="shared" ref="B36:B42" si="4">+B35+0.1</f>
        <v>2.3000000000000003</v>
      </c>
      <c r="C36" s="593" t="s">
        <v>88</v>
      </c>
      <c r="D36" s="827" t="s">
        <v>483</v>
      </c>
      <c r="E36" s="594">
        <f>142*2.5</f>
        <v>355</v>
      </c>
      <c r="F36" s="575">
        <v>25834</v>
      </c>
      <c r="G36" s="774">
        <f t="shared" si="3"/>
        <v>9171070</v>
      </c>
    </row>
    <row r="37" spans="1:7" s="45" customFormat="1" ht="15" customHeight="1">
      <c r="A37" s="124"/>
      <c r="B37" s="592">
        <f t="shared" si="4"/>
        <v>2.4000000000000004</v>
      </c>
      <c r="C37" s="593" t="s">
        <v>89</v>
      </c>
      <c r="D37" s="827" t="s">
        <v>483</v>
      </c>
      <c r="E37" s="594">
        <f>16*2.5</f>
        <v>40</v>
      </c>
      <c r="F37" s="575">
        <v>20326</v>
      </c>
      <c r="G37" s="774">
        <f t="shared" si="3"/>
        <v>813040</v>
      </c>
    </row>
    <row r="38" spans="1:7" s="45" customFormat="1" ht="15" customHeight="1">
      <c r="A38" s="124"/>
      <c r="B38" s="592">
        <f t="shared" si="4"/>
        <v>2.5000000000000004</v>
      </c>
      <c r="C38" s="593" t="s">
        <v>90</v>
      </c>
      <c r="D38" s="827" t="s">
        <v>483</v>
      </c>
      <c r="E38" s="594">
        <v>270</v>
      </c>
      <c r="F38" s="575">
        <v>1864</v>
      </c>
      <c r="G38" s="774">
        <f t="shared" si="3"/>
        <v>503280</v>
      </c>
    </row>
    <row r="39" spans="1:7" s="45" customFormat="1" ht="28.5" customHeight="1">
      <c r="A39" s="124"/>
      <c r="B39" s="592">
        <f t="shared" si="4"/>
        <v>2.6000000000000005</v>
      </c>
      <c r="C39" s="1276" t="s">
        <v>91</v>
      </c>
      <c r="D39" s="827" t="s">
        <v>977</v>
      </c>
      <c r="E39" s="594">
        <v>2</v>
      </c>
      <c r="F39" s="575">
        <v>618839</v>
      </c>
      <c r="G39" s="774">
        <f t="shared" si="3"/>
        <v>1237678</v>
      </c>
    </row>
    <row r="40" spans="1:7" s="45" customFormat="1" ht="15" customHeight="1">
      <c r="A40" s="124"/>
      <c r="B40" s="592">
        <f t="shared" si="4"/>
        <v>2.7000000000000006</v>
      </c>
      <c r="C40" s="593" t="s">
        <v>92</v>
      </c>
      <c r="D40" s="827" t="s">
        <v>977</v>
      </c>
      <c r="E40" s="594">
        <v>1</v>
      </c>
      <c r="F40" s="575">
        <v>614676</v>
      </c>
      <c r="G40" s="774">
        <f t="shared" si="3"/>
        <v>614676</v>
      </c>
    </row>
    <row r="41" spans="1:7" s="45" customFormat="1" ht="15" customHeight="1">
      <c r="A41" s="124"/>
      <c r="B41" s="592">
        <f t="shared" si="4"/>
        <v>2.8000000000000007</v>
      </c>
      <c r="C41" s="593" t="s">
        <v>1523</v>
      </c>
      <c r="D41" s="827" t="s">
        <v>43</v>
      </c>
      <c r="E41" s="594">
        <v>127</v>
      </c>
      <c r="F41" s="575">
        <v>44520</v>
      </c>
      <c r="G41" s="774">
        <f t="shared" si="3"/>
        <v>5654040</v>
      </c>
    </row>
    <row r="42" spans="1:7" s="45" customFormat="1" ht="15" customHeight="1">
      <c r="A42" s="124"/>
      <c r="B42" s="592">
        <f t="shared" si="4"/>
        <v>2.9000000000000008</v>
      </c>
      <c r="C42" s="593" t="s">
        <v>1521</v>
      </c>
      <c r="D42" s="827" t="s">
        <v>51</v>
      </c>
      <c r="E42" s="594">
        <v>3.2</v>
      </c>
      <c r="F42" s="575">
        <v>663760</v>
      </c>
      <c r="G42" s="774">
        <f t="shared" si="3"/>
        <v>2124032</v>
      </c>
    </row>
    <row r="43" spans="1:7" s="45" customFormat="1" ht="15" customHeight="1">
      <c r="A43" s="124"/>
      <c r="B43" s="884">
        <v>2.1</v>
      </c>
      <c r="C43" s="593" t="s">
        <v>1522</v>
      </c>
      <c r="D43" s="827" t="s">
        <v>51</v>
      </c>
      <c r="E43" s="594">
        <v>14</v>
      </c>
      <c r="F43" s="575">
        <v>316330</v>
      </c>
      <c r="G43" s="774">
        <f t="shared" si="3"/>
        <v>4428620</v>
      </c>
    </row>
    <row r="44" spans="1:7" s="45" customFormat="1" ht="15" customHeight="1" thickBot="1">
      <c r="A44" s="124"/>
      <c r="B44" s="871"/>
      <c r="C44" s="1884" t="s">
        <v>983</v>
      </c>
      <c r="D44" s="1884"/>
      <c r="E44" s="1884"/>
      <c r="F44" s="1884"/>
      <c r="G44" s="1004">
        <f>SUM(G34:G43)</f>
        <v>38017651</v>
      </c>
    </row>
    <row r="45" spans="1:7" s="45" customFormat="1" ht="15" customHeight="1">
      <c r="A45" s="124"/>
      <c r="B45" s="823"/>
      <c r="C45" s="824"/>
      <c r="D45" s="821"/>
      <c r="E45" s="825"/>
      <c r="F45" s="43"/>
      <c r="G45" s="826"/>
    </row>
    <row r="46" spans="1:7" s="45" customFormat="1" ht="16.5" customHeight="1" thickBot="1">
      <c r="A46" s="124"/>
      <c r="B46" s="67"/>
      <c r="C46" s="102"/>
      <c r="D46" s="69"/>
      <c r="E46" s="70"/>
      <c r="F46" s="67"/>
      <c r="G46" s="125"/>
    </row>
    <row r="47" spans="1:7" s="45" customFormat="1">
      <c r="A47" s="73" t="s">
        <v>38</v>
      </c>
      <c r="B47" s="74">
        <v>3</v>
      </c>
      <c r="C47" s="75" t="s">
        <v>956</v>
      </c>
      <c r="D47" s="76"/>
      <c r="E47" s="76"/>
      <c r="F47" s="76"/>
      <c r="G47" s="126"/>
    </row>
    <row r="48" spans="1:7" s="45" customFormat="1" ht="15" hidden="1" customHeight="1">
      <c r="A48" s="84" t="s">
        <v>40</v>
      </c>
      <c r="B48" s="85"/>
      <c r="C48" s="86"/>
      <c r="D48" s="87"/>
      <c r="E48" s="88"/>
      <c r="F48" s="89"/>
      <c r="G48" s="90"/>
    </row>
    <row r="49" spans="1:7" s="45" customFormat="1">
      <c r="A49" s="586"/>
      <c r="B49" s="771"/>
      <c r="C49" s="788" t="s">
        <v>947</v>
      </c>
      <c r="D49" s="772"/>
      <c r="E49" s="773"/>
      <c r="F49" s="587"/>
      <c r="G49" s="774"/>
    </row>
    <row r="50" spans="1:7" s="45" customFormat="1">
      <c r="A50" s="586"/>
      <c r="B50" s="771">
        <v>3.1</v>
      </c>
      <c r="C50" s="102" t="s">
        <v>943</v>
      </c>
      <c r="D50" s="772" t="s">
        <v>139</v>
      </c>
      <c r="E50" s="780">
        <v>60</v>
      </c>
      <c r="F50" s="587">
        <v>2610</v>
      </c>
      <c r="G50" s="774">
        <f>+E50*F50</f>
        <v>156600</v>
      </c>
    </row>
    <row r="51" spans="1:7" s="45" customFormat="1">
      <c r="A51" s="586"/>
      <c r="B51" s="771">
        <f t="shared" ref="B51:B56" si="5">+B50+0.1</f>
        <v>3.2</v>
      </c>
      <c r="C51" s="102" t="s">
        <v>1101</v>
      </c>
      <c r="D51" s="772" t="s">
        <v>139</v>
      </c>
      <c r="E51" s="780">
        <v>20</v>
      </c>
      <c r="F51" s="587">
        <v>5190</v>
      </c>
      <c r="G51" s="774">
        <f t="shared" ref="G51:G56" si="6">+E51*F51</f>
        <v>103800</v>
      </c>
    </row>
    <row r="52" spans="1:7" s="45" customFormat="1">
      <c r="A52" s="586"/>
      <c r="B52" s="771">
        <f t="shared" si="5"/>
        <v>3.3000000000000003</v>
      </c>
      <c r="C52" s="102" t="s">
        <v>941</v>
      </c>
      <c r="D52" s="777" t="s">
        <v>139</v>
      </c>
      <c r="E52" s="780">
        <v>106</v>
      </c>
      <c r="F52" s="776">
        <v>10240</v>
      </c>
      <c r="G52" s="774">
        <f t="shared" si="6"/>
        <v>1085440</v>
      </c>
    </row>
    <row r="53" spans="1:7" s="45" customFormat="1">
      <c r="A53" s="586"/>
      <c r="B53" s="771">
        <f t="shared" si="5"/>
        <v>3.4000000000000004</v>
      </c>
      <c r="C53" s="102" t="s">
        <v>497</v>
      </c>
      <c r="D53" s="777" t="s">
        <v>56</v>
      </c>
      <c r="E53" s="780">
        <v>99</v>
      </c>
      <c r="F53" s="587">
        <v>17220</v>
      </c>
      <c r="G53" s="774">
        <f t="shared" si="6"/>
        <v>1704780</v>
      </c>
    </row>
    <row r="54" spans="1:7" s="45" customFormat="1">
      <c r="A54" s="586"/>
      <c r="B54" s="771">
        <f t="shared" si="5"/>
        <v>3.5000000000000004</v>
      </c>
      <c r="C54" s="782" t="s">
        <v>979</v>
      </c>
      <c r="D54" s="772" t="s">
        <v>139</v>
      </c>
      <c r="E54" s="780">
        <v>29</v>
      </c>
      <c r="F54" s="791">
        <v>573533</v>
      </c>
      <c r="G54" s="774">
        <f t="shared" si="6"/>
        <v>16632457</v>
      </c>
    </row>
    <row r="55" spans="1:7" s="45" customFormat="1">
      <c r="A55" s="586"/>
      <c r="B55" s="771">
        <f t="shared" si="5"/>
        <v>3.6000000000000005</v>
      </c>
      <c r="C55" s="102" t="s">
        <v>976</v>
      </c>
      <c r="D55" s="772" t="s">
        <v>139</v>
      </c>
      <c r="E55" s="780">
        <v>43</v>
      </c>
      <c r="F55" s="587">
        <v>614040</v>
      </c>
      <c r="G55" s="774">
        <f t="shared" si="6"/>
        <v>26403720</v>
      </c>
    </row>
    <row r="56" spans="1:7" s="45" customFormat="1">
      <c r="A56" s="586"/>
      <c r="B56" s="771">
        <f t="shared" si="5"/>
        <v>3.7000000000000006</v>
      </c>
      <c r="C56" s="102" t="s">
        <v>980</v>
      </c>
      <c r="D56" s="772" t="s">
        <v>139</v>
      </c>
      <c r="E56" s="780">
        <v>3</v>
      </c>
      <c r="F56" s="587">
        <v>594610</v>
      </c>
      <c r="G56" s="774">
        <f t="shared" si="6"/>
        <v>1783830</v>
      </c>
    </row>
    <row r="57" spans="1:7" s="45" customFormat="1">
      <c r="A57" s="586"/>
      <c r="B57" s="838"/>
      <c r="C57" s="215"/>
      <c r="D57" s="216"/>
      <c r="E57" s="829"/>
      <c r="F57" s="95"/>
      <c r="G57" s="836"/>
    </row>
    <row r="58" spans="1:7" s="45" customFormat="1" ht="15.75" thickBot="1">
      <c r="A58" s="586"/>
      <c r="B58" s="113"/>
      <c r="C58" s="114"/>
      <c r="D58" s="115"/>
      <c r="E58" s="116"/>
      <c r="F58" s="789" t="s">
        <v>968</v>
      </c>
      <c r="G58" s="118">
        <f>SUM(G50:G57)</f>
        <v>47870627</v>
      </c>
    </row>
    <row r="59" spans="1:7" s="45" customFormat="1">
      <c r="A59" s="586"/>
      <c r="B59" s="771"/>
      <c r="C59" s="102"/>
      <c r="D59" s="772"/>
      <c r="E59" s="780"/>
      <c r="F59" s="587"/>
      <c r="G59" s="774"/>
    </row>
    <row r="60" spans="1:7" s="45" customFormat="1">
      <c r="A60" s="586"/>
      <c r="B60" s="771"/>
      <c r="C60" s="787" t="s">
        <v>948</v>
      </c>
      <c r="D60" s="772"/>
      <c r="E60" s="780"/>
      <c r="F60" s="587"/>
      <c r="G60" s="774">
        <f>+E60*F61</f>
        <v>0</v>
      </c>
    </row>
    <row r="61" spans="1:7" s="45" customFormat="1">
      <c r="A61" s="586"/>
      <c r="B61" s="771">
        <v>3.8</v>
      </c>
      <c r="C61" s="102" t="s">
        <v>522</v>
      </c>
      <c r="D61" s="772" t="s">
        <v>142</v>
      </c>
      <c r="E61" s="780">
        <v>2400</v>
      </c>
      <c r="F61" s="773">
        <v>3100</v>
      </c>
      <c r="G61" s="774">
        <f t="shared" ref="G61:G80" si="7">+E61*F61</f>
        <v>7440000</v>
      </c>
    </row>
    <row r="62" spans="1:7" s="45" customFormat="1">
      <c r="A62" s="586"/>
      <c r="B62" s="779">
        <v>3.1</v>
      </c>
      <c r="C62" s="102" t="s">
        <v>942</v>
      </c>
      <c r="D62" s="777" t="s">
        <v>56</v>
      </c>
      <c r="E62" s="780">
        <v>81</v>
      </c>
      <c r="F62" s="773">
        <v>4500</v>
      </c>
      <c r="G62" s="774">
        <f t="shared" si="7"/>
        <v>364500</v>
      </c>
    </row>
    <row r="63" spans="1:7" s="45" customFormat="1">
      <c r="A63" s="586"/>
      <c r="B63" s="779">
        <f>+B62+0.01</f>
        <v>3.11</v>
      </c>
      <c r="C63" s="102" t="s">
        <v>945</v>
      </c>
      <c r="D63" s="772" t="s">
        <v>139</v>
      </c>
      <c r="E63" s="780">
        <v>12</v>
      </c>
      <c r="F63" s="778">
        <v>63050</v>
      </c>
      <c r="G63" s="774">
        <f t="shared" si="7"/>
        <v>756600</v>
      </c>
    </row>
    <row r="64" spans="1:7" s="45" customFormat="1">
      <c r="A64" s="586"/>
      <c r="B64" s="779">
        <f t="shared" ref="B64:B82" si="8">+B63+0.01</f>
        <v>3.1199999999999997</v>
      </c>
      <c r="C64" s="102" t="s">
        <v>946</v>
      </c>
      <c r="D64" s="772" t="s">
        <v>540</v>
      </c>
      <c r="E64" s="780">
        <v>60</v>
      </c>
      <c r="F64" s="587">
        <v>29330</v>
      </c>
      <c r="G64" s="774">
        <f t="shared" si="7"/>
        <v>1759800</v>
      </c>
    </row>
    <row r="65" spans="1:7" s="45" customFormat="1">
      <c r="A65" s="586"/>
      <c r="B65" s="779">
        <f t="shared" si="8"/>
        <v>3.1299999999999994</v>
      </c>
      <c r="C65" s="102" t="s">
        <v>949</v>
      </c>
      <c r="D65" s="772" t="s">
        <v>540</v>
      </c>
      <c r="E65" s="773">
        <v>21</v>
      </c>
      <c r="F65" s="587">
        <v>48740</v>
      </c>
      <c r="G65" s="774">
        <f t="shared" si="7"/>
        <v>1023540</v>
      </c>
    </row>
    <row r="66" spans="1:7" s="45" customFormat="1">
      <c r="A66" s="586"/>
      <c r="B66" s="779">
        <f t="shared" si="8"/>
        <v>3.1399999999999992</v>
      </c>
      <c r="C66" s="782" t="s">
        <v>950</v>
      </c>
      <c r="D66" s="772" t="s">
        <v>540</v>
      </c>
      <c r="E66" s="773">
        <v>87</v>
      </c>
      <c r="F66" s="587">
        <v>18420</v>
      </c>
      <c r="G66" s="774">
        <f t="shared" si="7"/>
        <v>1602540</v>
      </c>
    </row>
    <row r="67" spans="1:7" s="45" customFormat="1" ht="26.25" customHeight="1">
      <c r="A67" s="586"/>
      <c r="B67" s="779">
        <f t="shared" si="8"/>
        <v>3.149999999999999</v>
      </c>
      <c r="C67" s="988" t="s">
        <v>937</v>
      </c>
      <c r="D67" s="820" t="s">
        <v>22</v>
      </c>
      <c r="E67" s="969">
        <v>170</v>
      </c>
      <c r="F67" s="858">
        <v>42200</v>
      </c>
      <c r="G67" s="774">
        <f t="shared" si="7"/>
        <v>7174000</v>
      </c>
    </row>
    <row r="68" spans="1:7" s="45" customFormat="1">
      <c r="A68" s="586"/>
      <c r="B68" s="1251">
        <f t="shared" si="8"/>
        <v>3.1599999999999988</v>
      </c>
      <c r="C68" s="988" t="s">
        <v>952</v>
      </c>
      <c r="D68" s="820" t="s">
        <v>22</v>
      </c>
      <c r="E68" s="969">
        <v>6</v>
      </c>
      <c r="F68" s="850">
        <v>612360</v>
      </c>
      <c r="G68" s="774">
        <f t="shared" si="7"/>
        <v>3674160</v>
      </c>
    </row>
    <row r="69" spans="1:7" s="45" customFormat="1">
      <c r="A69" s="586"/>
      <c r="B69" s="779">
        <f t="shared" si="8"/>
        <v>3.1699999999999986</v>
      </c>
      <c r="C69" s="102" t="s">
        <v>510</v>
      </c>
      <c r="D69" s="772" t="s">
        <v>22</v>
      </c>
      <c r="E69" s="773">
        <v>6</v>
      </c>
      <c r="F69" s="587">
        <v>1070400</v>
      </c>
      <c r="G69" s="774">
        <f t="shared" si="7"/>
        <v>6422400</v>
      </c>
    </row>
    <row r="70" spans="1:7" s="45" customFormat="1">
      <c r="A70" s="586"/>
      <c r="B70" s="779">
        <f t="shared" si="8"/>
        <v>3.1799999999999984</v>
      </c>
      <c r="C70" s="102" t="s">
        <v>537</v>
      </c>
      <c r="D70" s="772" t="s">
        <v>22</v>
      </c>
      <c r="E70" s="773">
        <v>6</v>
      </c>
      <c r="F70" s="587">
        <v>1328000</v>
      </c>
      <c r="G70" s="774">
        <f t="shared" si="7"/>
        <v>7968000</v>
      </c>
    </row>
    <row r="71" spans="1:7" s="45" customFormat="1">
      <c r="A71" s="586"/>
      <c r="B71" s="779">
        <f t="shared" si="8"/>
        <v>3.1899999999999982</v>
      </c>
      <c r="C71" s="102" t="s">
        <v>1472</v>
      </c>
      <c r="D71" s="772" t="s">
        <v>500</v>
      </c>
      <c r="E71" s="773">
        <v>22</v>
      </c>
      <c r="F71" s="587">
        <v>80874</v>
      </c>
      <c r="G71" s="774">
        <f t="shared" si="7"/>
        <v>1779228</v>
      </c>
    </row>
    <row r="72" spans="1:7" s="45" customFormat="1">
      <c r="A72" s="586"/>
      <c r="B72" s="779">
        <f t="shared" si="8"/>
        <v>3.199999999999998</v>
      </c>
      <c r="C72" s="102" t="s">
        <v>1473</v>
      </c>
      <c r="D72" s="772" t="s">
        <v>500</v>
      </c>
      <c r="E72" s="773">
        <v>22</v>
      </c>
      <c r="F72" s="587">
        <v>74874</v>
      </c>
      <c r="G72" s="774">
        <f t="shared" si="7"/>
        <v>1647228</v>
      </c>
    </row>
    <row r="73" spans="1:7" s="45" customFormat="1" ht="15.75" customHeight="1">
      <c r="A73" s="586"/>
      <c r="B73" s="779">
        <f t="shared" si="8"/>
        <v>3.2099999999999977</v>
      </c>
      <c r="C73" s="102" t="s">
        <v>509</v>
      </c>
      <c r="D73" s="772" t="s">
        <v>56</v>
      </c>
      <c r="E73" s="773">
        <v>77</v>
      </c>
      <c r="F73" s="587">
        <v>150170</v>
      </c>
      <c r="G73" s="774">
        <f t="shared" si="7"/>
        <v>11563090</v>
      </c>
    </row>
    <row r="74" spans="1:7" s="45" customFormat="1" ht="63.75" customHeight="1">
      <c r="A74" s="586"/>
      <c r="B74" s="779">
        <f t="shared" si="8"/>
        <v>3.2199999999999975</v>
      </c>
      <c r="C74" s="1248" t="s">
        <v>1474</v>
      </c>
      <c r="D74" s="772"/>
      <c r="E74" s="773"/>
      <c r="F74" s="587"/>
      <c r="G74" s="774">
        <f t="shared" si="7"/>
        <v>0</v>
      </c>
    </row>
    <row r="75" spans="1:7" s="45" customFormat="1">
      <c r="A75" s="586"/>
      <c r="B75" s="857" t="s">
        <v>1032</v>
      </c>
      <c r="C75" s="988" t="s">
        <v>954</v>
      </c>
      <c r="D75" s="820" t="s">
        <v>22</v>
      </c>
      <c r="E75" s="969">
        <v>3</v>
      </c>
      <c r="F75" s="858">
        <v>8569935</v>
      </c>
      <c r="G75" s="774">
        <f t="shared" si="7"/>
        <v>25709805</v>
      </c>
    </row>
    <row r="76" spans="1:7" s="45" customFormat="1">
      <c r="A76" s="586"/>
      <c r="B76" s="857" t="s">
        <v>1033</v>
      </c>
      <c r="C76" s="988" t="s">
        <v>955</v>
      </c>
      <c r="D76" s="820" t="s">
        <v>22</v>
      </c>
      <c r="E76" s="969">
        <v>2</v>
      </c>
      <c r="F76" s="858">
        <v>8644083</v>
      </c>
      <c r="G76" s="774">
        <f t="shared" si="7"/>
        <v>17288166</v>
      </c>
    </row>
    <row r="77" spans="1:7" s="45" customFormat="1">
      <c r="A77" s="586"/>
      <c r="B77" s="857" t="s">
        <v>1034</v>
      </c>
      <c r="C77" s="988" t="s">
        <v>511</v>
      </c>
      <c r="D77" s="820" t="s">
        <v>22</v>
      </c>
      <c r="E77" s="969">
        <v>6</v>
      </c>
      <c r="F77" s="858">
        <v>4053852</v>
      </c>
      <c r="G77" s="774">
        <f t="shared" si="7"/>
        <v>24323112</v>
      </c>
    </row>
    <row r="78" spans="1:7" s="45" customFormat="1">
      <c r="A78" s="586"/>
      <c r="B78" s="857" t="s">
        <v>1035</v>
      </c>
      <c r="C78" s="102" t="s">
        <v>503</v>
      </c>
      <c r="D78" s="772" t="s">
        <v>22</v>
      </c>
      <c r="E78" s="773">
        <v>3</v>
      </c>
      <c r="F78" s="858">
        <v>890000</v>
      </c>
      <c r="G78" s="774">
        <f t="shared" si="7"/>
        <v>2670000</v>
      </c>
    </row>
    <row r="79" spans="1:7" s="45" customFormat="1">
      <c r="A79" s="586"/>
      <c r="B79" s="857" t="s">
        <v>1036</v>
      </c>
      <c r="C79" s="102" t="s">
        <v>504</v>
      </c>
      <c r="D79" s="772" t="s">
        <v>22</v>
      </c>
      <c r="E79" s="773">
        <v>1</v>
      </c>
      <c r="F79" s="858">
        <v>182000</v>
      </c>
      <c r="G79" s="774">
        <f t="shared" si="7"/>
        <v>182000</v>
      </c>
    </row>
    <row r="80" spans="1:7" s="45" customFormat="1">
      <c r="A80" s="586"/>
      <c r="B80" s="857" t="s">
        <v>1037</v>
      </c>
      <c r="C80" s="102" t="s">
        <v>505</v>
      </c>
      <c r="D80" s="772" t="s">
        <v>22</v>
      </c>
      <c r="E80" s="773">
        <v>1</v>
      </c>
      <c r="F80" s="858">
        <v>127500</v>
      </c>
      <c r="G80" s="774">
        <f t="shared" si="7"/>
        <v>127500</v>
      </c>
    </row>
    <row r="81" spans="1:7" s="45" customFormat="1" ht="318.75" hidden="1" customHeight="1">
      <c r="A81" s="586"/>
      <c r="B81" s="987">
        <v>3.23</v>
      </c>
      <c r="C81" s="1044" t="s">
        <v>978</v>
      </c>
      <c r="D81" s="1005" t="s">
        <v>22</v>
      </c>
      <c r="E81" s="1006"/>
      <c r="F81" s="1007">
        <v>16554593.799253464</v>
      </c>
      <c r="G81" s="1008">
        <f t="shared" ref="G81:G82" si="9">+E81*F81</f>
        <v>0</v>
      </c>
    </row>
    <row r="82" spans="1:7" s="45" customFormat="1" ht="22.5" hidden="1" customHeight="1">
      <c r="A82" s="586"/>
      <c r="B82" s="779">
        <f t="shared" si="8"/>
        <v>3.2399999999999998</v>
      </c>
      <c r="C82" s="781" t="s">
        <v>951</v>
      </c>
      <c r="D82" s="783" t="s">
        <v>22</v>
      </c>
      <c r="E82" s="784">
        <v>1</v>
      </c>
      <c r="F82" s="785"/>
      <c r="G82" s="786">
        <f t="shared" si="9"/>
        <v>0</v>
      </c>
    </row>
    <row r="83" spans="1:7" s="45" customFormat="1">
      <c r="A83" s="586"/>
      <c r="B83" s="779"/>
      <c r="C83" s="781"/>
      <c r="D83" s="781"/>
      <c r="E83" s="781"/>
      <c r="F83" s="781"/>
      <c r="G83" s="786"/>
    </row>
    <row r="84" spans="1:7" s="45" customFormat="1">
      <c r="A84" s="586"/>
      <c r="B84" s="771"/>
      <c r="C84" s="102"/>
      <c r="D84" s="772"/>
      <c r="E84" s="773"/>
      <c r="F84" s="587"/>
      <c r="G84" s="774"/>
    </row>
    <row r="85" spans="1:7" s="45" customFormat="1" ht="15.75" thickBot="1">
      <c r="A85" s="586"/>
      <c r="B85" s="771"/>
      <c r="C85" s="114"/>
      <c r="D85" s="115"/>
      <c r="E85" s="116"/>
      <c r="F85" s="117" t="s">
        <v>957</v>
      </c>
      <c r="G85" s="118">
        <f>SUM(G60:G84)</f>
        <v>123475669</v>
      </c>
    </row>
    <row r="86" spans="1:7" s="45" customFormat="1">
      <c r="A86" s="586"/>
      <c r="B86" s="771"/>
      <c r="C86" s="102"/>
      <c r="D86" s="772"/>
      <c r="E86" s="773"/>
      <c r="F86" s="587"/>
      <c r="G86" s="774"/>
    </row>
    <row r="87" spans="1:7" s="45" customFormat="1" ht="15.75" thickBot="1">
      <c r="A87" s="586"/>
      <c r="B87" s="771"/>
      <c r="C87" s="871"/>
      <c r="D87" s="873"/>
      <c r="E87" s="874"/>
      <c r="F87" s="1180" t="s">
        <v>958</v>
      </c>
      <c r="G87" s="1004">
        <f>+G58+G85</f>
        <v>171346296</v>
      </c>
    </row>
    <row r="88" spans="1:7" s="45" customFormat="1" ht="15.75" thickBot="1">
      <c r="A88" s="586"/>
      <c r="B88" s="823"/>
      <c r="C88" s="824"/>
      <c r="D88" s="821"/>
      <c r="E88" s="825"/>
      <c r="F88" s="43"/>
      <c r="G88" s="826"/>
    </row>
    <row r="89" spans="1:7" s="45" customFormat="1">
      <c r="A89" s="586"/>
      <c r="B89" s="74">
        <v>4</v>
      </c>
      <c r="C89" s="75" t="s">
        <v>475</v>
      </c>
      <c r="D89" s="76"/>
      <c r="E89" s="76"/>
      <c r="F89" s="76"/>
      <c r="G89" s="126"/>
    </row>
    <row r="90" spans="1:7" s="45" customFormat="1">
      <c r="A90" s="586"/>
      <c r="B90" s="771"/>
      <c r="C90" s="788" t="s">
        <v>947</v>
      </c>
      <c r="D90" s="772"/>
      <c r="E90" s="773"/>
      <c r="F90" s="587"/>
      <c r="G90" s="774"/>
    </row>
    <row r="91" spans="1:7" s="45" customFormat="1">
      <c r="A91" s="586"/>
      <c r="B91" s="771">
        <v>4.0999999999999996</v>
      </c>
      <c r="C91" s="102" t="s">
        <v>943</v>
      </c>
      <c r="D91" s="772" t="s">
        <v>139</v>
      </c>
      <c r="E91" s="587">
        <v>182</v>
      </c>
      <c r="F91" s="587">
        <v>2610</v>
      </c>
      <c r="G91" s="774">
        <f t="shared" ref="G91:G97" si="10">+E91*F91</f>
        <v>475020</v>
      </c>
    </row>
    <row r="92" spans="1:7" s="45" customFormat="1">
      <c r="A92" s="586"/>
      <c r="B92" s="771">
        <f>+B91+0.1</f>
        <v>4.1999999999999993</v>
      </c>
      <c r="C92" s="102" t="s">
        <v>1101</v>
      </c>
      <c r="D92" s="772" t="s">
        <v>139</v>
      </c>
      <c r="E92" s="780">
        <v>27</v>
      </c>
      <c r="F92" s="587">
        <v>5190</v>
      </c>
      <c r="G92" s="774">
        <f t="shared" si="10"/>
        <v>140130</v>
      </c>
    </row>
    <row r="93" spans="1:7" s="45" customFormat="1">
      <c r="A93" s="586"/>
      <c r="B93" s="771">
        <f>+B92+0.1</f>
        <v>4.2999999999999989</v>
      </c>
      <c r="C93" s="102" t="s">
        <v>941</v>
      </c>
      <c r="D93" s="777" t="s">
        <v>139</v>
      </c>
      <c r="E93" s="587">
        <v>98</v>
      </c>
      <c r="F93" s="587">
        <v>10240</v>
      </c>
      <c r="G93" s="774">
        <f t="shared" si="10"/>
        <v>1003520</v>
      </c>
    </row>
    <row r="94" spans="1:7" s="45" customFormat="1">
      <c r="A94" s="586"/>
      <c r="B94" s="771">
        <f t="shared" ref="B94:B96" si="11">+B93+0.1</f>
        <v>4.3999999999999986</v>
      </c>
      <c r="C94" s="102" t="s">
        <v>497</v>
      </c>
      <c r="D94" s="777" t="s">
        <v>56</v>
      </c>
      <c r="E94" s="587">
        <v>48</v>
      </c>
      <c r="F94" s="587">
        <v>17220</v>
      </c>
      <c r="G94" s="774">
        <f t="shared" si="10"/>
        <v>826560</v>
      </c>
    </row>
    <row r="95" spans="1:7" s="45" customFormat="1">
      <c r="A95" s="586"/>
      <c r="B95" s="771">
        <f t="shared" si="11"/>
        <v>4.4999999999999982</v>
      </c>
      <c r="C95" s="782" t="s">
        <v>979</v>
      </c>
      <c r="D95" s="772" t="s">
        <v>139</v>
      </c>
      <c r="E95" s="587">
        <v>14</v>
      </c>
      <c r="F95" s="587">
        <v>573533</v>
      </c>
      <c r="G95" s="774">
        <f t="shared" si="10"/>
        <v>8029462</v>
      </c>
    </row>
    <row r="96" spans="1:7" s="45" customFormat="1">
      <c r="A96" s="586"/>
      <c r="B96" s="771">
        <f t="shared" si="11"/>
        <v>4.5999999999999979</v>
      </c>
      <c r="C96" s="102" t="s">
        <v>976</v>
      </c>
      <c r="D96" s="772" t="s">
        <v>139</v>
      </c>
      <c r="E96" s="587">
        <v>65</v>
      </c>
      <c r="F96" s="587">
        <v>614040</v>
      </c>
      <c r="G96" s="774">
        <f t="shared" si="10"/>
        <v>39912600</v>
      </c>
    </row>
    <row r="97" spans="1:7" s="45" customFormat="1">
      <c r="A97" s="586"/>
      <c r="B97" s="771">
        <f>+B96+0.1</f>
        <v>4.6999999999999975</v>
      </c>
      <c r="C97" s="102" t="s">
        <v>939</v>
      </c>
      <c r="D97" s="772" t="s">
        <v>139</v>
      </c>
      <c r="E97" s="587">
        <v>3</v>
      </c>
      <c r="F97" s="587">
        <f>+F56</f>
        <v>594610</v>
      </c>
      <c r="G97" s="774">
        <f t="shared" si="10"/>
        <v>1783830</v>
      </c>
    </row>
    <row r="98" spans="1:7" s="45" customFormat="1">
      <c r="A98" s="586"/>
      <c r="B98" s="823"/>
      <c r="C98" s="215"/>
      <c r="D98" s="216"/>
      <c r="E98" s="95"/>
      <c r="F98" s="95"/>
      <c r="G98" s="774"/>
    </row>
    <row r="99" spans="1:7" s="45" customFormat="1" ht="15.75" thickBot="1">
      <c r="A99" s="586"/>
      <c r="B99" s="114"/>
      <c r="C99" s="114"/>
      <c r="D99" s="115"/>
      <c r="E99" s="116"/>
      <c r="F99" s="117" t="s">
        <v>966</v>
      </c>
      <c r="G99" s="118">
        <f>SUM(G91:G98)</f>
        <v>52171122</v>
      </c>
    </row>
    <row r="100" spans="1:7" s="45" customFormat="1">
      <c r="A100" s="586"/>
      <c r="B100" s="771"/>
      <c r="C100" s="102"/>
      <c r="D100" s="772"/>
      <c r="E100" s="773"/>
      <c r="F100" s="587"/>
      <c r="G100" s="774"/>
    </row>
    <row r="101" spans="1:7" s="45" customFormat="1">
      <c r="A101" s="586"/>
      <c r="B101" s="771"/>
      <c r="C101" s="787" t="s">
        <v>948</v>
      </c>
      <c r="D101" s="772"/>
      <c r="E101" s="773"/>
      <c r="F101" s="587"/>
      <c r="G101" s="774"/>
    </row>
    <row r="102" spans="1:7" s="45" customFormat="1" ht="78.75" customHeight="1">
      <c r="A102" s="586"/>
      <c r="B102" s="844">
        <v>4.8</v>
      </c>
      <c r="C102" s="102" t="s">
        <v>1025</v>
      </c>
      <c r="D102" s="772"/>
      <c r="E102" s="780"/>
      <c r="F102" s="587"/>
      <c r="G102" s="774"/>
    </row>
    <row r="103" spans="1:7" s="45" customFormat="1">
      <c r="A103" s="586"/>
      <c r="B103" s="779">
        <f>+B102+0.1</f>
        <v>4.8999999999999995</v>
      </c>
      <c r="C103" s="102" t="s">
        <v>1524</v>
      </c>
      <c r="D103" s="777" t="s">
        <v>22</v>
      </c>
      <c r="E103" s="587">
        <v>2</v>
      </c>
      <c r="F103" s="587">
        <v>14621008</v>
      </c>
      <c r="G103" s="774">
        <f t="shared" ref="G103:G126" si="12">+E103*F103</f>
        <v>29242016</v>
      </c>
    </row>
    <row r="104" spans="1:7" s="45" customFormat="1">
      <c r="A104" s="586"/>
      <c r="B104" s="779">
        <v>4.0999999999999996</v>
      </c>
      <c r="C104" s="102" t="s">
        <v>962</v>
      </c>
      <c r="D104" s="777" t="s">
        <v>22</v>
      </c>
      <c r="E104" s="587">
        <v>2</v>
      </c>
      <c r="F104" s="587">
        <v>5712397</v>
      </c>
      <c r="G104" s="774">
        <f t="shared" si="12"/>
        <v>11424794</v>
      </c>
    </row>
    <row r="105" spans="1:7" s="45" customFormat="1">
      <c r="A105" s="586"/>
      <c r="B105" s="779">
        <f>+B104+0.01</f>
        <v>4.1099999999999994</v>
      </c>
      <c r="C105" s="102" t="s">
        <v>963</v>
      </c>
      <c r="D105" s="772" t="s">
        <v>22</v>
      </c>
      <c r="E105" s="587">
        <v>2</v>
      </c>
      <c r="F105" s="587">
        <v>7484123</v>
      </c>
      <c r="G105" s="774">
        <f t="shared" si="12"/>
        <v>14968246</v>
      </c>
    </row>
    <row r="106" spans="1:7" s="45" customFormat="1" ht="25.5">
      <c r="A106" s="586"/>
      <c r="B106" s="779">
        <f t="shared" ref="B106:B126" si="13">+B105+0.01</f>
        <v>4.1199999999999992</v>
      </c>
      <c r="C106" s="102" t="s">
        <v>1019</v>
      </c>
      <c r="D106" s="777" t="s">
        <v>512</v>
      </c>
      <c r="E106" s="587">
        <v>4</v>
      </c>
      <c r="F106" s="587">
        <v>931480</v>
      </c>
      <c r="G106" s="774">
        <f t="shared" si="12"/>
        <v>3725920</v>
      </c>
    </row>
    <row r="107" spans="1:7" s="45" customFormat="1" ht="20.25" customHeight="1">
      <c r="A107" s="586"/>
      <c r="B107" s="779">
        <f t="shared" si="13"/>
        <v>4.129999999999999</v>
      </c>
      <c r="C107" s="102" t="s">
        <v>1020</v>
      </c>
      <c r="D107" s="777" t="s">
        <v>22</v>
      </c>
      <c r="E107" s="587">
        <v>4</v>
      </c>
      <c r="F107" s="587">
        <v>174812</v>
      </c>
      <c r="G107" s="774">
        <f t="shared" si="12"/>
        <v>699248</v>
      </c>
    </row>
    <row r="108" spans="1:7" s="45" customFormat="1" ht="20.25" customHeight="1">
      <c r="A108" s="586"/>
      <c r="B108" s="779">
        <f t="shared" si="13"/>
        <v>4.1399999999999988</v>
      </c>
      <c r="C108" s="102" t="s">
        <v>1438</v>
      </c>
      <c r="D108" s="777" t="s">
        <v>512</v>
      </c>
      <c r="E108" s="587">
        <v>2</v>
      </c>
      <c r="F108" s="587">
        <v>536430</v>
      </c>
      <c r="G108" s="774">
        <f t="shared" si="12"/>
        <v>1072860</v>
      </c>
    </row>
    <row r="109" spans="1:7" s="45" customFormat="1" ht="20.25" customHeight="1">
      <c r="A109" s="586"/>
      <c r="B109" s="1251">
        <f t="shared" si="13"/>
        <v>4.1499999999999986</v>
      </c>
      <c r="C109" s="865" t="s">
        <v>1439</v>
      </c>
      <c r="D109" s="1151" t="s">
        <v>512</v>
      </c>
      <c r="E109" s="850">
        <v>2</v>
      </c>
      <c r="F109" s="850">
        <v>4053852</v>
      </c>
      <c r="G109" s="774">
        <f t="shared" si="12"/>
        <v>8107704</v>
      </c>
    </row>
    <row r="110" spans="1:7" s="45" customFormat="1">
      <c r="A110" s="586"/>
      <c r="B110" s="779">
        <f t="shared" si="13"/>
        <v>4.1599999999999984</v>
      </c>
      <c r="C110" s="102" t="s">
        <v>522</v>
      </c>
      <c r="D110" s="772" t="s">
        <v>142</v>
      </c>
      <c r="E110" s="587">
        <v>4000</v>
      </c>
      <c r="F110" s="587">
        <v>3100</v>
      </c>
      <c r="G110" s="774">
        <f t="shared" si="12"/>
        <v>12400000</v>
      </c>
    </row>
    <row r="111" spans="1:7" s="45" customFormat="1">
      <c r="A111" s="586"/>
      <c r="B111" s="779">
        <f t="shared" si="13"/>
        <v>4.1699999999999982</v>
      </c>
      <c r="C111" s="102" t="s">
        <v>942</v>
      </c>
      <c r="D111" s="777" t="s">
        <v>56</v>
      </c>
      <c r="E111" s="587">
        <v>37</v>
      </c>
      <c r="F111" s="587">
        <v>4500</v>
      </c>
      <c r="G111" s="774">
        <f t="shared" si="12"/>
        <v>166500</v>
      </c>
    </row>
    <row r="112" spans="1:7" s="45" customFormat="1">
      <c r="A112" s="586"/>
      <c r="B112" s="1251">
        <f t="shared" si="13"/>
        <v>4.1799999999999979</v>
      </c>
      <c r="C112" s="102" t="s">
        <v>945</v>
      </c>
      <c r="D112" s="772" t="s">
        <v>139</v>
      </c>
      <c r="E112" s="587">
        <v>7</v>
      </c>
      <c r="F112" s="587">
        <v>63050</v>
      </c>
      <c r="G112" s="774">
        <f t="shared" si="12"/>
        <v>441350</v>
      </c>
    </row>
    <row r="113" spans="1:7" s="45" customFormat="1">
      <c r="A113" s="586"/>
      <c r="B113" s="779">
        <f t="shared" si="13"/>
        <v>4.1899999999999977</v>
      </c>
      <c r="C113" s="102" t="s">
        <v>946</v>
      </c>
      <c r="D113" s="772" t="s">
        <v>540</v>
      </c>
      <c r="E113" s="587">
        <v>30</v>
      </c>
      <c r="F113" s="587">
        <v>29330</v>
      </c>
      <c r="G113" s="774">
        <f t="shared" si="12"/>
        <v>879900</v>
      </c>
    </row>
    <row r="114" spans="1:7" s="45" customFormat="1">
      <c r="A114" s="586"/>
      <c r="B114" s="779">
        <f t="shared" si="13"/>
        <v>4.1999999999999975</v>
      </c>
      <c r="C114" s="782" t="s">
        <v>950</v>
      </c>
      <c r="D114" s="772" t="s">
        <v>540</v>
      </c>
      <c r="E114" s="587">
        <v>56</v>
      </c>
      <c r="F114" s="587">
        <v>18420</v>
      </c>
      <c r="G114" s="774">
        <f t="shared" si="12"/>
        <v>1031520</v>
      </c>
    </row>
    <row r="115" spans="1:7" s="45" customFormat="1" ht="24.75" customHeight="1">
      <c r="A115" s="586"/>
      <c r="B115" s="779">
        <f t="shared" si="13"/>
        <v>4.2099999999999973</v>
      </c>
      <c r="C115" s="782" t="s">
        <v>964</v>
      </c>
      <c r="D115" s="772" t="s">
        <v>22</v>
      </c>
      <c r="E115" s="587">
        <v>138</v>
      </c>
      <c r="F115" s="587">
        <v>49700</v>
      </c>
      <c r="G115" s="774">
        <f t="shared" si="12"/>
        <v>6858600</v>
      </c>
    </row>
    <row r="116" spans="1:7" s="45" customFormat="1" ht="15" customHeight="1">
      <c r="A116" s="586"/>
      <c r="B116" s="779">
        <f t="shared" si="13"/>
        <v>4.2199999999999971</v>
      </c>
      <c r="C116" s="102" t="s">
        <v>509</v>
      </c>
      <c r="D116" s="772" t="s">
        <v>56</v>
      </c>
      <c r="E116" s="587">
        <v>36</v>
      </c>
      <c r="F116" s="587">
        <v>150170</v>
      </c>
      <c r="G116" s="774">
        <f t="shared" si="12"/>
        <v>5406120</v>
      </c>
    </row>
    <row r="117" spans="1:7" s="45" customFormat="1" ht="25.5">
      <c r="A117" s="586"/>
      <c r="B117" s="779">
        <f t="shared" si="13"/>
        <v>4.2299999999999969</v>
      </c>
      <c r="C117" s="102" t="s">
        <v>935</v>
      </c>
      <c r="D117" s="777" t="s">
        <v>22</v>
      </c>
      <c r="E117" s="587">
        <v>42</v>
      </c>
      <c r="F117" s="587">
        <v>59200</v>
      </c>
      <c r="G117" s="774">
        <f t="shared" si="12"/>
        <v>2486400</v>
      </c>
    </row>
    <row r="118" spans="1:7" s="45" customFormat="1" ht="25.5">
      <c r="A118" s="586"/>
      <c r="B118" s="779">
        <f t="shared" si="13"/>
        <v>4.2399999999999967</v>
      </c>
      <c r="C118" s="102" t="s">
        <v>1018</v>
      </c>
      <c r="D118" s="777" t="s">
        <v>512</v>
      </c>
      <c r="E118" s="587">
        <v>30</v>
      </c>
      <c r="F118" s="587">
        <v>30550</v>
      </c>
      <c r="G118" s="774">
        <f t="shared" si="12"/>
        <v>916500</v>
      </c>
    </row>
    <row r="119" spans="1:7" s="45" customFormat="1">
      <c r="A119" s="586"/>
      <c r="B119" s="779">
        <f t="shared" si="13"/>
        <v>4.2499999999999964</v>
      </c>
      <c r="C119" s="102" t="s">
        <v>543</v>
      </c>
      <c r="D119" s="777" t="s">
        <v>512</v>
      </c>
      <c r="E119" s="587">
        <v>32</v>
      </c>
      <c r="F119" s="587">
        <v>21450</v>
      </c>
      <c r="G119" s="774">
        <f t="shared" si="12"/>
        <v>686400</v>
      </c>
    </row>
    <row r="120" spans="1:7" s="45" customFormat="1">
      <c r="A120" s="586"/>
      <c r="B120" s="779">
        <f t="shared" si="13"/>
        <v>4.2599999999999962</v>
      </c>
      <c r="C120" s="102" t="s">
        <v>545</v>
      </c>
      <c r="D120" s="777" t="s">
        <v>500</v>
      </c>
      <c r="E120" s="587">
        <v>6</v>
      </c>
      <c r="F120" s="587">
        <v>18028</v>
      </c>
      <c r="G120" s="774">
        <f t="shared" si="12"/>
        <v>108168</v>
      </c>
    </row>
    <row r="121" spans="1:7" s="45" customFormat="1">
      <c r="A121" s="586"/>
      <c r="B121" s="779">
        <f t="shared" si="13"/>
        <v>4.269999999999996</v>
      </c>
      <c r="C121" s="102" t="s">
        <v>965</v>
      </c>
      <c r="D121" s="772" t="s">
        <v>512</v>
      </c>
      <c r="E121" s="587">
        <v>32</v>
      </c>
      <c r="F121" s="587">
        <v>3720</v>
      </c>
      <c r="G121" s="774">
        <f t="shared" si="12"/>
        <v>119040</v>
      </c>
    </row>
    <row r="122" spans="1:7" s="45" customFormat="1">
      <c r="A122" s="586"/>
      <c r="B122" s="779">
        <f t="shared" si="13"/>
        <v>4.2799999999999958</v>
      </c>
      <c r="C122" s="102" t="s">
        <v>547</v>
      </c>
      <c r="D122" s="777" t="s">
        <v>22</v>
      </c>
      <c r="E122" s="587">
        <v>1</v>
      </c>
      <c r="F122" s="858">
        <v>115000</v>
      </c>
      <c r="G122" s="774">
        <f t="shared" si="12"/>
        <v>115000</v>
      </c>
    </row>
    <row r="123" spans="1:7" s="45" customFormat="1">
      <c r="A123" s="586"/>
      <c r="B123" s="779">
        <f t="shared" si="13"/>
        <v>4.2899999999999956</v>
      </c>
      <c r="C123" s="102" t="s">
        <v>548</v>
      </c>
      <c r="D123" s="777" t="s">
        <v>22</v>
      </c>
      <c r="E123" s="587">
        <v>4</v>
      </c>
      <c r="F123" s="858">
        <v>469000</v>
      </c>
      <c r="G123" s="774">
        <f t="shared" si="12"/>
        <v>1876000</v>
      </c>
    </row>
    <row r="124" spans="1:7" s="45" customFormat="1">
      <c r="A124" s="586"/>
      <c r="B124" s="779">
        <f t="shared" si="13"/>
        <v>4.2999999999999954</v>
      </c>
      <c r="C124" s="988" t="s">
        <v>513</v>
      </c>
      <c r="D124" s="989" t="s">
        <v>22</v>
      </c>
      <c r="E124" s="858">
        <v>676</v>
      </c>
      <c r="F124" s="858">
        <v>53000</v>
      </c>
      <c r="G124" s="774">
        <f t="shared" si="12"/>
        <v>35828000</v>
      </c>
    </row>
    <row r="125" spans="1:7" s="45" customFormat="1">
      <c r="A125" s="586"/>
      <c r="B125" s="779">
        <f t="shared" si="13"/>
        <v>4.3099999999999952</v>
      </c>
      <c r="C125" s="102" t="s">
        <v>514</v>
      </c>
      <c r="D125" s="777" t="s">
        <v>22</v>
      </c>
      <c r="E125" s="587">
        <v>676</v>
      </c>
      <c r="F125" s="858">
        <v>14047</v>
      </c>
      <c r="G125" s="774">
        <f t="shared" si="12"/>
        <v>9495772</v>
      </c>
    </row>
    <row r="126" spans="1:7" s="45" customFormat="1">
      <c r="A126" s="586"/>
      <c r="B126" s="779">
        <f t="shared" si="13"/>
        <v>4.319999999999995</v>
      </c>
      <c r="C126" s="102" t="s">
        <v>515</v>
      </c>
      <c r="D126" s="772" t="s">
        <v>22</v>
      </c>
      <c r="E126" s="587">
        <v>1372</v>
      </c>
      <c r="F126" s="858">
        <v>2923</v>
      </c>
      <c r="G126" s="774">
        <f t="shared" si="12"/>
        <v>4010356</v>
      </c>
    </row>
    <row r="127" spans="1:7" s="45" customFormat="1" ht="15.75" thickBot="1">
      <c r="A127" s="586"/>
      <c r="B127" s="114"/>
      <c r="C127" s="114"/>
      <c r="D127" s="115"/>
      <c r="E127" s="116"/>
      <c r="F127" s="117" t="s">
        <v>959</v>
      </c>
      <c r="G127" s="1152">
        <f>SUM(G102:G126)</f>
        <v>152066414</v>
      </c>
    </row>
    <row r="128" spans="1:7" s="45" customFormat="1">
      <c r="A128" s="586"/>
      <c r="B128" s="771"/>
      <c r="C128" s="102"/>
      <c r="D128" s="772"/>
      <c r="E128" s="773"/>
      <c r="F128" s="587"/>
      <c r="G128" s="774"/>
    </row>
    <row r="129" spans="1:7" s="45" customFormat="1" ht="15.75" thickBot="1">
      <c r="A129" s="586"/>
      <c r="B129" s="871"/>
      <c r="C129" s="871"/>
      <c r="D129" s="873"/>
      <c r="E129" s="874"/>
      <c r="F129" s="1180" t="s">
        <v>960</v>
      </c>
      <c r="G129" s="1004">
        <f>+G127+G99</f>
        <v>204237536</v>
      </c>
    </row>
    <row r="130" spans="1:7" s="45" customFormat="1" ht="15.75" thickBot="1">
      <c r="A130" s="586"/>
      <c r="B130" s="771"/>
      <c r="C130" s="102"/>
      <c r="D130" s="772"/>
      <c r="E130" s="773"/>
      <c r="F130" s="587"/>
      <c r="G130" s="774"/>
    </row>
    <row r="131" spans="1:7" s="45" customFormat="1">
      <c r="A131" s="586"/>
      <c r="B131" s="74">
        <v>5</v>
      </c>
      <c r="C131" s="75" t="s">
        <v>476</v>
      </c>
      <c r="D131" s="76"/>
      <c r="E131" s="76"/>
      <c r="F131" s="76"/>
      <c r="G131" s="126"/>
    </row>
    <row r="132" spans="1:7" s="45" customFormat="1">
      <c r="A132" s="586"/>
      <c r="B132" s="771"/>
      <c r="C132" s="788" t="s">
        <v>947</v>
      </c>
      <c r="D132" s="772"/>
      <c r="E132" s="773"/>
      <c r="F132" s="587"/>
      <c r="G132" s="774"/>
    </row>
    <row r="133" spans="1:7" s="45" customFormat="1">
      <c r="A133" s="586"/>
      <c r="B133" s="771">
        <v>5.0999999999999996</v>
      </c>
      <c r="C133" s="102" t="s">
        <v>943</v>
      </c>
      <c r="D133" s="772" t="s">
        <v>139</v>
      </c>
      <c r="E133" s="587">
        <v>587</v>
      </c>
      <c r="F133" s="587">
        <v>2610</v>
      </c>
      <c r="G133" s="774">
        <f t="shared" ref="G133:G140" si="14">+E133*F133</f>
        <v>1532070</v>
      </c>
    </row>
    <row r="134" spans="1:7" s="45" customFormat="1">
      <c r="A134" s="586"/>
      <c r="B134" s="771">
        <f>+B133+0.1</f>
        <v>5.1999999999999993</v>
      </c>
      <c r="C134" s="102" t="s">
        <v>1101</v>
      </c>
      <c r="D134" s="772" t="s">
        <v>139</v>
      </c>
      <c r="E134" s="587">
        <v>337</v>
      </c>
      <c r="F134" s="587">
        <v>5190</v>
      </c>
      <c r="G134" s="774">
        <f t="shared" si="14"/>
        <v>1749030</v>
      </c>
    </row>
    <row r="135" spans="1:7" s="45" customFormat="1">
      <c r="A135" s="586"/>
      <c r="B135" s="771">
        <f t="shared" ref="B135:B140" si="15">+B134+0.1</f>
        <v>5.2999999999999989</v>
      </c>
      <c r="C135" s="102" t="s">
        <v>941</v>
      </c>
      <c r="D135" s="777" t="s">
        <v>139</v>
      </c>
      <c r="E135" s="863">
        <v>247</v>
      </c>
      <c r="F135" s="587">
        <v>10240</v>
      </c>
      <c r="G135" s="774">
        <f t="shared" si="14"/>
        <v>2529280</v>
      </c>
    </row>
    <row r="136" spans="1:7" s="45" customFormat="1">
      <c r="A136" s="586"/>
      <c r="B136" s="771">
        <f t="shared" si="15"/>
        <v>5.3999999999999986</v>
      </c>
      <c r="C136" s="102" t="s">
        <v>497</v>
      </c>
      <c r="D136" s="777" t="s">
        <v>56</v>
      </c>
      <c r="E136" s="587">
        <v>88</v>
      </c>
      <c r="F136" s="587">
        <v>17220</v>
      </c>
      <c r="G136" s="774">
        <f t="shared" si="14"/>
        <v>1515360</v>
      </c>
    </row>
    <row r="137" spans="1:7" s="45" customFormat="1">
      <c r="A137" s="586"/>
      <c r="B137" s="771">
        <f t="shared" si="15"/>
        <v>5.4999999999999982</v>
      </c>
      <c r="C137" s="782" t="s">
        <v>979</v>
      </c>
      <c r="D137" s="772" t="s">
        <v>139</v>
      </c>
      <c r="E137" s="587">
        <v>26</v>
      </c>
      <c r="F137" s="587">
        <v>573533</v>
      </c>
      <c r="G137" s="774">
        <f t="shared" si="14"/>
        <v>14911858</v>
      </c>
    </row>
    <row r="138" spans="1:7" s="45" customFormat="1">
      <c r="A138" s="586"/>
      <c r="B138" s="771">
        <f t="shared" si="15"/>
        <v>5.5999999999999979</v>
      </c>
      <c r="C138" s="102" t="s">
        <v>976</v>
      </c>
      <c r="D138" s="772" t="s">
        <v>139</v>
      </c>
      <c r="E138" s="587">
        <v>174</v>
      </c>
      <c r="F138" s="587">
        <v>614040</v>
      </c>
      <c r="G138" s="774">
        <f t="shared" si="14"/>
        <v>106842960</v>
      </c>
    </row>
    <row r="139" spans="1:7" s="45" customFormat="1">
      <c r="A139" s="586"/>
      <c r="B139" s="771">
        <f t="shared" si="15"/>
        <v>5.6999999999999975</v>
      </c>
      <c r="C139" s="102" t="s">
        <v>944</v>
      </c>
      <c r="D139" s="772" t="s">
        <v>139</v>
      </c>
      <c r="E139" s="587">
        <v>16</v>
      </c>
      <c r="F139" s="587">
        <f>+F55</f>
        <v>614040</v>
      </c>
      <c r="G139" s="774">
        <f t="shared" si="14"/>
        <v>9824640</v>
      </c>
    </row>
    <row r="140" spans="1:7" s="45" customFormat="1">
      <c r="A140" s="586"/>
      <c r="B140" s="771">
        <f t="shared" si="15"/>
        <v>5.7999999999999972</v>
      </c>
      <c r="C140" s="102" t="s">
        <v>939</v>
      </c>
      <c r="D140" s="772" t="s">
        <v>139</v>
      </c>
      <c r="E140" s="587">
        <v>17</v>
      </c>
      <c r="F140" s="587">
        <v>594610</v>
      </c>
      <c r="G140" s="774">
        <f t="shared" si="14"/>
        <v>10108370</v>
      </c>
    </row>
    <row r="141" spans="1:7" s="45" customFormat="1">
      <c r="A141" s="586"/>
      <c r="B141" s="771"/>
      <c r="C141" s="215"/>
      <c r="D141" s="216"/>
      <c r="E141" s="95"/>
      <c r="F141" s="95"/>
      <c r="G141" s="774"/>
    </row>
    <row r="142" spans="1:7" s="45" customFormat="1" ht="15.75" thickBot="1">
      <c r="A142" s="586"/>
      <c r="B142" s="114"/>
      <c r="C142" s="114"/>
      <c r="D142" s="115"/>
      <c r="E142" s="116"/>
      <c r="F142" s="117" t="s">
        <v>967</v>
      </c>
      <c r="G142" s="118">
        <f>SUM(G133:G141)</f>
        <v>149013568</v>
      </c>
    </row>
    <row r="143" spans="1:7" s="45" customFormat="1">
      <c r="A143" s="586"/>
      <c r="B143" s="771"/>
      <c r="C143" s="102"/>
      <c r="D143" s="772"/>
      <c r="E143" s="773"/>
      <c r="F143" s="587"/>
      <c r="G143" s="774">
        <f>+E143*F207</f>
        <v>0</v>
      </c>
    </row>
    <row r="144" spans="1:7" s="45" customFormat="1">
      <c r="A144" s="586"/>
      <c r="B144" s="771"/>
      <c r="C144" s="787" t="s">
        <v>948</v>
      </c>
      <c r="D144" s="772"/>
      <c r="E144" s="773"/>
      <c r="F144" s="587"/>
      <c r="G144" s="774"/>
    </row>
    <row r="145" spans="1:10" s="45" customFormat="1" ht="105.75" customHeight="1">
      <c r="A145" s="586"/>
      <c r="B145" s="771">
        <v>5.9</v>
      </c>
      <c r="C145" s="1248" t="s">
        <v>1008</v>
      </c>
      <c r="D145" s="772"/>
      <c r="E145" s="1059"/>
      <c r="F145" s="587"/>
      <c r="G145" s="774">
        <f>E145*F145</f>
        <v>0</v>
      </c>
    </row>
    <row r="146" spans="1:10" s="45" customFormat="1">
      <c r="A146" s="586"/>
      <c r="B146" s="771" t="s">
        <v>988</v>
      </c>
      <c r="C146" s="860" t="s">
        <v>1506</v>
      </c>
      <c r="D146" s="861" t="s">
        <v>22</v>
      </c>
      <c r="E146" s="862">
        <v>4</v>
      </c>
      <c r="F146" s="863">
        <v>5658805</v>
      </c>
      <c r="G146" s="774">
        <f t="shared" ref="G146:G165" si="16">+E146*F146</f>
        <v>22635220</v>
      </c>
      <c r="I146" s="1043" t="e">
        <f>+I538</f>
        <v>#REF!</v>
      </c>
    </row>
    <row r="147" spans="1:10" s="45" customFormat="1" ht="15" customHeight="1">
      <c r="A147" s="586"/>
      <c r="B147" s="771" t="s">
        <v>989</v>
      </c>
      <c r="C147" s="988" t="s">
        <v>1507</v>
      </c>
      <c r="D147" s="989" t="s">
        <v>22</v>
      </c>
      <c r="E147" s="969">
        <v>4</v>
      </c>
      <c r="F147" s="858">
        <v>25473554</v>
      </c>
      <c r="G147" s="774">
        <f t="shared" si="16"/>
        <v>101894216</v>
      </c>
      <c r="J147" s="45">
        <f>0.8+0.55</f>
        <v>1.35</v>
      </c>
    </row>
    <row r="148" spans="1:10" s="45" customFormat="1">
      <c r="A148" s="586"/>
      <c r="B148" s="771"/>
      <c r="C148" s="102" t="s">
        <v>1508</v>
      </c>
      <c r="D148" s="777" t="s">
        <v>22</v>
      </c>
      <c r="E148" s="1059">
        <v>1</v>
      </c>
      <c r="F148" s="587">
        <v>10684548</v>
      </c>
      <c r="G148" s="774">
        <f t="shared" si="16"/>
        <v>10684548</v>
      </c>
      <c r="J148" s="45">
        <f>+J147/2</f>
        <v>0.67500000000000004</v>
      </c>
    </row>
    <row r="149" spans="1:10" s="45" customFormat="1">
      <c r="A149" s="586"/>
      <c r="B149" s="771" t="s">
        <v>990</v>
      </c>
      <c r="C149" s="102" t="s">
        <v>1509</v>
      </c>
      <c r="D149" s="772" t="s">
        <v>22</v>
      </c>
      <c r="E149" s="1059">
        <v>4</v>
      </c>
      <c r="F149" s="587">
        <v>17361768</v>
      </c>
      <c r="G149" s="774">
        <f t="shared" si="16"/>
        <v>69447072</v>
      </c>
      <c r="J149" s="45" t="s">
        <v>1529</v>
      </c>
    </row>
    <row r="150" spans="1:10" s="45" customFormat="1">
      <c r="A150" s="586"/>
      <c r="B150" s="771" t="s">
        <v>991</v>
      </c>
      <c r="C150" s="102" t="s">
        <v>1510</v>
      </c>
      <c r="D150" s="772" t="s">
        <v>22</v>
      </c>
      <c r="E150" s="1059">
        <v>1</v>
      </c>
      <c r="F150" s="587">
        <v>7112807</v>
      </c>
      <c r="G150" s="774">
        <f t="shared" si="16"/>
        <v>7112807</v>
      </c>
    </row>
    <row r="151" spans="1:10" s="45" customFormat="1">
      <c r="A151" s="586"/>
      <c r="B151" s="771" t="s">
        <v>992</v>
      </c>
      <c r="C151" s="988" t="s">
        <v>925</v>
      </c>
      <c r="D151" s="989" t="s">
        <v>22</v>
      </c>
      <c r="E151" s="969">
        <v>4</v>
      </c>
      <c r="F151" s="858">
        <v>468292</v>
      </c>
      <c r="G151" s="774">
        <f t="shared" si="16"/>
        <v>1873168</v>
      </c>
    </row>
    <row r="152" spans="1:10" s="45" customFormat="1">
      <c r="A152" s="586"/>
      <c r="B152" s="779">
        <v>5.0999999999999996</v>
      </c>
      <c r="C152" s="1062" t="s">
        <v>1511</v>
      </c>
      <c r="D152" s="1086" t="s">
        <v>22</v>
      </c>
      <c r="E152" s="1059">
        <v>1</v>
      </c>
      <c r="F152" s="1047">
        <v>323400</v>
      </c>
      <c r="G152" s="774">
        <f t="shared" si="16"/>
        <v>323400</v>
      </c>
    </row>
    <row r="153" spans="1:10" s="45" customFormat="1">
      <c r="A153" s="586"/>
      <c r="B153" s="779">
        <f t="shared" ref="B153:B165" si="17">+B152+0.01</f>
        <v>5.1099999999999994</v>
      </c>
      <c r="C153" s="1062" t="s">
        <v>1512</v>
      </c>
      <c r="D153" s="1087" t="s">
        <v>512</v>
      </c>
      <c r="E153" s="1059">
        <v>4</v>
      </c>
      <c r="F153" s="1047">
        <v>521884</v>
      </c>
      <c r="G153" s="774">
        <f t="shared" si="16"/>
        <v>2087536</v>
      </c>
    </row>
    <row r="154" spans="1:10" s="45" customFormat="1">
      <c r="A154" s="586"/>
      <c r="B154" s="1251">
        <f t="shared" si="17"/>
        <v>5.1199999999999992</v>
      </c>
      <c r="C154" s="1062" t="s">
        <v>1513</v>
      </c>
      <c r="D154" s="1086" t="s">
        <v>512</v>
      </c>
      <c r="E154" s="1059">
        <v>1</v>
      </c>
      <c r="F154" s="1047">
        <v>1087152</v>
      </c>
      <c r="G154" s="774">
        <f t="shared" si="16"/>
        <v>1087152</v>
      </c>
    </row>
    <row r="155" spans="1:10" s="45" customFormat="1">
      <c r="A155" s="586"/>
      <c r="B155" s="779">
        <f t="shared" si="17"/>
        <v>5.129999999999999</v>
      </c>
      <c r="C155" s="1062" t="s">
        <v>1514</v>
      </c>
      <c r="D155" s="1087" t="s">
        <v>22</v>
      </c>
      <c r="E155" s="1059">
        <v>4</v>
      </c>
      <c r="F155" s="1047">
        <v>174812</v>
      </c>
      <c r="G155" s="774">
        <f t="shared" si="16"/>
        <v>699248</v>
      </c>
    </row>
    <row r="156" spans="1:10" s="45" customFormat="1">
      <c r="A156" s="586"/>
      <c r="B156" s="779">
        <f t="shared" si="17"/>
        <v>5.1399999999999988</v>
      </c>
      <c r="C156" s="102" t="s">
        <v>921</v>
      </c>
      <c r="D156" s="777" t="s">
        <v>512</v>
      </c>
      <c r="E156" s="1059">
        <v>4</v>
      </c>
      <c r="F156" s="858">
        <v>524784</v>
      </c>
      <c r="G156" s="774">
        <f t="shared" si="16"/>
        <v>2099136</v>
      </c>
    </row>
    <row r="157" spans="1:10" s="45" customFormat="1">
      <c r="A157" s="586"/>
      <c r="B157" s="779">
        <f t="shared" si="17"/>
        <v>5.1499999999999986</v>
      </c>
      <c r="C157" s="102" t="s">
        <v>922</v>
      </c>
      <c r="D157" s="772" t="s">
        <v>512</v>
      </c>
      <c r="E157" s="1059">
        <v>4</v>
      </c>
      <c r="F157" s="858">
        <v>469000</v>
      </c>
      <c r="G157" s="774">
        <f t="shared" si="16"/>
        <v>1876000</v>
      </c>
    </row>
    <row r="158" spans="1:10" s="45" customFormat="1" ht="25.5">
      <c r="A158" s="586"/>
      <c r="B158" s="779">
        <f t="shared" si="17"/>
        <v>5.1599999999999984</v>
      </c>
      <c r="C158" s="102" t="s">
        <v>1018</v>
      </c>
      <c r="D158" s="772" t="s">
        <v>22</v>
      </c>
      <c r="E158" s="1059">
        <v>30</v>
      </c>
      <c r="F158" s="858">
        <v>30550</v>
      </c>
      <c r="G158" s="774">
        <f t="shared" si="16"/>
        <v>916500</v>
      </c>
    </row>
    <row r="159" spans="1:10" s="45" customFormat="1">
      <c r="A159" s="586"/>
      <c r="B159" s="779">
        <f t="shared" si="17"/>
        <v>5.1699999999999982</v>
      </c>
      <c r="C159" s="102" t="s">
        <v>522</v>
      </c>
      <c r="D159" s="772" t="s">
        <v>142</v>
      </c>
      <c r="E159" s="587">
        <v>8700</v>
      </c>
      <c r="F159" s="587">
        <v>3100</v>
      </c>
      <c r="G159" s="774">
        <f t="shared" si="16"/>
        <v>26970000</v>
      </c>
    </row>
    <row r="160" spans="1:10" s="45" customFormat="1">
      <c r="A160" s="586"/>
      <c r="B160" s="779">
        <f t="shared" si="17"/>
        <v>5.1799999999999979</v>
      </c>
      <c r="C160" s="102" t="s">
        <v>509</v>
      </c>
      <c r="D160" s="777" t="s">
        <v>56</v>
      </c>
      <c r="E160" s="1059">
        <v>45</v>
      </c>
      <c r="F160" s="587">
        <v>150170</v>
      </c>
      <c r="G160" s="774">
        <f t="shared" si="16"/>
        <v>6757650</v>
      </c>
    </row>
    <row r="161" spans="1:7" s="45" customFormat="1">
      <c r="A161" s="586"/>
      <c r="B161" s="779">
        <f t="shared" si="17"/>
        <v>5.1899999999999977</v>
      </c>
      <c r="C161" s="102" t="s">
        <v>508</v>
      </c>
      <c r="D161" s="777" t="s">
        <v>500</v>
      </c>
      <c r="E161" s="1059">
        <v>97</v>
      </c>
      <c r="F161" s="587">
        <v>18420</v>
      </c>
      <c r="G161" s="774">
        <f t="shared" si="16"/>
        <v>1786740</v>
      </c>
    </row>
    <row r="162" spans="1:7" s="45" customFormat="1" ht="79.5" customHeight="1">
      <c r="A162" s="586"/>
      <c r="B162" s="779">
        <f t="shared" si="17"/>
        <v>5.1999999999999975</v>
      </c>
      <c r="C162" s="102" t="s">
        <v>1481</v>
      </c>
      <c r="D162" s="847" t="s">
        <v>22</v>
      </c>
      <c r="E162" s="1079">
        <v>19</v>
      </c>
      <c r="F162" s="848">
        <v>271502</v>
      </c>
      <c r="G162" s="774">
        <f t="shared" si="16"/>
        <v>5158538</v>
      </c>
    </row>
    <row r="163" spans="1:7" s="45" customFormat="1" ht="25.5">
      <c r="A163" s="586"/>
      <c r="B163" s="779">
        <f t="shared" si="17"/>
        <v>5.2099999999999973</v>
      </c>
      <c r="C163" s="102" t="s">
        <v>930</v>
      </c>
      <c r="D163" s="772" t="s">
        <v>139</v>
      </c>
      <c r="E163" s="1059">
        <v>14.16</v>
      </c>
      <c r="F163" s="858">
        <f>405000*1.16*1.15</f>
        <v>540269.99999999988</v>
      </c>
      <c r="G163" s="774">
        <f t="shared" si="16"/>
        <v>7650223.1999999983</v>
      </c>
    </row>
    <row r="164" spans="1:7" s="45" customFormat="1" ht="25.5">
      <c r="A164" s="586"/>
      <c r="B164" s="779">
        <f t="shared" si="17"/>
        <v>5.2199999999999971</v>
      </c>
      <c r="C164" s="102" t="s">
        <v>931</v>
      </c>
      <c r="D164" s="777" t="s">
        <v>139</v>
      </c>
      <c r="E164" s="1059">
        <v>9.44</v>
      </c>
      <c r="F164" s="858">
        <v>105259</v>
      </c>
      <c r="G164" s="774">
        <f t="shared" si="16"/>
        <v>993644.96</v>
      </c>
    </row>
    <row r="165" spans="1:7" s="45" customFormat="1">
      <c r="A165" s="586"/>
      <c r="B165" s="779">
        <f t="shared" si="17"/>
        <v>5.2299999999999969</v>
      </c>
      <c r="C165" s="102" t="s">
        <v>932</v>
      </c>
      <c r="D165" s="777" t="s">
        <v>139</v>
      </c>
      <c r="E165" s="1059">
        <v>14.71</v>
      </c>
      <c r="F165" s="1080">
        <v>63050</v>
      </c>
      <c r="G165" s="774">
        <f t="shared" si="16"/>
        <v>927465.5</v>
      </c>
    </row>
    <row r="166" spans="1:7" s="45" customFormat="1">
      <c r="A166" s="138">
        <v>200314</v>
      </c>
      <c r="B166" s="771"/>
      <c r="C166" s="102"/>
      <c r="D166" s="777"/>
      <c r="E166" s="780"/>
      <c r="F166" s="776"/>
      <c r="G166" s="774"/>
    </row>
    <row r="167" spans="1:7" s="45" customFormat="1" ht="15.75" thickBot="1">
      <c r="A167" s="143">
        <v>140404</v>
      </c>
      <c r="B167" s="114"/>
      <c r="C167" s="114"/>
      <c r="D167" s="115"/>
      <c r="E167" s="116"/>
      <c r="F167" s="117" t="s">
        <v>987</v>
      </c>
      <c r="G167" s="1152">
        <f>SUM(G145:G166)</f>
        <v>272980264.65999997</v>
      </c>
    </row>
    <row r="168" spans="1:7" s="45" customFormat="1">
      <c r="A168" s="105"/>
      <c r="B168" s="139"/>
      <c r="C168" s="140"/>
      <c r="D168" s="23"/>
      <c r="E168" s="107"/>
      <c r="F168" s="25"/>
      <c r="G168" s="795"/>
    </row>
    <row r="169" spans="1:7" s="45" customFormat="1" ht="23.1" customHeight="1" thickBot="1">
      <c r="A169" s="124"/>
      <c r="B169" s="876"/>
      <c r="C169" s="871"/>
      <c r="D169" s="873"/>
      <c r="E169" s="874"/>
      <c r="F169" s="1180" t="s">
        <v>972</v>
      </c>
      <c r="G169" s="1152">
        <f>+G167+G142</f>
        <v>421993832.65999997</v>
      </c>
    </row>
    <row r="170" spans="1:7" s="45" customFormat="1" ht="15" hidden="1" customHeight="1">
      <c r="A170" s="84" t="s">
        <v>40</v>
      </c>
      <c r="B170" s="74"/>
      <c r="C170" s="75" t="s">
        <v>477</v>
      </c>
      <c r="D170" s="811"/>
      <c r="E170" s="812"/>
      <c r="F170" s="813"/>
      <c r="G170" s="814"/>
    </row>
    <row r="171" spans="1:7" s="45" customFormat="1" ht="15.75" thickBot="1">
      <c r="A171" s="127">
        <v>301305</v>
      </c>
      <c r="B171" s="85"/>
      <c r="C171" s="86"/>
      <c r="D171" s="815"/>
      <c r="E171" s="816"/>
      <c r="F171" s="817"/>
      <c r="G171" s="818"/>
    </row>
    <row r="172" spans="1:7" s="45" customFormat="1">
      <c r="A172" s="584"/>
      <c r="B172" s="74">
        <v>6</v>
      </c>
      <c r="C172" s="75" t="s">
        <v>534</v>
      </c>
      <c r="D172" s="76"/>
      <c r="E172" s="76"/>
      <c r="F172" s="76"/>
      <c r="G172" s="126"/>
    </row>
    <row r="173" spans="1:7" s="45" customFormat="1">
      <c r="A173" s="584"/>
      <c r="B173" s="771"/>
      <c r="C173" s="788" t="s">
        <v>947</v>
      </c>
      <c r="D173" s="772"/>
      <c r="E173" s="773"/>
      <c r="F173" s="587"/>
      <c r="G173" s="774"/>
    </row>
    <row r="174" spans="1:7" s="45" customFormat="1">
      <c r="A174" s="584"/>
      <c r="B174" s="1252">
        <v>6.1</v>
      </c>
      <c r="C174" s="102" t="s">
        <v>943</v>
      </c>
      <c r="D174" s="772" t="s">
        <v>139</v>
      </c>
      <c r="E174" s="780">
        <v>414</v>
      </c>
      <c r="F174" s="587">
        <v>2610</v>
      </c>
      <c r="G174" s="774">
        <f>+F174*E174</f>
        <v>1080540</v>
      </c>
    </row>
    <row r="175" spans="1:7" s="45" customFormat="1">
      <c r="A175" s="584"/>
      <c r="B175" s="1252">
        <f>+B174+0.1</f>
        <v>6.1999999999999993</v>
      </c>
      <c r="C175" s="102" t="s">
        <v>1101</v>
      </c>
      <c r="D175" s="772" t="s">
        <v>139</v>
      </c>
      <c r="E175" s="780">
        <v>268</v>
      </c>
      <c r="F175" s="587">
        <v>5190</v>
      </c>
      <c r="G175" s="774">
        <f t="shared" ref="G175:G183" si="18">+F175*E175</f>
        <v>1390920</v>
      </c>
    </row>
    <row r="176" spans="1:7" s="45" customFormat="1">
      <c r="A176" s="584"/>
      <c r="B176" s="1252">
        <f t="shared" ref="B176:B183" si="19">+B175+0.1</f>
        <v>6.2999999999999989</v>
      </c>
      <c r="C176" s="102" t="s">
        <v>941</v>
      </c>
      <c r="D176" s="777" t="s">
        <v>139</v>
      </c>
      <c r="E176" s="780">
        <v>146</v>
      </c>
      <c r="F176" s="587">
        <v>10240</v>
      </c>
      <c r="G176" s="774">
        <f t="shared" si="18"/>
        <v>1495040</v>
      </c>
    </row>
    <row r="177" spans="1:7" s="45" customFormat="1">
      <c r="A177" s="584"/>
      <c r="B177" s="1252">
        <f t="shared" si="19"/>
        <v>6.3999999999999986</v>
      </c>
      <c r="C177" s="102" t="s">
        <v>497</v>
      </c>
      <c r="D177" s="777" t="s">
        <v>56</v>
      </c>
      <c r="E177" s="780">
        <v>57</v>
      </c>
      <c r="F177" s="587">
        <v>17220</v>
      </c>
      <c r="G177" s="774">
        <f t="shared" si="18"/>
        <v>981540</v>
      </c>
    </row>
    <row r="178" spans="1:7" s="45" customFormat="1">
      <c r="A178" s="584"/>
      <c r="B178" s="1252">
        <f t="shared" si="19"/>
        <v>6.4999999999999982</v>
      </c>
      <c r="C178" s="782" t="s">
        <v>1000</v>
      </c>
      <c r="D178" s="790" t="s">
        <v>139</v>
      </c>
      <c r="E178" s="780">
        <v>15</v>
      </c>
      <c r="F178" s="587">
        <f>+F54</f>
        <v>573533</v>
      </c>
      <c r="G178" s="774">
        <f t="shared" si="18"/>
        <v>8602995</v>
      </c>
    </row>
    <row r="179" spans="1:7" s="45" customFormat="1">
      <c r="A179" s="584"/>
      <c r="B179" s="771">
        <f>+B178+0.1</f>
        <v>6.5999999999999979</v>
      </c>
      <c r="C179" s="102" t="s">
        <v>976</v>
      </c>
      <c r="D179" s="772" t="s">
        <v>139</v>
      </c>
      <c r="E179" s="780">
        <v>42</v>
      </c>
      <c r="F179" s="587">
        <v>614040</v>
      </c>
      <c r="G179" s="774">
        <f t="shared" si="18"/>
        <v>25789680</v>
      </c>
    </row>
    <row r="180" spans="1:7" s="45" customFormat="1">
      <c r="A180" s="584"/>
      <c r="B180" s="771">
        <f>+B178+0.1</f>
        <v>6.5999999999999979</v>
      </c>
      <c r="C180" s="102" t="s">
        <v>939</v>
      </c>
      <c r="D180" s="772" t="s">
        <v>139</v>
      </c>
      <c r="E180" s="850">
        <v>8</v>
      </c>
      <c r="F180" s="587">
        <v>594610</v>
      </c>
      <c r="G180" s="774">
        <f t="shared" si="18"/>
        <v>4756880</v>
      </c>
    </row>
    <row r="181" spans="1:7" s="45" customFormat="1">
      <c r="A181" s="584"/>
      <c r="B181" s="771">
        <f t="shared" si="19"/>
        <v>6.6999999999999975</v>
      </c>
      <c r="C181" s="102" t="s">
        <v>1002</v>
      </c>
      <c r="D181" s="772" t="s">
        <v>139</v>
      </c>
      <c r="E181" s="780">
        <v>1.3</v>
      </c>
      <c r="F181" s="587">
        <v>448900</v>
      </c>
      <c r="G181" s="774">
        <f t="shared" si="18"/>
        <v>583570</v>
      </c>
    </row>
    <row r="182" spans="1:7" s="45" customFormat="1">
      <c r="A182" s="584"/>
      <c r="B182" s="771">
        <f t="shared" si="19"/>
        <v>6.7999999999999972</v>
      </c>
      <c r="C182" s="782" t="s">
        <v>1003</v>
      </c>
      <c r="D182" s="790" t="s">
        <v>139</v>
      </c>
      <c r="E182" s="780">
        <v>1</v>
      </c>
      <c r="F182" s="587">
        <v>393333</v>
      </c>
      <c r="G182" s="774">
        <f t="shared" si="18"/>
        <v>393333</v>
      </c>
    </row>
    <row r="183" spans="1:7" s="45" customFormat="1">
      <c r="A183" s="584"/>
      <c r="B183" s="1253">
        <f t="shared" si="19"/>
        <v>6.8999999999999968</v>
      </c>
      <c r="C183" s="102" t="s">
        <v>1004</v>
      </c>
      <c r="D183" s="777" t="s">
        <v>139</v>
      </c>
      <c r="E183" s="780">
        <v>0.7</v>
      </c>
      <c r="F183" s="776">
        <v>751550</v>
      </c>
      <c r="G183" s="774">
        <f t="shared" si="18"/>
        <v>526085</v>
      </c>
    </row>
    <row r="184" spans="1:7" s="45" customFormat="1">
      <c r="A184" s="584"/>
      <c r="B184" s="771"/>
      <c r="C184" s="102"/>
      <c r="D184" s="777"/>
      <c r="E184" s="780"/>
      <c r="F184" s="776"/>
      <c r="G184" s="774"/>
    </row>
    <row r="185" spans="1:7" s="45" customFormat="1" ht="15.75" thickBot="1">
      <c r="A185" s="584"/>
      <c r="B185" s="114"/>
      <c r="C185" s="114"/>
      <c r="D185" s="115"/>
      <c r="E185" s="116"/>
      <c r="F185" s="117" t="s">
        <v>969</v>
      </c>
      <c r="G185" s="137">
        <f>SUM(G174:G184)</f>
        <v>45600583</v>
      </c>
    </row>
    <row r="186" spans="1:7" s="45" customFormat="1">
      <c r="A186" s="584"/>
      <c r="B186" s="771"/>
      <c r="C186" s="102"/>
      <c r="D186" s="777"/>
      <c r="E186" s="780"/>
      <c r="F186" s="776"/>
      <c r="G186" s="795"/>
    </row>
    <row r="187" spans="1:7" s="45" customFormat="1">
      <c r="A187" s="586"/>
      <c r="B187" s="771"/>
      <c r="C187" s="787" t="s">
        <v>948</v>
      </c>
      <c r="D187" s="772"/>
      <c r="E187" s="773"/>
      <c r="F187" s="587"/>
      <c r="G187" s="774"/>
    </row>
    <row r="188" spans="1:7" s="45" customFormat="1">
      <c r="A188" s="584"/>
      <c r="B188" s="1251">
        <v>6.1</v>
      </c>
      <c r="C188" s="102" t="s">
        <v>942</v>
      </c>
      <c r="D188" s="777" t="s">
        <v>56</v>
      </c>
      <c r="E188" s="780">
        <v>40</v>
      </c>
      <c r="F188" s="776">
        <v>4500</v>
      </c>
      <c r="G188" s="774">
        <f t="shared" ref="G188:G202" si="20">+E188*F188</f>
        <v>180000</v>
      </c>
    </row>
    <row r="189" spans="1:7" s="45" customFormat="1">
      <c r="A189" s="584"/>
      <c r="B189" s="779">
        <v>6.11</v>
      </c>
      <c r="C189" s="102" t="s">
        <v>945</v>
      </c>
      <c r="D189" s="777" t="s">
        <v>139</v>
      </c>
      <c r="E189" s="780">
        <v>4</v>
      </c>
      <c r="F189" s="776">
        <v>63050</v>
      </c>
      <c r="G189" s="774">
        <f t="shared" si="20"/>
        <v>252200</v>
      </c>
    </row>
    <row r="190" spans="1:7" s="45" customFormat="1">
      <c r="A190" s="584"/>
      <c r="B190" s="779">
        <f>+B189+0.01</f>
        <v>6.12</v>
      </c>
      <c r="C190" s="102" t="s">
        <v>946</v>
      </c>
      <c r="D190" s="777" t="s">
        <v>540</v>
      </c>
      <c r="E190" s="780">
        <v>20</v>
      </c>
      <c r="F190" s="776">
        <v>29330</v>
      </c>
      <c r="G190" s="774">
        <f t="shared" si="20"/>
        <v>586600</v>
      </c>
    </row>
    <row r="191" spans="1:7" s="45" customFormat="1">
      <c r="A191" s="584"/>
      <c r="B191" s="779">
        <f t="shared" ref="B191:B202" si="21">+B190+0.01</f>
        <v>6.13</v>
      </c>
      <c r="C191" s="102" t="s">
        <v>522</v>
      </c>
      <c r="D191" s="777" t="s">
        <v>142</v>
      </c>
      <c r="E191" s="780">
        <v>2200</v>
      </c>
      <c r="F191" s="587">
        <v>3100</v>
      </c>
      <c r="G191" s="774">
        <f t="shared" si="20"/>
        <v>6820000</v>
      </c>
    </row>
    <row r="192" spans="1:7" s="45" customFormat="1">
      <c r="A192" s="584"/>
      <c r="B192" s="779">
        <f t="shared" si="21"/>
        <v>6.14</v>
      </c>
      <c r="C192" s="102" t="s">
        <v>508</v>
      </c>
      <c r="D192" s="777" t="s">
        <v>500</v>
      </c>
      <c r="E192" s="780">
        <v>31</v>
      </c>
      <c r="F192" s="587">
        <v>18420</v>
      </c>
      <c r="G192" s="774">
        <f t="shared" si="20"/>
        <v>571020</v>
      </c>
    </row>
    <row r="193" spans="1:7" s="45" customFormat="1">
      <c r="A193" s="584"/>
      <c r="B193" s="779">
        <f t="shared" si="21"/>
        <v>6.1499999999999995</v>
      </c>
      <c r="C193" s="102" t="s">
        <v>904</v>
      </c>
      <c r="D193" s="777" t="s">
        <v>22</v>
      </c>
      <c r="E193" s="102">
        <v>8</v>
      </c>
      <c r="F193" s="587">
        <v>10670</v>
      </c>
      <c r="G193" s="774">
        <f t="shared" si="20"/>
        <v>85360</v>
      </c>
    </row>
    <row r="194" spans="1:7" s="45" customFormat="1">
      <c r="A194" s="584"/>
      <c r="B194" s="779">
        <f t="shared" si="21"/>
        <v>6.1599999999999993</v>
      </c>
      <c r="C194" s="102" t="s">
        <v>996</v>
      </c>
      <c r="D194" s="777" t="s">
        <v>540</v>
      </c>
      <c r="E194" s="102">
        <v>2</v>
      </c>
      <c r="F194" s="587">
        <v>21516</v>
      </c>
      <c r="G194" s="774">
        <f t="shared" si="20"/>
        <v>43032</v>
      </c>
    </row>
    <row r="195" spans="1:7" s="45" customFormat="1">
      <c r="A195" s="584"/>
      <c r="B195" s="779">
        <f t="shared" si="21"/>
        <v>6.169999999999999</v>
      </c>
      <c r="C195" s="102" t="s">
        <v>895</v>
      </c>
      <c r="D195" s="777" t="s">
        <v>22</v>
      </c>
      <c r="E195" s="102">
        <v>4</v>
      </c>
      <c r="F195" s="587">
        <v>10810</v>
      </c>
      <c r="G195" s="774">
        <f t="shared" si="20"/>
        <v>43240</v>
      </c>
    </row>
    <row r="196" spans="1:7" s="45" customFormat="1">
      <c r="A196" s="584"/>
      <c r="B196" s="779">
        <f t="shared" si="21"/>
        <v>6.1799999999999988</v>
      </c>
      <c r="C196" s="102" t="s">
        <v>1026</v>
      </c>
      <c r="D196" s="777" t="s">
        <v>22</v>
      </c>
      <c r="E196" s="102">
        <v>2</v>
      </c>
      <c r="F196" s="587">
        <v>1621796</v>
      </c>
      <c r="G196" s="774">
        <f t="shared" si="20"/>
        <v>3243592</v>
      </c>
    </row>
    <row r="197" spans="1:7" s="45" customFormat="1" ht="25.5">
      <c r="A197" s="584"/>
      <c r="B197" s="779">
        <f t="shared" si="21"/>
        <v>6.1899999999999986</v>
      </c>
      <c r="C197" s="102" t="s">
        <v>1027</v>
      </c>
      <c r="D197" s="777" t="s">
        <v>22</v>
      </c>
      <c r="E197" s="102">
        <v>2</v>
      </c>
      <c r="F197" s="850">
        <v>521884</v>
      </c>
      <c r="G197" s="774">
        <f t="shared" si="20"/>
        <v>1043768</v>
      </c>
    </row>
    <row r="198" spans="1:7" s="45" customFormat="1">
      <c r="A198" s="584"/>
      <c r="B198" s="779">
        <f t="shared" si="21"/>
        <v>6.1999999999999984</v>
      </c>
      <c r="C198" s="102" t="s">
        <v>1409</v>
      </c>
      <c r="D198" s="777" t="s">
        <v>540</v>
      </c>
      <c r="E198" s="102">
        <v>24</v>
      </c>
      <c r="F198" s="587">
        <v>48740</v>
      </c>
      <c r="G198" s="774">
        <f t="shared" si="20"/>
        <v>1169760</v>
      </c>
    </row>
    <row r="199" spans="1:7" s="45" customFormat="1">
      <c r="A199" s="584"/>
      <c r="B199" s="779">
        <f t="shared" si="21"/>
        <v>6.2099999999999982</v>
      </c>
      <c r="C199" s="102" t="s">
        <v>1410</v>
      </c>
      <c r="D199" s="777" t="s">
        <v>540</v>
      </c>
      <c r="E199" s="102">
        <v>7</v>
      </c>
      <c r="F199" s="587">
        <v>69240</v>
      </c>
      <c r="G199" s="774">
        <f t="shared" si="20"/>
        <v>484680</v>
      </c>
    </row>
    <row r="200" spans="1:7" s="45" customFormat="1">
      <c r="A200" s="584"/>
      <c r="B200" s="779">
        <f t="shared" si="21"/>
        <v>6.219999999999998</v>
      </c>
      <c r="C200" s="102" t="s">
        <v>1007</v>
      </c>
      <c r="D200" s="777" t="s">
        <v>512</v>
      </c>
      <c r="E200" s="102">
        <v>2</v>
      </c>
      <c r="F200" s="776">
        <v>628300</v>
      </c>
      <c r="G200" s="774">
        <f t="shared" si="20"/>
        <v>1256600</v>
      </c>
    </row>
    <row r="201" spans="1:7" s="45" customFormat="1">
      <c r="A201" s="584"/>
      <c r="B201" s="1251">
        <f t="shared" si="21"/>
        <v>6.2299999999999978</v>
      </c>
      <c r="C201" s="102" t="s">
        <v>1021</v>
      </c>
      <c r="D201" s="777" t="s">
        <v>22</v>
      </c>
      <c r="E201" s="102">
        <v>4</v>
      </c>
      <c r="F201" s="879">
        <v>469000</v>
      </c>
      <c r="G201" s="774">
        <f t="shared" si="20"/>
        <v>1876000</v>
      </c>
    </row>
    <row r="202" spans="1:7" s="45" customFormat="1">
      <c r="A202" s="584"/>
      <c r="B202" s="1251">
        <f t="shared" si="21"/>
        <v>6.2399999999999975</v>
      </c>
      <c r="C202" s="102" t="s">
        <v>1022</v>
      </c>
      <c r="D202" s="777" t="s">
        <v>22</v>
      </c>
      <c r="E202" s="102">
        <v>1</v>
      </c>
      <c r="F202" s="879">
        <v>507000</v>
      </c>
      <c r="G202" s="774">
        <f t="shared" si="20"/>
        <v>507000</v>
      </c>
    </row>
    <row r="203" spans="1:7" s="45" customFormat="1">
      <c r="A203" s="138">
        <v>200314</v>
      </c>
      <c r="B203" s="779"/>
      <c r="C203" s="102"/>
      <c r="D203" s="777"/>
      <c r="E203" s="780"/>
      <c r="F203" s="776"/>
      <c r="G203" s="774"/>
    </row>
    <row r="204" spans="1:7" s="45" customFormat="1" ht="15.75" thickBot="1">
      <c r="A204" s="143">
        <v>140404</v>
      </c>
      <c r="B204" s="871"/>
      <c r="C204" s="871"/>
      <c r="D204" s="873"/>
      <c r="E204" s="874"/>
      <c r="F204" s="1180" t="s">
        <v>973</v>
      </c>
      <c r="G204" s="1004">
        <f>SUM(G188:G203)</f>
        <v>18162852</v>
      </c>
    </row>
    <row r="205" spans="1:7" s="45" customFormat="1" ht="15.75" thickBot="1">
      <c r="A205" s="584"/>
      <c r="B205" s="876"/>
      <c r="C205" s="871"/>
      <c r="D205" s="873"/>
      <c r="E205" s="874"/>
      <c r="F205" s="1189" t="s">
        <v>1519</v>
      </c>
      <c r="G205" s="1152">
        <f>+G204+G185</f>
        <v>63763435</v>
      </c>
    </row>
    <row r="206" spans="1:7" s="45" customFormat="1" ht="15.75" thickBot="1">
      <c r="A206" s="584"/>
      <c r="B206" s="771"/>
      <c r="C206" s="102"/>
      <c r="D206" s="777"/>
      <c r="E206" s="780"/>
      <c r="F206" s="776"/>
      <c r="G206" s="774"/>
    </row>
    <row r="207" spans="1:7" s="45" customFormat="1" ht="15.75" hidden="1" customHeight="1" thickBot="1">
      <c r="A207" s="84" t="s">
        <v>40</v>
      </c>
      <c r="B207" s="74"/>
      <c r="C207" s="75" t="s">
        <v>478</v>
      </c>
      <c r="D207" s="87"/>
      <c r="E207" s="88"/>
      <c r="F207" s="89"/>
      <c r="G207" s="90"/>
    </row>
    <row r="208" spans="1:7" s="45" customFormat="1">
      <c r="A208" s="586"/>
      <c r="B208" s="74">
        <v>7</v>
      </c>
      <c r="C208" s="75" t="s">
        <v>478</v>
      </c>
      <c r="D208" s="76"/>
      <c r="E208" s="76"/>
      <c r="F208" s="76"/>
      <c r="G208" s="126"/>
    </row>
    <row r="209" spans="1:7" s="45" customFormat="1">
      <c r="A209" s="586"/>
      <c r="B209" s="771"/>
      <c r="C209" s="788" t="s">
        <v>947</v>
      </c>
      <c r="D209" s="772"/>
      <c r="E209" s="773"/>
      <c r="F209" s="587"/>
      <c r="G209" s="774"/>
    </row>
    <row r="210" spans="1:7" s="45" customFormat="1">
      <c r="A210" s="586"/>
      <c r="B210" s="771">
        <v>7.1</v>
      </c>
      <c r="C210" s="102" t="s">
        <v>943</v>
      </c>
      <c r="D210" s="772" t="s">
        <v>139</v>
      </c>
      <c r="E210" s="587">
        <v>4756</v>
      </c>
      <c r="F210" s="587">
        <v>2610</v>
      </c>
      <c r="G210" s="774">
        <f t="shared" ref="G210:G220" si="22">+E210*F210</f>
        <v>12413160</v>
      </c>
    </row>
    <row r="211" spans="1:7" s="45" customFormat="1">
      <c r="A211" s="586"/>
      <c r="B211" s="771">
        <f>+B210+0.1</f>
        <v>7.1999999999999993</v>
      </c>
      <c r="C211" s="102" t="s">
        <v>1101</v>
      </c>
      <c r="D211" s="772" t="s">
        <v>139</v>
      </c>
      <c r="E211" s="587">
        <v>3998</v>
      </c>
      <c r="F211" s="587">
        <v>5190</v>
      </c>
      <c r="G211" s="774">
        <f t="shared" si="22"/>
        <v>20749620</v>
      </c>
    </row>
    <row r="212" spans="1:7" s="45" customFormat="1">
      <c r="A212" s="586"/>
      <c r="B212" s="1252">
        <f t="shared" ref="B212" si="23">+B211+0.1</f>
        <v>7.2999999999999989</v>
      </c>
      <c r="C212" s="102" t="s">
        <v>941</v>
      </c>
      <c r="D212" s="777" t="s">
        <v>139</v>
      </c>
      <c r="E212" s="780">
        <v>758</v>
      </c>
      <c r="F212" s="587">
        <v>10240</v>
      </c>
      <c r="G212" s="774">
        <f t="shared" si="22"/>
        <v>7761920</v>
      </c>
    </row>
    <row r="213" spans="1:7" s="45" customFormat="1">
      <c r="A213" s="586"/>
      <c r="B213" s="1252">
        <f>+B211+0.1</f>
        <v>7.2999999999999989</v>
      </c>
      <c r="C213" s="102" t="s">
        <v>497</v>
      </c>
      <c r="D213" s="777" t="s">
        <v>56</v>
      </c>
      <c r="E213" s="587">
        <v>619</v>
      </c>
      <c r="F213" s="587">
        <v>17220</v>
      </c>
      <c r="G213" s="774">
        <f t="shared" si="22"/>
        <v>10659180</v>
      </c>
    </row>
    <row r="214" spans="1:7" s="45" customFormat="1">
      <c r="A214" s="127">
        <v>290304</v>
      </c>
      <c r="B214" s="771">
        <f t="shared" ref="B214:B220" si="24">+B213+0.1</f>
        <v>7.3999999999999986</v>
      </c>
      <c r="C214" s="782" t="s">
        <v>981</v>
      </c>
      <c r="D214" s="790" t="s">
        <v>938</v>
      </c>
      <c r="E214" s="587">
        <v>181</v>
      </c>
      <c r="F214" s="587">
        <v>573533</v>
      </c>
      <c r="G214" s="774">
        <f t="shared" si="22"/>
        <v>103809473</v>
      </c>
    </row>
    <row r="215" spans="1:7" s="45" customFormat="1">
      <c r="A215" s="584"/>
      <c r="B215" s="771">
        <f t="shared" si="24"/>
        <v>7.4999999999999982</v>
      </c>
      <c r="C215" s="782" t="s">
        <v>993</v>
      </c>
      <c r="D215" s="790" t="s">
        <v>56</v>
      </c>
      <c r="E215" s="587">
        <v>922</v>
      </c>
      <c r="F215" s="587">
        <v>30000</v>
      </c>
      <c r="G215" s="774">
        <f t="shared" si="22"/>
        <v>27660000</v>
      </c>
    </row>
    <row r="216" spans="1:7" s="45" customFormat="1">
      <c r="A216" s="143">
        <v>290430</v>
      </c>
      <c r="B216" s="771">
        <f t="shared" si="24"/>
        <v>7.5999999999999979</v>
      </c>
      <c r="C216" s="102" t="s">
        <v>976</v>
      </c>
      <c r="D216" s="772" t="s">
        <v>139</v>
      </c>
      <c r="E216" s="587">
        <v>122</v>
      </c>
      <c r="F216" s="837">
        <v>614040</v>
      </c>
      <c r="G216" s="774">
        <f t="shared" si="22"/>
        <v>74912880</v>
      </c>
    </row>
    <row r="217" spans="1:7" s="45" customFormat="1">
      <c r="A217" s="584"/>
      <c r="B217" s="771">
        <f t="shared" si="24"/>
        <v>7.6999999999999975</v>
      </c>
      <c r="C217" s="102" t="s">
        <v>939</v>
      </c>
      <c r="D217" s="772" t="s">
        <v>139</v>
      </c>
      <c r="E217" s="587">
        <v>135</v>
      </c>
      <c r="F217" s="587">
        <v>594610</v>
      </c>
      <c r="G217" s="774">
        <f t="shared" si="22"/>
        <v>80272350</v>
      </c>
    </row>
    <row r="218" spans="1:7" s="45" customFormat="1">
      <c r="A218" s="584"/>
      <c r="B218" s="771">
        <f t="shared" si="24"/>
        <v>7.7999999999999972</v>
      </c>
      <c r="C218" s="102" t="s">
        <v>985</v>
      </c>
      <c r="D218" s="772" t="s">
        <v>22</v>
      </c>
      <c r="E218" s="587">
        <v>2</v>
      </c>
      <c r="F218" s="587">
        <v>922480</v>
      </c>
      <c r="G218" s="774">
        <f t="shared" si="22"/>
        <v>1844960</v>
      </c>
    </row>
    <row r="219" spans="1:7" s="45" customFormat="1">
      <c r="A219" s="584"/>
      <c r="B219" s="771">
        <f t="shared" si="24"/>
        <v>7.8999999999999968</v>
      </c>
      <c r="C219" s="102" t="s">
        <v>986</v>
      </c>
      <c r="D219" s="772" t="s">
        <v>22</v>
      </c>
      <c r="E219" s="587">
        <v>2</v>
      </c>
      <c r="F219" s="587">
        <v>2202372</v>
      </c>
      <c r="G219" s="774">
        <f t="shared" si="22"/>
        <v>4404744</v>
      </c>
    </row>
    <row r="220" spans="1:7" s="45" customFormat="1">
      <c r="A220" s="584"/>
      <c r="B220" s="771">
        <f t="shared" si="24"/>
        <v>7.9999999999999964</v>
      </c>
      <c r="C220" s="102" t="s">
        <v>994</v>
      </c>
      <c r="D220" s="777" t="s">
        <v>22</v>
      </c>
      <c r="E220" s="780">
        <v>2</v>
      </c>
      <c r="F220" s="587">
        <v>118070</v>
      </c>
      <c r="G220" s="774">
        <f t="shared" si="22"/>
        <v>236140</v>
      </c>
    </row>
    <row r="221" spans="1:7" s="45" customFormat="1">
      <c r="A221" s="105"/>
      <c r="B221" s="139"/>
      <c r="C221" s="140"/>
      <c r="D221" s="23"/>
      <c r="E221" s="107"/>
      <c r="F221" s="25"/>
      <c r="G221" s="795"/>
    </row>
    <row r="222" spans="1:7" s="45" customFormat="1" ht="15.75" thickBot="1">
      <c r="A222" s="112" t="s">
        <v>46</v>
      </c>
      <c r="B222" s="113"/>
      <c r="C222" s="114"/>
      <c r="D222" s="115"/>
      <c r="E222" s="116"/>
      <c r="F222" s="117" t="s">
        <v>479</v>
      </c>
      <c r="G222" s="118">
        <f>SUM(G210:G221)</f>
        <v>344724427</v>
      </c>
    </row>
    <row r="223" spans="1:7" s="45" customFormat="1" ht="15" hidden="1" customHeight="1">
      <c r="A223" s="84" t="s">
        <v>40</v>
      </c>
      <c r="B223" s="779"/>
      <c r="C223" s="102"/>
      <c r="D223" s="777"/>
      <c r="E223" s="780"/>
      <c r="F223" s="776">
        <v>38550</v>
      </c>
      <c r="G223" s="774">
        <f t="shared" ref="G223" si="25">E223*F223</f>
        <v>0</v>
      </c>
    </row>
    <row r="224" spans="1:7" s="45" customFormat="1">
      <c r="A224" s="586"/>
      <c r="B224" s="771"/>
      <c r="C224" s="102"/>
      <c r="D224" s="777"/>
      <c r="E224" s="780"/>
      <c r="F224" s="587"/>
      <c r="G224" s="774"/>
    </row>
    <row r="225" spans="1:7" s="45" customFormat="1">
      <c r="A225" s="586"/>
      <c r="B225" s="771">
        <v>7.12</v>
      </c>
      <c r="C225" s="102" t="s">
        <v>522</v>
      </c>
      <c r="D225" s="777" t="s">
        <v>142</v>
      </c>
      <c r="E225" s="780">
        <v>11700</v>
      </c>
      <c r="F225" s="587">
        <v>3100</v>
      </c>
      <c r="G225" s="774">
        <f t="shared" ref="G225:G250" si="26">+E225*F225</f>
        <v>36270000</v>
      </c>
    </row>
    <row r="226" spans="1:7" s="45" customFormat="1">
      <c r="A226" s="586"/>
      <c r="B226" s="771">
        <f>+B225+0.01</f>
        <v>7.13</v>
      </c>
      <c r="C226" s="102" t="s">
        <v>508</v>
      </c>
      <c r="D226" s="777" t="s">
        <v>500</v>
      </c>
      <c r="E226" s="780">
        <v>124</v>
      </c>
      <c r="F226" s="587">
        <v>18420</v>
      </c>
      <c r="G226" s="774">
        <f t="shared" si="26"/>
        <v>2284080</v>
      </c>
    </row>
    <row r="227" spans="1:7" s="45" customFormat="1">
      <c r="A227" s="586"/>
      <c r="B227" s="771">
        <f t="shared" ref="B227:B250" si="27">+B226+0.01</f>
        <v>7.14</v>
      </c>
      <c r="C227" s="102" t="s">
        <v>942</v>
      </c>
      <c r="D227" s="777" t="s">
        <v>56</v>
      </c>
      <c r="E227" s="780">
        <v>183</v>
      </c>
      <c r="F227" s="587">
        <v>4500</v>
      </c>
      <c r="G227" s="774">
        <f t="shared" si="26"/>
        <v>823500</v>
      </c>
    </row>
    <row r="228" spans="1:7" s="45" customFormat="1">
      <c r="A228" s="586"/>
      <c r="B228" s="771">
        <f t="shared" si="27"/>
        <v>7.1499999999999995</v>
      </c>
      <c r="C228" s="102" t="s">
        <v>984</v>
      </c>
      <c r="D228" s="777" t="s">
        <v>139</v>
      </c>
      <c r="E228" s="780">
        <v>20</v>
      </c>
      <c r="F228" s="587">
        <v>63050</v>
      </c>
      <c r="G228" s="774">
        <f t="shared" si="26"/>
        <v>1261000</v>
      </c>
    </row>
    <row r="229" spans="1:7" s="45" customFormat="1">
      <c r="A229" s="586"/>
      <c r="B229" s="771">
        <f t="shared" si="27"/>
        <v>7.1599999999999993</v>
      </c>
      <c r="C229" s="102" t="s">
        <v>946</v>
      </c>
      <c r="D229" s="777" t="s">
        <v>540</v>
      </c>
      <c r="E229" s="780">
        <v>147</v>
      </c>
      <c r="F229" s="587">
        <v>29330</v>
      </c>
      <c r="G229" s="774">
        <f t="shared" si="26"/>
        <v>4311510</v>
      </c>
    </row>
    <row r="230" spans="1:7" s="45" customFormat="1">
      <c r="A230" s="586"/>
      <c r="B230" s="771">
        <f t="shared" si="27"/>
        <v>7.169999999999999</v>
      </c>
      <c r="C230" s="782" t="s">
        <v>1428</v>
      </c>
      <c r="D230" s="777" t="s">
        <v>22</v>
      </c>
      <c r="E230" s="780">
        <v>1</v>
      </c>
      <c r="F230" s="587">
        <v>21450</v>
      </c>
      <c r="G230" s="774">
        <f t="shared" si="26"/>
        <v>21450</v>
      </c>
    </row>
    <row r="231" spans="1:7" s="45" customFormat="1">
      <c r="A231" s="586"/>
      <c r="B231" s="771">
        <f t="shared" si="27"/>
        <v>7.1799999999999988</v>
      </c>
      <c r="C231" s="782" t="s">
        <v>999</v>
      </c>
      <c r="D231" s="790" t="s">
        <v>22</v>
      </c>
      <c r="E231" s="791">
        <v>2</v>
      </c>
      <c r="F231" s="850">
        <v>612360</v>
      </c>
      <c r="G231" s="774">
        <f t="shared" si="26"/>
        <v>1224720</v>
      </c>
    </row>
    <row r="232" spans="1:7" s="45" customFormat="1">
      <c r="A232" s="586"/>
      <c r="B232" s="771">
        <f t="shared" si="27"/>
        <v>7.1899999999999986</v>
      </c>
      <c r="C232" s="782" t="s">
        <v>995</v>
      </c>
      <c r="D232" s="846" t="s">
        <v>22</v>
      </c>
      <c r="E232" s="791">
        <v>2</v>
      </c>
      <c r="F232" s="850">
        <v>521884</v>
      </c>
      <c r="G232" s="774">
        <f t="shared" si="26"/>
        <v>1043768</v>
      </c>
    </row>
    <row r="233" spans="1:7" s="45" customFormat="1">
      <c r="A233" s="586"/>
      <c r="B233" s="771">
        <f t="shared" si="27"/>
        <v>7.1999999999999984</v>
      </c>
      <c r="C233" s="782" t="s">
        <v>1422</v>
      </c>
      <c r="D233" s="846" t="s">
        <v>22</v>
      </c>
      <c r="E233" s="791">
        <v>2</v>
      </c>
      <c r="F233" s="791">
        <v>323400</v>
      </c>
      <c r="G233" s="774">
        <f t="shared" si="26"/>
        <v>646800</v>
      </c>
    </row>
    <row r="234" spans="1:7" s="45" customFormat="1">
      <c r="A234" s="586"/>
      <c r="B234" s="771">
        <f t="shared" si="27"/>
        <v>7.2099999999999982</v>
      </c>
      <c r="C234" s="782" t="s">
        <v>884</v>
      </c>
      <c r="D234" s="790" t="s">
        <v>22</v>
      </c>
      <c r="E234" s="791">
        <v>2</v>
      </c>
      <c r="F234" s="791">
        <v>1021960</v>
      </c>
      <c r="G234" s="774">
        <f t="shared" si="26"/>
        <v>2043920</v>
      </c>
    </row>
    <row r="235" spans="1:7" s="45" customFormat="1">
      <c r="A235" s="586"/>
      <c r="B235" s="771">
        <f t="shared" si="27"/>
        <v>7.219999999999998</v>
      </c>
      <c r="C235" s="782" t="s">
        <v>1030</v>
      </c>
      <c r="D235" s="846" t="s">
        <v>22</v>
      </c>
      <c r="E235" s="791">
        <v>2</v>
      </c>
      <c r="F235" s="791">
        <v>3242316</v>
      </c>
      <c r="G235" s="774">
        <f t="shared" si="26"/>
        <v>6484632</v>
      </c>
    </row>
    <row r="236" spans="1:7" s="45" customFormat="1">
      <c r="A236" s="586"/>
      <c r="B236" s="771">
        <f t="shared" si="27"/>
        <v>7.2299999999999978</v>
      </c>
      <c r="C236" s="1041" t="s">
        <v>881</v>
      </c>
      <c r="D236" s="846" t="s">
        <v>22</v>
      </c>
      <c r="E236" s="791">
        <v>2</v>
      </c>
      <c r="F236" s="791">
        <v>1621796</v>
      </c>
      <c r="G236" s="774">
        <f t="shared" si="26"/>
        <v>3243592</v>
      </c>
    </row>
    <row r="237" spans="1:7" s="45" customFormat="1">
      <c r="A237" s="586"/>
      <c r="B237" s="1252">
        <f t="shared" si="27"/>
        <v>7.2399999999999975</v>
      </c>
      <c r="C237" s="1041" t="s">
        <v>1029</v>
      </c>
      <c r="D237" s="846" t="s">
        <v>22</v>
      </c>
      <c r="E237" s="791">
        <v>2</v>
      </c>
      <c r="F237" s="791">
        <v>1096084</v>
      </c>
      <c r="G237" s="774">
        <f t="shared" si="26"/>
        <v>2192168</v>
      </c>
    </row>
    <row r="238" spans="1:7" s="45" customFormat="1">
      <c r="A238" s="586"/>
      <c r="B238" s="771">
        <f t="shared" si="27"/>
        <v>7.2499999999999973</v>
      </c>
      <c r="C238" s="782" t="s">
        <v>904</v>
      </c>
      <c r="D238" s="846" t="s">
        <v>22</v>
      </c>
      <c r="E238" s="782">
        <v>2</v>
      </c>
      <c r="F238" s="845">
        <v>10670</v>
      </c>
      <c r="G238" s="774">
        <f t="shared" si="26"/>
        <v>21340</v>
      </c>
    </row>
    <row r="239" spans="1:7" s="45" customFormat="1">
      <c r="A239" s="586"/>
      <c r="B239" s="771">
        <f t="shared" si="27"/>
        <v>7.2599999999999971</v>
      </c>
      <c r="C239" s="782" t="s">
        <v>1423</v>
      </c>
      <c r="D239" s="846" t="s">
        <v>22</v>
      </c>
      <c r="E239" s="782">
        <v>2</v>
      </c>
      <c r="F239" s="845">
        <v>182000</v>
      </c>
      <c r="G239" s="774">
        <f t="shared" si="26"/>
        <v>364000</v>
      </c>
    </row>
    <row r="240" spans="1:7" s="45" customFormat="1">
      <c r="A240" s="586"/>
      <c r="B240" s="771">
        <f t="shared" si="27"/>
        <v>7.2699999999999969</v>
      </c>
      <c r="C240" s="782" t="s">
        <v>996</v>
      </c>
      <c r="D240" s="772" t="s">
        <v>500</v>
      </c>
      <c r="E240" s="587">
        <v>16</v>
      </c>
      <c r="F240" s="845">
        <v>21516</v>
      </c>
      <c r="G240" s="774">
        <f t="shared" si="26"/>
        <v>344256</v>
      </c>
    </row>
    <row r="241" spans="1:7" s="45" customFormat="1">
      <c r="A241" s="586"/>
      <c r="B241" s="771">
        <f t="shared" si="27"/>
        <v>7.2799999999999967</v>
      </c>
      <c r="C241" s="782" t="s">
        <v>1425</v>
      </c>
      <c r="D241" s="846" t="s">
        <v>22</v>
      </c>
      <c r="E241" s="782">
        <v>31</v>
      </c>
      <c r="F241" s="845">
        <v>10670</v>
      </c>
      <c r="G241" s="774">
        <f t="shared" si="26"/>
        <v>330770</v>
      </c>
    </row>
    <row r="242" spans="1:7" s="45" customFormat="1">
      <c r="A242" s="586"/>
      <c r="B242" s="771">
        <f t="shared" si="27"/>
        <v>7.2899999999999965</v>
      </c>
      <c r="C242" s="782" t="s">
        <v>1429</v>
      </c>
      <c r="D242" s="846" t="s">
        <v>22</v>
      </c>
      <c r="E242" s="782">
        <v>3</v>
      </c>
      <c r="F242" s="845">
        <v>113600</v>
      </c>
      <c r="G242" s="774">
        <f t="shared" si="26"/>
        <v>340800</v>
      </c>
    </row>
    <row r="243" spans="1:7" s="45" customFormat="1">
      <c r="A243" s="586"/>
      <c r="B243" s="771">
        <f t="shared" si="27"/>
        <v>7.2999999999999963</v>
      </c>
      <c r="C243" s="782" t="s">
        <v>1430</v>
      </c>
      <c r="D243" s="846" t="s">
        <v>22</v>
      </c>
      <c r="E243" s="782">
        <v>3</v>
      </c>
      <c r="F243" s="845">
        <v>85700</v>
      </c>
      <c r="G243" s="774">
        <f t="shared" si="26"/>
        <v>257100</v>
      </c>
    </row>
    <row r="244" spans="1:7" s="45" customFormat="1">
      <c r="A244" s="586"/>
      <c r="B244" s="771">
        <f t="shared" si="27"/>
        <v>7.3099999999999961</v>
      </c>
      <c r="C244" s="782" t="s">
        <v>1426</v>
      </c>
      <c r="D244" s="846" t="s">
        <v>22</v>
      </c>
      <c r="E244" s="782">
        <v>1</v>
      </c>
      <c r="F244" s="845">
        <v>115000</v>
      </c>
      <c r="G244" s="774">
        <f t="shared" si="26"/>
        <v>115000</v>
      </c>
    </row>
    <row r="245" spans="1:7" s="45" customFormat="1">
      <c r="A245" s="586"/>
      <c r="B245" s="1252">
        <f t="shared" si="27"/>
        <v>7.3199999999999958</v>
      </c>
      <c r="C245" s="782" t="s">
        <v>1431</v>
      </c>
      <c r="D245" s="846" t="s">
        <v>500</v>
      </c>
      <c r="E245" s="782">
        <v>76</v>
      </c>
      <c r="F245" s="1153">
        <v>48740</v>
      </c>
      <c r="G245" s="774">
        <f t="shared" si="26"/>
        <v>3704240</v>
      </c>
    </row>
    <row r="246" spans="1:7" s="45" customFormat="1">
      <c r="A246" s="586"/>
      <c r="B246" s="771">
        <f t="shared" si="27"/>
        <v>7.3299999999999956</v>
      </c>
      <c r="C246" s="782" t="s">
        <v>1424</v>
      </c>
      <c r="D246" s="846" t="s">
        <v>56</v>
      </c>
      <c r="E246" s="782">
        <v>0.3</v>
      </c>
      <c r="F246" s="845">
        <v>6000</v>
      </c>
      <c r="G246" s="774">
        <f t="shared" si="26"/>
        <v>1800</v>
      </c>
    </row>
    <row r="247" spans="1:7" s="45" customFormat="1" ht="25.5">
      <c r="A247" s="586"/>
      <c r="B247" s="771">
        <f t="shared" si="27"/>
        <v>7.3399999999999954</v>
      </c>
      <c r="C247" s="102" t="s">
        <v>1018</v>
      </c>
      <c r="D247" s="772" t="s">
        <v>22</v>
      </c>
      <c r="E247" s="780">
        <v>42</v>
      </c>
      <c r="F247" s="858">
        <v>30550</v>
      </c>
      <c r="G247" s="774">
        <f t="shared" si="26"/>
        <v>1283100</v>
      </c>
    </row>
    <row r="248" spans="1:7" s="45" customFormat="1">
      <c r="A248" s="586"/>
      <c r="B248" s="771">
        <f t="shared" si="27"/>
        <v>7.3499999999999952</v>
      </c>
      <c r="C248" s="102" t="s">
        <v>1432</v>
      </c>
      <c r="D248" s="772" t="s">
        <v>22</v>
      </c>
      <c r="E248" s="780">
        <v>4</v>
      </c>
      <c r="F248" s="858">
        <v>580000</v>
      </c>
      <c r="G248" s="774">
        <f t="shared" si="26"/>
        <v>2320000</v>
      </c>
    </row>
    <row r="249" spans="1:7" s="45" customFormat="1" ht="25.5">
      <c r="A249" s="586"/>
      <c r="B249" s="771">
        <f t="shared" si="27"/>
        <v>7.359999999999995</v>
      </c>
      <c r="C249" s="102" t="s">
        <v>1433</v>
      </c>
      <c r="D249" s="772" t="s">
        <v>22</v>
      </c>
      <c r="E249" s="780">
        <v>4</v>
      </c>
      <c r="F249" s="858">
        <v>620000</v>
      </c>
      <c r="G249" s="774">
        <f t="shared" si="26"/>
        <v>2480000</v>
      </c>
    </row>
    <row r="250" spans="1:7" s="45" customFormat="1">
      <c r="A250" s="586"/>
      <c r="B250" s="771">
        <f t="shared" si="27"/>
        <v>7.3699999999999948</v>
      </c>
      <c r="C250" s="102" t="s">
        <v>1427</v>
      </c>
      <c r="D250" s="772" t="s">
        <v>22</v>
      </c>
      <c r="E250" s="780">
        <v>2</v>
      </c>
      <c r="F250" s="858">
        <v>4950000</v>
      </c>
      <c r="G250" s="774">
        <f t="shared" si="26"/>
        <v>9900000</v>
      </c>
    </row>
    <row r="251" spans="1:7" s="45" customFormat="1">
      <c r="A251" s="586"/>
      <c r="B251" s="771"/>
      <c r="D251" s="772"/>
      <c r="E251" s="780"/>
      <c r="F251" s="25"/>
      <c r="G251" s="774"/>
    </row>
    <row r="252" spans="1:7" s="45" customFormat="1" ht="15.75" thickBot="1">
      <c r="A252" s="586"/>
      <c r="B252" s="114"/>
      <c r="C252" s="114"/>
      <c r="D252" s="115"/>
      <c r="E252" s="116"/>
      <c r="F252" s="117" t="s">
        <v>970</v>
      </c>
      <c r="G252" s="118">
        <f>SUM(G225:G251)</f>
        <v>83313546</v>
      </c>
    </row>
    <row r="253" spans="1:7" s="45" customFormat="1">
      <c r="A253" s="586"/>
      <c r="B253" s="771"/>
      <c r="C253" s="102"/>
      <c r="D253" s="772"/>
      <c r="E253" s="780"/>
      <c r="F253" s="587"/>
      <c r="G253" s="774"/>
    </row>
    <row r="254" spans="1:7" s="45" customFormat="1" ht="15.75" thickBot="1">
      <c r="A254" s="127" t="s">
        <v>82</v>
      </c>
      <c r="B254" s="871"/>
      <c r="C254" s="871"/>
      <c r="D254" s="873"/>
      <c r="E254" s="874"/>
      <c r="F254" s="1180" t="s">
        <v>971</v>
      </c>
      <c r="G254" s="1004">
        <f>+G252+G222</f>
        <v>428037973</v>
      </c>
    </row>
    <row r="255" spans="1:7" s="45" customFormat="1" ht="15.75" thickBot="1">
      <c r="A255" s="143">
        <v>210134</v>
      </c>
      <c r="B255" s="139"/>
      <c r="C255" s="140"/>
      <c r="D255" s="141"/>
      <c r="E255" s="142"/>
      <c r="F255" s="25"/>
      <c r="G255" s="792">
        <f t="shared" ref="G255" si="28">+F255*E255</f>
        <v>0</v>
      </c>
    </row>
    <row r="256" spans="1:7" s="45" customFormat="1">
      <c r="A256" s="584"/>
      <c r="B256" s="74">
        <v>8</v>
      </c>
      <c r="C256" s="75" t="s">
        <v>1023</v>
      </c>
      <c r="D256" s="76"/>
      <c r="E256" s="76"/>
      <c r="F256" s="76"/>
      <c r="G256" s="126"/>
    </row>
    <row r="257" spans="1:7" s="45" customFormat="1">
      <c r="A257" s="584"/>
      <c r="B257" s="771"/>
      <c r="C257" s="788" t="s">
        <v>947</v>
      </c>
      <c r="D257" s="772"/>
      <c r="E257" s="773"/>
      <c r="F257" s="587"/>
      <c r="G257" s="774"/>
    </row>
    <row r="258" spans="1:7" s="45" customFormat="1">
      <c r="A258" s="584"/>
      <c r="B258" s="771">
        <v>8.1</v>
      </c>
      <c r="C258" s="102" t="s">
        <v>943</v>
      </c>
      <c r="D258" s="772" t="s">
        <v>139</v>
      </c>
      <c r="E258" s="587">
        <v>590</v>
      </c>
      <c r="F258" s="587">
        <v>2610</v>
      </c>
      <c r="G258" s="774">
        <f t="shared" ref="G258:G262" si="29">+E258*F258</f>
        <v>1539900</v>
      </c>
    </row>
    <row r="259" spans="1:7" s="45" customFormat="1">
      <c r="A259" s="584"/>
      <c r="B259" s="771">
        <f>+B258+0.1</f>
        <v>8.1999999999999993</v>
      </c>
      <c r="C259" s="102" t="s">
        <v>1101</v>
      </c>
      <c r="D259" s="772" t="s">
        <v>139</v>
      </c>
      <c r="E259" s="587">
        <f>+E258</f>
        <v>590</v>
      </c>
      <c r="F259" s="587">
        <v>5190</v>
      </c>
      <c r="G259" s="774">
        <f t="shared" si="29"/>
        <v>3062100</v>
      </c>
    </row>
    <row r="260" spans="1:7" s="45" customFormat="1">
      <c r="A260" s="584"/>
      <c r="B260" s="771">
        <f t="shared" ref="B260:B262" si="30">+B259+0.1</f>
        <v>8.2999999999999989</v>
      </c>
      <c r="C260" s="102" t="s">
        <v>497</v>
      </c>
      <c r="D260" s="777" t="s">
        <v>56</v>
      </c>
      <c r="E260" s="587">
        <v>163</v>
      </c>
      <c r="F260" s="587">
        <v>17220</v>
      </c>
      <c r="G260" s="774">
        <f t="shared" si="29"/>
        <v>2806860</v>
      </c>
    </row>
    <row r="261" spans="1:7" s="45" customFormat="1">
      <c r="A261" s="584"/>
      <c r="B261" s="1252">
        <f t="shared" si="30"/>
        <v>8.3999999999999986</v>
      </c>
      <c r="C261" s="782" t="s">
        <v>1003</v>
      </c>
      <c r="D261" s="790" t="s">
        <v>139</v>
      </c>
      <c r="E261" s="780">
        <v>44</v>
      </c>
      <c r="F261" s="587">
        <v>448900</v>
      </c>
      <c r="G261" s="774">
        <f t="shared" si="29"/>
        <v>19751600</v>
      </c>
    </row>
    <row r="262" spans="1:7" s="45" customFormat="1">
      <c r="A262" s="584"/>
      <c r="B262" s="771">
        <f t="shared" si="30"/>
        <v>8.4999999999999982</v>
      </c>
      <c r="C262" s="102" t="s">
        <v>976</v>
      </c>
      <c r="D262" s="772" t="s">
        <v>139</v>
      </c>
      <c r="E262" s="587">
        <v>15</v>
      </c>
      <c r="F262" s="837">
        <v>614040</v>
      </c>
      <c r="G262" s="774">
        <f t="shared" si="29"/>
        <v>9210600</v>
      </c>
    </row>
    <row r="263" spans="1:7" s="45" customFormat="1">
      <c r="A263" s="584"/>
      <c r="B263" s="771"/>
      <c r="C263" s="102"/>
      <c r="D263" s="772"/>
      <c r="E263" s="587"/>
      <c r="F263" s="587"/>
      <c r="G263" s="774">
        <f>+E263*F263</f>
        <v>0</v>
      </c>
    </row>
    <row r="264" spans="1:7" s="45" customFormat="1" ht="15.75" thickBot="1">
      <c r="A264" s="584"/>
      <c r="B264" s="771"/>
      <c r="C264" s="114"/>
      <c r="D264" s="115"/>
      <c r="E264" s="116"/>
      <c r="F264" s="117" t="s">
        <v>1099</v>
      </c>
      <c r="G264" s="118">
        <f>SUM(G258:G263)</f>
        <v>36371060</v>
      </c>
    </row>
    <row r="265" spans="1:7" s="45" customFormat="1">
      <c r="A265" s="584"/>
      <c r="B265" s="771"/>
      <c r="C265" s="102"/>
      <c r="D265" s="772"/>
      <c r="E265" s="587"/>
      <c r="F265" s="587"/>
      <c r="G265" s="774"/>
    </row>
    <row r="266" spans="1:7" s="45" customFormat="1">
      <c r="A266" s="584"/>
      <c r="B266" s="771">
        <f>+B262+0.1</f>
        <v>8.5999999999999979</v>
      </c>
      <c r="C266" s="102" t="s">
        <v>522</v>
      </c>
      <c r="D266" s="777" t="s">
        <v>142</v>
      </c>
      <c r="E266" s="780">
        <v>5000</v>
      </c>
      <c r="F266" s="891">
        <v>3100</v>
      </c>
      <c r="G266" s="774">
        <f t="shared" ref="G266:G277" si="31">+E266*F266</f>
        <v>15500000</v>
      </c>
    </row>
    <row r="267" spans="1:7" s="45" customFormat="1">
      <c r="A267" s="584"/>
      <c r="B267" s="771">
        <f>+B266+0.1</f>
        <v>8.6999999999999975</v>
      </c>
      <c r="C267" s="102" t="s">
        <v>1411</v>
      </c>
      <c r="D267" s="777" t="s">
        <v>500</v>
      </c>
      <c r="E267" s="780">
        <v>90</v>
      </c>
      <c r="F267" s="891">
        <v>18420</v>
      </c>
      <c r="G267" s="774">
        <f t="shared" si="31"/>
        <v>1657800</v>
      </c>
    </row>
    <row r="268" spans="1:7" s="45" customFormat="1">
      <c r="A268" s="584"/>
      <c r="B268" s="771">
        <f>+B267+0.1</f>
        <v>8.7999999999999972</v>
      </c>
      <c r="C268" s="102" t="s">
        <v>942</v>
      </c>
      <c r="D268" s="777" t="s">
        <v>56</v>
      </c>
      <c r="E268" s="780">
        <v>92</v>
      </c>
      <c r="F268" s="891">
        <v>4500</v>
      </c>
      <c r="G268" s="774">
        <f t="shared" si="31"/>
        <v>414000</v>
      </c>
    </row>
    <row r="269" spans="1:7" s="45" customFormat="1">
      <c r="A269" s="584"/>
      <c r="B269" s="844">
        <v>8.9</v>
      </c>
      <c r="C269" s="102" t="s">
        <v>984</v>
      </c>
      <c r="D269" s="777" t="s">
        <v>139</v>
      </c>
      <c r="E269" s="780">
        <v>11</v>
      </c>
      <c r="F269" s="964">
        <v>63050</v>
      </c>
      <c r="G269" s="774">
        <f t="shared" si="31"/>
        <v>693550</v>
      </c>
    </row>
    <row r="270" spans="1:7" s="45" customFormat="1">
      <c r="A270" s="584"/>
      <c r="B270" s="779">
        <v>8.1</v>
      </c>
      <c r="C270" s="102" t="s">
        <v>946</v>
      </c>
      <c r="D270" s="777" t="s">
        <v>540</v>
      </c>
      <c r="E270" s="780">
        <v>13</v>
      </c>
      <c r="F270" s="891">
        <v>29330</v>
      </c>
      <c r="G270" s="774">
        <f t="shared" si="31"/>
        <v>381290</v>
      </c>
    </row>
    <row r="271" spans="1:7" s="45" customFormat="1" ht="29.25" customHeight="1">
      <c r="A271" s="584"/>
      <c r="B271" s="779">
        <v>8.11</v>
      </c>
      <c r="C271" s="782" t="s">
        <v>1102</v>
      </c>
      <c r="D271" s="772" t="s">
        <v>22</v>
      </c>
      <c r="E271" s="587">
        <v>4</v>
      </c>
      <c r="F271" s="891">
        <v>1240272</v>
      </c>
      <c r="G271" s="774">
        <f t="shared" si="31"/>
        <v>4961088</v>
      </c>
    </row>
    <row r="272" spans="1:7" s="45" customFormat="1">
      <c r="A272" s="584"/>
      <c r="B272" s="779">
        <v>8.1199999999999992</v>
      </c>
      <c r="C272" s="782" t="s">
        <v>1108</v>
      </c>
      <c r="D272" s="777" t="s">
        <v>22</v>
      </c>
      <c r="E272" s="587">
        <v>12</v>
      </c>
      <c r="F272" s="891">
        <v>40312</v>
      </c>
      <c r="G272" s="774">
        <f t="shared" si="31"/>
        <v>483744</v>
      </c>
    </row>
    <row r="273" spans="1:7" s="45" customFormat="1">
      <c r="A273" s="584"/>
      <c r="B273" s="779">
        <f>+B272+0.01</f>
        <v>8.129999999999999</v>
      </c>
      <c r="C273" s="102" t="s">
        <v>1107</v>
      </c>
      <c r="D273" s="790" t="s">
        <v>22</v>
      </c>
      <c r="E273" s="587">
        <v>28</v>
      </c>
      <c r="F273" s="891">
        <v>10810</v>
      </c>
      <c r="G273" s="774">
        <f t="shared" si="31"/>
        <v>302680</v>
      </c>
    </row>
    <row r="274" spans="1:7" s="45" customFormat="1" ht="16.5">
      <c r="A274" s="584"/>
      <c r="B274" s="779">
        <f t="shared" ref="B274:B277" si="32">+B273+0.01</f>
        <v>8.1399999999999988</v>
      </c>
      <c r="C274" s="102" t="s">
        <v>1103</v>
      </c>
      <c r="D274" s="772" t="s">
        <v>500</v>
      </c>
      <c r="E274" s="587">
        <v>86</v>
      </c>
      <c r="F274" s="893">
        <v>21516</v>
      </c>
      <c r="G274" s="774">
        <f t="shared" si="31"/>
        <v>1850376</v>
      </c>
    </row>
    <row r="275" spans="1:7" s="45" customFormat="1">
      <c r="A275" s="584"/>
      <c r="B275" s="779">
        <f t="shared" si="32"/>
        <v>8.1499999999999986</v>
      </c>
      <c r="C275" s="782" t="s">
        <v>1106</v>
      </c>
      <c r="D275" s="777" t="s">
        <v>139</v>
      </c>
      <c r="E275" s="587">
        <v>35</v>
      </c>
      <c r="F275" s="964">
        <v>63050</v>
      </c>
      <c r="G275" s="774">
        <f t="shared" si="31"/>
        <v>2206750</v>
      </c>
    </row>
    <row r="276" spans="1:7" s="45" customFormat="1">
      <c r="A276" s="584"/>
      <c r="B276" s="779">
        <f t="shared" si="32"/>
        <v>8.1599999999999984</v>
      </c>
      <c r="C276" s="782" t="s">
        <v>166</v>
      </c>
      <c r="D276" s="777" t="s">
        <v>139</v>
      </c>
      <c r="E276" s="587">
        <v>30</v>
      </c>
      <c r="F276" s="891">
        <v>43840</v>
      </c>
      <c r="G276" s="774">
        <f t="shared" si="31"/>
        <v>1315200</v>
      </c>
    </row>
    <row r="277" spans="1:7" s="45" customFormat="1" ht="16.5">
      <c r="A277" s="584"/>
      <c r="B277" s="779">
        <f t="shared" si="32"/>
        <v>8.1699999999999982</v>
      </c>
      <c r="C277" s="782" t="s">
        <v>1104</v>
      </c>
      <c r="D277" s="846" t="s">
        <v>22</v>
      </c>
      <c r="E277" s="782">
        <v>4</v>
      </c>
      <c r="F277" s="893">
        <v>158050</v>
      </c>
      <c r="G277" s="774">
        <f t="shared" si="31"/>
        <v>632200</v>
      </c>
    </row>
    <row r="278" spans="1:7" s="45" customFormat="1" ht="16.5">
      <c r="A278" s="584"/>
      <c r="B278" s="779"/>
      <c r="C278" s="782"/>
      <c r="D278" s="846"/>
      <c r="E278" s="782"/>
      <c r="F278" s="893"/>
      <c r="G278" s="774"/>
    </row>
    <row r="279" spans="1:7" s="45" customFormat="1" ht="15.75" thickBot="1">
      <c r="A279" s="584"/>
      <c r="B279" s="592"/>
      <c r="C279" s="114"/>
      <c r="D279" s="115"/>
      <c r="E279" s="116"/>
      <c r="F279" s="117" t="s">
        <v>1100</v>
      </c>
      <c r="G279" s="1109">
        <f>SUM(G266:G278)</f>
        <v>30398678</v>
      </c>
    </row>
    <row r="280" spans="1:7" s="45" customFormat="1">
      <c r="A280" s="584"/>
      <c r="B280" s="592"/>
      <c r="C280" s="140"/>
      <c r="D280" s="23"/>
      <c r="E280" s="107"/>
      <c r="F280" s="25"/>
      <c r="G280" s="1110"/>
    </row>
    <row r="281" spans="1:7" s="45" customFormat="1" ht="15.75" thickBot="1">
      <c r="A281" s="584"/>
      <c r="B281" s="1026"/>
      <c r="C281" s="871"/>
      <c r="D281" s="873"/>
      <c r="E281" s="874"/>
      <c r="F281" s="1180" t="s">
        <v>1024</v>
      </c>
      <c r="G281" s="1108">
        <f>+G279+G264</f>
        <v>66769738</v>
      </c>
    </row>
    <row r="282" spans="1:7" s="45" customFormat="1" ht="15.75" thickBot="1">
      <c r="A282" s="584"/>
      <c r="B282" s="592"/>
      <c r="C282" s="593"/>
      <c r="D282" s="827"/>
      <c r="E282" s="594"/>
      <c r="F282" s="575"/>
      <c r="G282" s="792"/>
    </row>
    <row r="283" spans="1:7" s="45" customFormat="1">
      <c r="A283" s="584"/>
      <c r="B283" s="592">
        <v>9</v>
      </c>
      <c r="C283" s="75" t="s">
        <v>1038</v>
      </c>
      <c r="D283" s="76"/>
      <c r="E283" s="76"/>
      <c r="F283" s="76"/>
      <c r="G283" s="126"/>
    </row>
    <row r="284" spans="1:7" s="45" customFormat="1">
      <c r="A284" s="584"/>
      <c r="B284" s="592">
        <v>9.1</v>
      </c>
      <c r="C284" s="102" t="s">
        <v>943</v>
      </c>
      <c r="D284" s="772" t="s">
        <v>139</v>
      </c>
      <c r="E284" s="587">
        <v>135</v>
      </c>
      <c r="F284" s="587">
        <v>2610</v>
      </c>
      <c r="G284" s="774">
        <f>+E284*F284</f>
        <v>352350</v>
      </c>
    </row>
    <row r="285" spans="1:7" s="45" customFormat="1">
      <c r="A285" s="584"/>
      <c r="B285" s="592">
        <v>9.1999999999999993</v>
      </c>
      <c r="C285" s="102" t="s">
        <v>1046</v>
      </c>
      <c r="D285" s="772"/>
      <c r="E285" s="587"/>
      <c r="F285" s="587"/>
      <c r="G285" s="774">
        <f t="shared" ref="G285:G333" si="33">+E285*F285</f>
        <v>0</v>
      </c>
    </row>
    <row r="286" spans="1:7" s="45" customFormat="1">
      <c r="A286" s="584"/>
      <c r="B286" s="592" t="s">
        <v>1048</v>
      </c>
      <c r="C286" s="593" t="s">
        <v>1039</v>
      </c>
      <c r="D286" s="827" t="s">
        <v>56</v>
      </c>
      <c r="E286" s="594">
        <v>240</v>
      </c>
      <c r="F286" s="575">
        <v>81410</v>
      </c>
      <c r="G286" s="774">
        <f t="shared" si="33"/>
        <v>19538400</v>
      </c>
    </row>
    <row r="287" spans="1:7" s="45" customFormat="1">
      <c r="A287" s="584"/>
      <c r="B287" s="592">
        <v>9.3000000000000007</v>
      </c>
      <c r="C287" s="593" t="s">
        <v>1047</v>
      </c>
      <c r="D287" s="827"/>
      <c r="E287" s="594"/>
      <c r="F287" s="575"/>
      <c r="G287" s="774">
        <f t="shared" si="33"/>
        <v>0</v>
      </c>
    </row>
    <row r="288" spans="1:7" s="45" customFormat="1" ht="25.5">
      <c r="A288" s="584"/>
      <c r="B288" s="592" t="s">
        <v>1049</v>
      </c>
      <c r="C288" s="593" t="s">
        <v>1040</v>
      </c>
      <c r="D288" s="827" t="s">
        <v>139</v>
      </c>
      <c r="E288" s="594">
        <v>2.2999999999999998</v>
      </c>
      <c r="F288" s="1056">
        <v>312309</v>
      </c>
      <c r="G288" s="774">
        <f t="shared" si="33"/>
        <v>718310.7</v>
      </c>
    </row>
    <row r="289" spans="1:7" s="45" customFormat="1">
      <c r="A289" s="584"/>
      <c r="B289" s="592" t="s">
        <v>1050</v>
      </c>
      <c r="C289" s="593" t="s">
        <v>1415</v>
      </c>
      <c r="D289" s="827" t="s">
        <v>56</v>
      </c>
      <c r="E289" s="594">
        <v>39</v>
      </c>
      <c r="F289" s="587">
        <v>17220</v>
      </c>
      <c r="G289" s="774">
        <f t="shared" si="33"/>
        <v>671580</v>
      </c>
    </row>
    <row r="290" spans="1:7" s="45" customFormat="1" ht="38.25">
      <c r="A290" s="584"/>
      <c r="B290" s="592" t="s">
        <v>1051</v>
      </c>
      <c r="C290" s="593" t="s">
        <v>1414</v>
      </c>
      <c r="D290" s="827" t="s">
        <v>139</v>
      </c>
      <c r="E290" s="594">
        <v>6.9</v>
      </c>
      <c r="F290" s="575">
        <v>467430</v>
      </c>
      <c r="G290" s="774">
        <f t="shared" si="33"/>
        <v>3225267</v>
      </c>
    </row>
    <row r="291" spans="1:7" s="45" customFormat="1">
      <c r="A291" s="584"/>
      <c r="B291" s="1257" t="s">
        <v>1051</v>
      </c>
      <c r="C291" s="593" t="s">
        <v>1416</v>
      </c>
      <c r="D291" s="827" t="s">
        <v>139</v>
      </c>
      <c r="E291" s="594">
        <v>6.24</v>
      </c>
      <c r="F291" s="575">
        <v>656039</v>
      </c>
      <c r="G291" s="774">
        <f t="shared" si="33"/>
        <v>4093683.3600000003</v>
      </c>
    </row>
    <row r="292" spans="1:7" s="45" customFormat="1">
      <c r="A292" s="584"/>
      <c r="B292" s="592" t="s">
        <v>1052</v>
      </c>
      <c r="C292" s="593" t="s">
        <v>1417</v>
      </c>
      <c r="D292" s="827" t="s">
        <v>139</v>
      </c>
      <c r="E292" s="594">
        <v>7.6</v>
      </c>
      <c r="F292" s="575">
        <f>+F291</f>
        <v>656039</v>
      </c>
      <c r="G292" s="774">
        <f t="shared" si="33"/>
        <v>4985896.3999999994</v>
      </c>
    </row>
    <row r="293" spans="1:7" s="45" customFormat="1">
      <c r="A293" s="584"/>
      <c r="B293" s="592" t="s">
        <v>1053</v>
      </c>
      <c r="C293" s="593" t="s">
        <v>1418</v>
      </c>
      <c r="D293" s="827" t="s">
        <v>139</v>
      </c>
      <c r="E293" s="594">
        <v>2.5</v>
      </c>
      <c r="F293" s="575">
        <v>640640</v>
      </c>
      <c r="G293" s="774">
        <f t="shared" si="33"/>
        <v>1601600</v>
      </c>
    </row>
    <row r="294" spans="1:7" s="45" customFormat="1">
      <c r="A294" s="584"/>
      <c r="B294" s="592">
        <v>9.4</v>
      </c>
      <c r="C294" s="593" t="s">
        <v>1054</v>
      </c>
      <c r="D294" s="827"/>
      <c r="E294" s="594"/>
      <c r="F294" s="575"/>
      <c r="G294" s="774">
        <f t="shared" si="33"/>
        <v>0</v>
      </c>
    </row>
    <row r="295" spans="1:7" s="45" customFormat="1">
      <c r="A295" s="584"/>
      <c r="B295" s="592" t="s">
        <v>1055</v>
      </c>
      <c r="C295" s="102" t="s">
        <v>522</v>
      </c>
      <c r="D295" s="777" t="s">
        <v>142</v>
      </c>
      <c r="E295" s="780">
        <v>1500</v>
      </c>
      <c r="F295" s="587">
        <v>3100</v>
      </c>
      <c r="G295" s="774">
        <f t="shared" si="33"/>
        <v>4650000</v>
      </c>
    </row>
    <row r="296" spans="1:7" s="45" customFormat="1">
      <c r="A296" s="584"/>
      <c r="B296" s="592" t="s">
        <v>1056</v>
      </c>
      <c r="C296" s="102" t="s">
        <v>1044</v>
      </c>
      <c r="D296" s="777" t="s">
        <v>142</v>
      </c>
      <c r="E296" s="780">
        <v>2580</v>
      </c>
      <c r="F296" s="587">
        <v>3100</v>
      </c>
      <c r="G296" s="774">
        <f t="shared" si="33"/>
        <v>7998000</v>
      </c>
    </row>
    <row r="297" spans="1:7" s="45" customFormat="1">
      <c r="A297" s="584"/>
      <c r="B297" s="592">
        <v>9.5</v>
      </c>
      <c r="C297" s="593" t="s">
        <v>64</v>
      </c>
      <c r="D297" s="827"/>
      <c r="E297" s="594"/>
      <c r="F297" s="575"/>
      <c r="G297" s="774">
        <f t="shared" si="33"/>
        <v>0</v>
      </c>
    </row>
    <row r="298" spans="1:7" s="45" customFormat="1" ht="38.25">
      <c r="A298" s="584"/>
      <c r="B298" s="592" t="s">
        <v>1447</v>
      </c>
      <c r="C298" s="1035" t="s">
        <v>1413</v>
      </c>
      <c r="D298" s="974" t="s">
        <v>500</v>
      </c>
      <c r="E298" s="967">
        <v>241</v>
      </c>
      <c r="F298" s="968">
        <v>37320</v>
      </c>
      <c r="G298" s="774">
        <f t="shared" si="33"/>
        <v>8994120</v>
      </c>
    </row>
    <row r="299" spans="1:7" s="45" customFormat="1">
      <c r="A299" s="584"/>
      <c r="B299" s="592" t="s">
        <v>1448</v>
      </c>
      <c r="C299" s="1035" t="s">
        <v>1440</v>
      </c>
      <c r="D299" s="974"/>
      <c r="E299" s="1048"/>
      <c r="F299" s="968"/>
      <c r="G299" s="774">
        <f t="shared" si="33"/>
        <v>0</v>
      </c>
    </row>
    <row r="300" spans="1:7" s="45" customFormat="1">
      <c r="A300" s="584"/>
      <c r="B300" s="592" t="s">
        <v>1449</v>
      </c>
      <c r="C300" s="1035" t="s">
        <v>1441</v>
      </c>
      <c r="D300" s="974" t="s">
        <v>500</v>
      </c>
      <c r="E300" s="1049">
        <v>12.7</v>
      </c>
      <c r="F300" s="1050">
        <v>28670</v>
      </c>
      <c r="G300" s="774">
        <f t="shared" si="33"/>
        <v>364109</v>
      </c>
    </row>
    <row r="301" spans="1:7" s="45" customFormat="1">
      <c r="A301" s="584"/>
      <c r="B301" s="592" t="s">
        <v>1450</v>
      </c>
      <c r="C301" s="1035" t="s">
        <v>1442</v>
      </c>
      <c r="D301" s="974" t="s">
        <v>56</v>
      </c>
      <c r="E301" s="1051">
        <v>192.51</v>
      </c>
      <c r="F301" s="968">
        <v>26250</v>
      </c>
      <c r="G301" s="774">
        <f t="shared" si="33"/>
        <v>5053387.5</v>
      </c>
    </row>
    <row r="302" spans="1:7" s="45" customFormat="1">
      <c r="A302" s="584"/>
      <c r="B302" s="592" t="s">
        <v>1451</v>
      </c>
      <c r="C302" s="1035" t="s">
        <v>1443</v>
      </c>
      <c r="D302" s="974" t="s">
        <v>56</v>
      </c>
      <c r="E302" s="1048">
        <v>69</v>
      </c>
      <c r="F302" s="968">
        <v>15000</v>
      </c>
      <c r="G302" s="774">
        <f t="shared" si="33"/>
        <v>1035000</v>
      </c>
    </row>
    <row r="303" spans="1:7" s="45" customFormat="1">
      <c r="A303" s="584"/>
      <c r="B303" s="592" t="s">
        <v>1452</v>
      </c>
      <c r="C303" s="1035" t="s">
        <v>1444</v>
      </c>
      <c r="D303" s="974" t="s">
        <v>56</v>
      </c>
      <c r="E303" s="1048">
        <v>308</v>
      </c>
      <c r="F303" s="968">
        <v>24050</v>
      </c>
      <c r="G303" s="774">
        <f t="shared" si="33"/>
        <v>7407400</v>
      </c>
    </row>
    <row r="304" spans="1:7" s="45" customFormat="1">
      <c r="A304" s="584"/>
      <c r="B304" s="592" t="s">
        <v>1453</v>
      </c>
      <c r="C304" s="1035" t="s">
        <v>1445</v>
      </c>
      <c r="D304" s="974" t="s">
        <v>56</v>
      </c>
      <c r="E304" s="1048">
        <v>414</v>
      </c>
      <c r="F304" s="968">
        <v>53610</v>
      </c>
      <c r="G304" s="774">
        <f t="shared" si="33"/>
        <v>22194540</v>
      </c>
    </row>
    <row r="305" spans="1:7" s="45" customFormat="1">
      <c r="A305" s="584"/>
      <c r="B305" s="592">
        <v>9.6</v>
      </c>
      <c r="C305" s="1035" t="s">
        <v>1446</v>
      </c>
      <c r="D305" s="974" t="s">
        <v>500</v>
      </c>
      <c r="E305" s="1048">
        <v>57.4</v>
      </c>
      <c r="F305" s="968">
        <v>43880</v>
      </c>
      <c r="G305" s="774">
        <f t="shared" si="33"/>
        <v>2518712</v>
      </c>
    </row>
    <row r="306" spans="1:7" s="45" customFormat="1" ht="25.5">
      <c r="A306" s="584"/>
      <c r="B306" s="592">
        <v>9.6999999999999993</v>
      </c>
      <c r="C306" s="1052" t="s">
        <v>1419</v>
      </c>
      <c r="D306" s="1053" t="s">
        <v>500</v>
      </c>
      <c r="E306" s="1055">
        <v>13</v>
      </c>
      <c r="F306" s="1054">
        <v>34480</v>
      </c>
      <c r="G306" s="774">
        <f t="shared" si="33"/>
        <v>448240</v>
      </c>
    </row>
    <row r="307" spans="1:7" s="45" customFormat="1">
      <c r="A307" s="584"/>
      <c r="B307" s="1257">
        <v>9.8000000000000007</v>
      </c>
      <c r="C307" s="1035" t="s">
        <v>1059</v>
      </c>
      <c r="D307" s="974" t="s">
        <v>56</v>
      </c>
      <c r="E307" s="1055">
        <v>125</v>
      </c>
      <c r="F307" s="968">
        <v>29541</v>
      </c>
      <c r="G307" s="774">
        <f t="shared" si="33"/>
        <v>3692625</v>
      </c>
    </row>
    <row r="308" spans="1:7" s="45" customFormat="1">
      <c r="A308" s="584"/>
      <c r="B308" s="592">
        <v>9.9</v>
      </c>
      <c r="C308" s="593" t="s">
        <v>1060</v>
      </c>
      <c r="D308" s="827"/>
      <c r="E308" s="594"/>
      <c r="F308" s="575"/>
      <c r="G308" s="774">
        <f t="shared" si="33"/>
        <v>0</v>
      </c>
    </row>
    <row r="309" spans="1:7" s="45" customFormat="1" ht="25.5">
      <c r="A309" s="584"/>
      <c r="B309" s="884" t="s">
        <v>1089</v>
      </c>
      <c r="C309" s="593" t="s">
        <v>1061</v>
      </c>
      <c r="D309" s="827" t="s">
        <v>56</v>
      </c>
      <c r="E309" s="1055">
        <v>203</v>
      </c>
      <c r="F309" s="575">
        <v>17130</v>
      </c>
      <c r="G309" s="774">
        <f t="shared" si="33"/>
        <v>3477390</v>
      </c>
    </row>
    <row r="310" spans="1:7" s="45" customFormat="1">
      <c r="A310" s="584"/>
      <c r="B310" s="884" t="s">
        <v>1090</v>
      </c>
      <c r="C310" s="593" t="s">
        <v>1062</v>
      </c>
      <c r="D310" s="827" t="s">
        <v>56</v>
      </c>
      <c r="E310" s="1055">
        <v>60</v>
      </c>
      <c r="F310" s="575">
        <v>34392</v>
      </c>
      <c r="G310" s="774">
        <f t="shared" si="33"/>
        <v>2063520</v>
      </c>
    </row>
    <row r="311" spans="1:7" s="45" customFormat="1" ht="25.5">
      <c r="A311" s="584"/>
      <c r="B311" s="1258">
        <v>9.1</v>
      </c>
      <c r="C311" s="593" t="s">
        <v>1063</v>
      </c>
      <c r="D311" s="827" t="s">
        <v>56</v>
      </c>
      <c r="E311" s="594">
        <v>164</v>
      </c>
      <c r="F311" s="575">
        <v>25070</v>
      </c>
      <c r="G311" s="774">
        <f t="shared" si="33"/>
        <v>4111480</v>
      </c>
    </row>
    <row r="312" spans="1:7" s="45" customFormat="1">
      <c r="A312" s="584"/>
      <c r="B312" s="884">
        <v>9.11</v>
      </c>
      <c r="C312" s="593" t="s">
        <v>1064</v>
      </c>
      <c r="D312" s="827" t="s">
        <v>56</v>
      </c>
      <c r="E312" s="594">
        <v>131</v>
      </c>
      <c r="F312" s="575">
        <v>44727</v>
      </c>
      <c r="G312" s="774">
        <f t="shared" si="33"/>
        <v>5859237</v>
      </c>
    </row>
    <row r="313" spans="1:7" s="45" customFormat="1">
      <c r="A313" s="584"/>
      <c r="B313" s="884">
        <v>9.1199999999999992</v>
      </c>
      <c r="C313" s="593" t="s">
        <v>1065</v>
      </c>
      <c r="D313" s="827" t="s">
        <v>56</v>
      </c>
      <c r="E313" s="1055">
        <v>8</v>
      </c>
      <c r="F313" s="575">
        <v>90513</v>
      </c>
      <c r="G313" s="774">
        <f t="shared" si="33"/>
        <v>724104</v>
      </c>
    </row>
    <row r="314" spans="1:7" s="45" customFormat="1">
      <c r="A314" s="584"/>
      <c r="B314" s="884">
        <v>9.1300000000000008</v>
      </c>
      <c r="C314" s="593" t="s">
        <v>1071</v>
      </c>
      <c r="D314" s="827"/>
      <c r="E314" s="594"/>
      <c r="F314" s="575"/>
      <c r="G314" s="774">
        <f t="shared" si="33"/>
        <v>0</v>
      </c>
    </row>
    <row r="315" spans="1:7" s="45" customFormat="1" ht="25.5">
      <c r="A315" s="584"/>
      <c r="B315" s="884" t="s">
        <v>1454</v>
      </c>
      <c r="C315" s="593" t="s">
        <v>1073</v>
      </c>
      <c r="D315" s="827" t="s">
        <v>22</v>
      </c>
      <c r="E315" s="594">
        <v>1</v>
      </c>
      <c r="F315" s="575">
        <v>618839</v>
      </c>
      <c r="G315" s="774">
        <f t="shared" si="33"/>
        <v>618839</v>
      </c>
    </row>
    <row r="316" spans="1:7" s="45" customFormat="1" ht="25.5">
      <c r="A316" s="584"/>
      <c r="B316" s="884" t="s">
        <v>1455</v>
      </c>
      <c r="C316" s="593" t="s">
        <v>1078</v>
      </c>
      <c r="D316" s="827" t="s">
        <v>56</v>
      </c>
      <c r="E316" s="1055">
        <v>22</v>
      </c>
      <c r="F316" s="575">
        <v>138273</v>
      </c>
      <c r="G316" s="774">
        <f t="shared" si="33"/>
        <v>3042006</v>
      </c>
    </row>
    <row r="317" spans="1:7" s="45" customFormat="1">
      <c r="A317" s="584"/>
      <c r="B317" s="884" t="s">
        <v>1456</v>
      </c>
      <c r="C317" s="593" t="s">
        <v>1080</v>
      </c>
      <c r="D317" s="827" t="s">
        <v>500</v>
      </c>
      <c r="E317" s="1055">
        <v>9</v>
      </c>
      <c r="F317" s="575">
        <v>144255</v>
      </c>
      <c r="G317" s="774">
        <f t="shared" si="33"/>
        <v>1298295</v>
      </c>
    </row>
    <row r="318" spans="1:7" s="45" customFormat="1">
      <c r="A318" s="584"/>
      <c r="B318" s="884" t="s">
        <v>1457</v>
      </c>
      <c r="C318" s="593" t="s">
        <v>1469</v>
      </c>
      <c r="D318" s="827" t="s">
        <v>22</v>
      </c>
      <c r="E318" s="1048">
        <v>1</v>
      </c>
      <c r="F318" s="575">
        <v>856320</v>
      </c>
      <c r="G318" s="774">
        <f t="shared" si="33"/>
        <v>856320</v>
      </c>
    </row>
    <row r="319" spans="1:7" s="45" customFormat="1">
      <c r="A319" s="584"/>
      <c r="B319" s="884" t="s">
        <v>1458</v>
      </c>
      <c r="C319" s="593" t="s">
        <v>1470</v>
      </c>
      <c r="D319" s="827" t="s">
        <v>139</v>
      </c>
      <c r="E319" s="1048">
        <v>0.7</v>
      </c>
      <c r="F319" s="575">
        <v>670050</v>
      </c>
      <c r="G319" s="774">
        <f t="shared" si="33"/>
        <v>469034.99999999994</v>
      </c>
    </row>
    <row r="320" spans="1:7" s="45" customFormat="1">
      <c r="A320" s="584"/>
      <c r="B320" s="884" t="s">
        <v>1458</v>
      </c>
      <c r="C320" s="593" t="s">
        <v>1081</v>
      </c>
      <c r="D320" s="827" t="s">
        <v>22</v>
      </c>
      <c r="E320" s="594">
        <v>4</v>
      </c>
      <c r="F320" s="575">
        <v>273344</v>
      </c>
      <c r="G320" s="774">
        <f t="shared" si="33"/>
        <v>1093376</v>
      </c>
    </row>
    <row r="321" spans="1:9" s="45" customFormat="1">
      <c r="A321" s="105"/>
      <c r="B321" s="884">
        <v>9.14</v>
      </c>
      <c r="C321" s="593" t="s">
        <v>1083</v>
      </c>
      <c r="D321" s="827"/>
      <c r="E321" s="594"/>
      <c r="F321" s="575"/>
      <c r="G321" s="774">
        <f t="shared" si="33"/>
        <v>0</v>
      </c>
    </row>
    <row r="322" spans="1:9" s="45" customFormat="1" ht="26.25" thickBot="1">
      <c r="A322" s="112" t="s">
        <v>46</v>
      </c>
      <c r="B322" s="884" t="s">
        <v>1459</v>
      </c>
      <c r="C322" s="593" t="s">
        <v>1084</v>
      </c>
      <c r="D322" s="827" t="s">
        <v>22</v>
      </c>
      <c r="E322" s="594">
        <v>7</v>
      </c>
      <c r="F322" s="575">
        <v>431569</v>
      </c>
      <c r="G322" s="774">
        <f t="shared" si="33"/>
        <v>3020983</v>
      </c>
    </row>
    <row r="323" spans="1:9" s="45" customFormat="1">
      <c r="A323" s="124"/>
      <c r="B323" s="884">
        <v>9.15</v>
      </c>
      <c r="C323" s="593" t="s">
        <v>1085</v>
      </c>
      <c r="D323" s="827"/>
      <c r="E323" s="594"/>
      <c r="F323" s="575"/>
      <c r="G323" s="774">
        <f t="shared" si="33"/>
        <v>0</v>
      </c>
    </row>
    <row r="324" spans="1:9" s="156" customFormat="1" ht="25.5">
      <c r="A324" s="144" t="s">
        <v>93</v>
      </c>
      <c r="B324" s="884" t="s">
        <v>1460</v>
      </c>
      <c r="C324" s="887" t="s">
        <v>1086</v>
      </c>
      <c r="D324" s="827" t="s">
        <v>56</v>
      </c>
      <c r="E324" s="1055">
        <v>135</v>
      </c>
      <c r="F324" s="575">
        <v>5550</v>
      </c>
      <c r="G324" s="774">
        <f t="shared" si="33"/>
        <v>749250</v>
      </c>
    </row>
    <row r="325" spans="1:9" s="45" customFormat="1" ht="27" customHeight="1">
      <c r="A325" s="66"/>
      <c r="B325" s="884" t="s">
        <v>1461</v>
      </c>
      <c r="C325" s="887" t="s">
        <v>1087</v>
      </c>
      <c r="D325" s="827" t="s">
        <v>56</v>
      </c>
      <c r="E325" s="594">
        <v>71</v>
      </c>
      <c r="F325" s="575">
        <v>10638</v>
      </c>
      <c r="G325" s="774">
        <f t="shared" si="33"/>
        <v>755298</v>
      </c>
    </row>
    <row r="326" spans="1:9" s="45" customFormat="1">
      <c r="A326" s="161" t="s">
        <v>95</v>
      </c>
      <c r="B326" s="884" t="s">
        <v>1462</v>
      </c>
      <c r="C326" s="887"/>
      <c r="D326" s="827"/>
      <c r="E326" s="594"/>
      <c r="F326" s="575"/>
      <c r="G326" s="774">
        <f t="shared" si="33"/>
        <v>0</v>
      </c>
    </row>
    <row r="327" spans="1:9" s="45" customFormat="1">
      <c r="A327" s="169" t="s">
        <v>97</v>
      </c>
      <c r="B327" s="884">
        <v>9.16</v>
      </c>
      <c r="C327" s="887" t="s">
        <v>1092</v>
      </c>
      <c r="D327" s="827"/>
      <c r="E327" s="594"/>
      <c r="F327" s="575"/>
      <c r="G327" s="774">
        <f t="shared" si="33"/>
        <v>0</v>
      </c>
    </row>
    <row r="328" spans="1:9" s="45" customFormat="1" ht="25.5">
      <c r="A328" s="169" t="s">
        <v>99</v>
      </c>
      <c r="B328" s="884" t="s">
        <v>1468</v>
      </c>
      <c r="C328" s="887" t="s">
        <v>1094</v>
      </c>
      <c r="D328" s="827" t="s">
        <v>56</v>
      </c>
      <c r="E328" s="594"/>
      <c r="F328" s="575">
        <v>61850</v>
      </c>
      <c r="G328" s="774">
        <f t="shared" si="33"/>
        <v>0</v>
      </c>
    </row>
    <row r="329" spans="1:9" s="45" customFormat="1">
      <c r="A329" s="185" t="s">
        <v>101</v>
      </c>
      <c r="B329" s="884" t="s">
        <v>1463</v>
      </c>
      <c r="C329" s="887" t="s">
        <v>1112</v>
      </c>
      <c r="D329" s="827" t="s">
        <v>56</v>
      </c>
      <c r="E329" s="967">
        <v>93</v>
      </c>
      <c r="F329" s="968">
        <v>38048</v>
      </c>
      <c r="G329" s="774">
        <f t="shared" si="33"/>
        <v>3538464</v>
      </c>
    </row>
    <row r="330" spans="1:9" s="45" customFormat="1">
      <c r="A330" s="185"/>
      <c r="B330" s="884" t="s">
        <v>1464</v>
      </c>
      <c r="C330" s="102" t="s">
        <v>984</v>
      </c>
      <c r="D330" s="777" t="s">
        <v>139</v>
      </c>
      <c r="E330" s="969">
        <f>+E329*0.2</f>
        <v>18.600000000000001</v>
      </c>
      <c r="F330" s="964">
        <v>63050</v>
      </c>
      <c r="G330" s="774">
        <f t="shared" si="33"/>
        <v>1172730</v>
      </c>
    </row>
    <row r="331" spans="1:9" s="45" customFormat="1" ht="28.5" customHeight="1">
      <c r="A331" s="185" t="s">
        <v>103</v>
      </c>
      <c r="B331" s="884" t="s">
        <v>1465</v>
      </c>
      <c r="C331" s="887" t="s">
        <v>1097</v>
      </c>
      <c r="D331" s="827" t="s">
        <v>56</v>
      </c>
      <c r="E331" s="1058">
        <v>140.46672720579602</v>
      </c>
      <c r="F331" s="1179">
        <v>7620</v>
      </c>
      <c r="G331" s="774">
        <f t="shared" si="33"/>
        <v>1070356.4613081657</v>
      </c>
      <c r="I331" s="45">
        <v>7620</v>
      </c>
    </row>
    <row r="332" spans="1:9" s="45" customFormat="1">
      <c r="A332" s="185"/>
      <c r="B332" s="884" t="s">
        <v>1466</v>
      </c>
      <c r="C332" s="887" t="s">
        <v>1109</v>
      </c>
      <c r="D332" s="827"/>
      <c r="E332" s="594"/>
      <c r="F332" s="575"/>
      <c r="G332" s="774">
        <f t="shared" si="33"/>
        <v>0</v>
      </c>
    </row>
    <row r="333" spans="1:9" s="45" customFormat="1" ht="51">
      <c r="A333" s="185"/>
      <c r="B333" s="884" t="s">
        <v>1467</v>
      </c>
      <c r="C333" s="897" t="s">
        <v>1111</v>
      </c>
      <c r="D333" s="827" t="s">
        <v>22</v>
      </c>
      <c r="E333" s="594">
        <v>1</v>
      </c>
      <c r="F333" s="575">
        <f>2739900*1.2</f>
        <v>3287880</v>
      </c>
      <c r="G333" s="774">
        <f t="shared" si="33"/>
        <v>3287880</v>
      </c>
    </row>
    <row r="334" spans="1:9" s="45" customFormat="1" ht="15.75" customHeight="1" thickBot="1">
      <c r="A334" s="185"/>
      <c r="B334" s="884"/>
      <c r="C334" s="871"/>
      <c r="D334" s="873"/>
      <c r="E334" s="874"/>
      <c r="F334" s="1180" t="s">
        <v>1098</v>
      </c>
      <c r="G334" s="1004">
        <f>SUM(G284:G333)</f>
        <v>136751784.42130816</v>
      </c>
    </row>
    <row r="335" spans="1:9" s="45" customFormat="1" ht="15.75" thickBot="1">
      <c r="A335" s="185"/>
      <c r="B335" s="884"/>
      <c r="C335" s="887"/>
      <c r="D335" s="827"/>
      <c r="E335" s="594"/>
      <c r="F335" s="575"/>
      <c r="G335" s="792">
        <f t="shared" ref="G335" si="34">+E335*F335</f>
        <v>0</v>
      </c>
    </row>
    <row r="336" spans="1:9" s="45" customFormat="1">
      <c r="A336" s="185"/>
      <c r="B336" s="884"/>
      <c r="C336" s="75" t="s">
        <v>1136</v>
      </c>
      <c r="D336" s="76"/>
      <c r="E336" s="76"/>
      <c r="F336" s="76"/>
      <c r="G336" s="126"/>
    </row>
    <row r="337" spans="1:7" s="45" customFormat="1">
      <c r="A337" s="185"/>
      <c r="B337" s="884"/>
      <c r="C337" s="911" t="s">
        <v>1137</v>
      </c>
      <c r="D337" s="905"/>
      <c r="E337" s="905"/>
      <c r="F337" s="905"/>
      <c r="G337" s="906"/>
    </row>
    <row r="338" spans="1:7" s="45" customFormat="1">
      <c r="A338" s="185"/>
      <c r="B338" s="1277"/>
      <c r="C338" s="1183" t="s">
        <v>1115</v>
      </c>
      <c r="D338" s="914" t="s">
        <v>1138</v>
      </c>
      <c r="E338" s="930">
        <v>4</v>
      </c>
      <c r="F338" s="915">
        <v>664280</v>
      </c>
      <c r="G338" s="1279">
        <f t="shared" ref="G338:G401" si="35">+E338*F338</f>
        <v>2657120</v>
      </c>
    </row>
    <row r="339" spans="1:7" s="45" customFormat="1" ht="30">
      <c r="A339" s="185"/>
      <c r="B339" s="1277"/>
      <c r="C339" s="907" t="s">
        <v>1116</v>
      </c>
      <c r="D339" s="912" t="s">
        <v>1138</v>
      </c>
      <c r="E339" s="931">
        <v>8</v>
      </c>
      <c r="F339" s="922">
        <v>250000</v>
      </c>
      <c r="G339" s="1279">
        <f t="shared" si="35"/>
        <v>2000000</v>
      </c>
    </row>
    <row r="340" spans="1:7" s="45" customFormat="1" ht="30">
      <c r="A340" s="185"/>
      <c r="B340" s="1277"/>
      <c r="C340" s="907" t="s">
        <v>1117</v>
      </c>
      <c r="D340" s="912" t="s">
        <v>1138</v>
      </c>
      <c r="E340" s="931">
        <v>8</v>
      </c>
      <c r="F340" s="922">
        <v>45000</v>
      </c>
      <c r="G340" s="1279">
        <f t="shared" si="35"/>
        <v>360000</v>
      </c>
    </row>
    <row r="341" spans="1:7" s="45" customFormat="1" ht="30">
      <c r="A341" s="185"/>
      <c r="B341" s="1278" t="s">
        <v>1145</v>
      </c>
      <c r="C341" s="907" t="s">
        <v>1118</v>
      </c>
      <c r="D341" s="912" t="s">
        <v>1138</v>
      </c>
      <c r="E341" s="931">
        <v>4</v>
      </c>
      <c r="F341" s="922">
        <v>40000</v>
      </c>
      <c r="G341" s="1279">
        <f t="shared" si="35"/>
        <v>160000</v>
      </c>
    </row>
    <row r="342" spans="1:7" s="45" customFormat="1">
      <c r="A342" s="185"/>
      <c r="B342" s="1278" t="s">
        <v>1146</v>
      </c>
      <c r="C342" s="907" t="s">
        <v>1119</v>
      </c>
      <c r="D342" s="912" t="s">
        <v>1138</v>
      </c>
      <c r="E342" s="931">
        <v>4</v>
      </c>
      <c r="F342" s="922">
        <v>8000</v>
      </c>
      <c r="G342" s="1279">
        <f t="shared" si="35"/>
        <v>32000</v>
      </c>
    </row>
    <row r="343" spans="1:7" s="45" customFormat="1">
      <c r="A343" s="185"/>
      <c r="B343" s="1278" t="s">
        <v>1147</v>
      </c>
      <c r="C343" s="908" t="s">
        <v>1120</v>
      </c>
      <c r="D343" s="912" t="s">
        <v>1138</v>
      </c>
      <c r="E343" s="931">
        <v>28</v>
      </c>
      <c r="F343" s="922">
        <v>500</v>
      </c>
      <c r="G343" s="1279">
        <f t="shared" si="35"/>
        <v>14000</v>
      </c>
    </row>
    <row r="344" spans="1:7" s="45" customFormat="1">
      <c r="A344" s="185"/>
      <c r="B344" s="1278" t="s">
        <v>1148</v>
      </c>
      <c r="C344" s="908" t="s">
        <v>1121</v>
      </c>
      <c r="D344" s="912" t="s">
        <v>1138</v>
      </c>
      <c r="E344" s="931">
        <v>16</v>
      </c>
      <c r="F344" s="922">
        <v>2000</v>
      </c>
      <c r="G344" s="1279">
        <f t="shared" si="35"/>
        <v>32000</v>
      </c>
    </row>
    <row r="345" spans="1:7" s="45" customFormat="1" ht="30">
      <c r="A345" s="185"/>
      <c r="B345" s="1278" t="s">
        <v>1149</v>
      </c>
      <c r="C345" s="908" t="s">
        <v>1122</v>
      </c>
      <c r="D345" s="912" t="s">
        <v>1138</v>
      </c>
      <c r="E345" s="931">
        <v>6</v>
      </c>
      <c r="F345" s="922">
        <v>4800</v>
      </c>
      <c r="G345" s="1279">
        <f t="shared" si="35"/>
        <v>28800</v>
      </c>
    </row>
    <row r="346" spans="1:7" s="45" customFormat="1">
      <c r="A346" s="185"/>
      <c r="B346" s="1278" t="s">
        <v>1150</v>
      </c>
      <c r="C346" s="908" t="s">
        <v>1123</v>
      </c>
      <c r="D346" s="912" t="s">
        <v>1138</v>
      </c>
      <c r="E346" s="931">
        <v>5</v>
      </c>
      <c r="F346" s="922">
        <v>15000</v>
      </c>
      <c r="G346" s="1279">
        <f t="shared" si="35"/>
        <v>75000</v>
      </c>
    </row>
    <row r="347" spans="1:7" s="45" customFormat="1" ht="30">
      <c r="A347" s="185"/>
      <c r="B347" s="1278" t="s">
        <v>1151</v>
      </c>
      <c r="C347" s="908" t="s">
        <v>1124</v>
      </c>
      <c r="D347" s="912" t="s">
        <v>1138</v>
      </c>
      <c r="E347" s="931">
        <v>5</v>
      </c>
      <c r="F347" s="922">
        <v>1000</v>
      </c>
      <c r="G347" s="1279">
        <f t="shared" si="35"/>
        <v>5000</v>
      </c>
    </row>
    <row r="348" spans="1:7" s="45" customFormat="1">
      <c r="A348" s="185"/>
      <c r="B348" s="1278" t="s">
        <v>1152</v>
      </c>
      <c r="C348" s="907" t="s">
        <v>1125</v>
      </c>
      <c r="D348" s="912" t="s">
        <v>1138</v>
      </c>
      <c r="E348" s="931">
        <v>10</v>
      </c>
      <c r="F348" s="922">
        <v>20000</v>
      </c>
      <c r="G348" s="1279">
        <f t="shared" si="35"/>
        <v>200000</v>
      </c>
    </row>
    <row r="349" spans="1:7" s="45" customFormat="1">
      <c r="A349" s="185"/>
      <c r="B349" s="1278" t="s">
        <v>1153</v>
      </c>
      <c r="C349" s="907" t="s">
        <v>1126</v>
      </c>
      <c r="D349" s="912" t="s">
        <v>1138</v>
      </c>
      <c r="E349" s="931">
        <v>4</v>
      </c>
      <c r="F349" s="922">
        <v>25000</v>
      </c>
      <c r="G349" s="1279">
        <f t="shared" si="35"/>
        <v>100000</v>
      </c>
    </row>
    <row r="350" spans="1:7" s="45" customFormat="1">
      <c r="A350" s="185"/>
      <c r="B350" s="1278" t="s">
        <v>1154</v>
      </c>
      <c r="C350" s="907" t="s">
        <v>1127</v>
      </c>
      <c r="D350" s="912" t="s">
        <v>1138</v>
      </c>
      <c r="E350" s="931">
        <v>4</v>
      </c>
      <c r="F350" s="922">
        <v>17780</v>
      </c>
      <c r="G350" s="1279">
        <f t="shared" si="35"/>
        <v>71120</v>
      </c>
    </row>
    <row r="351" spans="1:7" s="45" customFormat="1">
      <c r="A351" s="185"/>
      <c r="B351" s="1278" t="s">
        <v>1155</v>
      </c>
      <c r="C351" s="1184" t="s">
        <v>1128</v>
      </c>
      <c r="D351" s="1185" t="s">
        <v>1139</v>
      </c>
      <c r="E351" s="1186">
        <v>605</v>
      </c>
      <c r="F351" s="1187">
        <v>2643</v>
      </c>
      <c r="G351" s="1279">
        <f t="shared" si="35"/>
        <v>1599015</v>
      </c>
    </row>
    <row r="352" spans="1:7" s="45" customFormat="1">
      <c r="A352" s="185"/>
      <c r="B352" s="1278" t="s">
        <v>1156</v>
      </c>
      <c r="C352" s="1184" t="s">
        <v>1129</v>
      </c>
      <c r="D352" s="1185" t="s">
        <v>1138</v>
      </c>
      <c r="E352" s="1186">
        <v>3</v>
      </c>
      <c r="F352" s="1187">
        <v>17000</v>
      </c>
      <c r="G352" s="1279">
        <f t="shared" si="35"/>
        <v>51000</v>
      </c>
    </row>
    <row r="353" spans="1:7" s="45" customFormat="1" ht="30">
      <c r="A353" s="185"/>
      <c r="B353" s="1278" t="s">
        <v>1157</v>
      </c>
      <c r="C353" s="907" t="s">
        <v>1130</v>
      </c>
      <c r="D353" s="912" t="s">
        <v>1138</v>
      </c>
      <c r="E353" s="931">
        <v>12</v>
      </c>
      <c r="F353" s="922">
        <v>14500</v>
      </c>
      <c r="G353" s="1279">
        <f t="shared" si="35"/>
        <v>174000</v>
      </c>
    </row>
    <row r="354" spans="1:7" s="45" customFormat="1" ht="30">
      <c r="A354" s="185"/>
      <c r="B354" s="1278" t="s">
        <v>1158</v>
      </c>
      <c r="C354" s="907" t="s">
        <v>1131</v>
      </c>
      <c r="D354" s="912" t="s">
        <v>1138</v>
      </c>
      <c r="E354" s="931">
        <v>3</v>
      </c>
      <c r="F354" s="922">
        <v>2000</v>
      </c>
      <c r="G354" s="1279">
        <f t="shared" si="35"/>
        <v>6000</v>
      </c>
    </row>
    <row r="355" spans="1:7" s="45" customFormat="1">
      <c r="A355" s="185"/>
      <c r="B355" s="1278" t="s">
        <v>1159</v>
      </c>
      <c r="C355" s="907" t="s">
        <v>1132</v>
      </c>
      <c r="D355" s="912" t="s">
        <v>1140</v>
      </c>
      <c r="E355" s="931">
        <v>5</v>
      </c>
      <c r="F355" s="922">
        <v>4500</v>
      </c>
      <c r="G355" s="1279">
        <f t="shared" si="35"/>
        <v>22500</v>
      </c>
    </row>
    <row r="356" spans="1:7" s="45" customFormat="1">
      <c r="A356" s="185"/>
      <c r="B356" s="1278" t="s">
        <v>1160</v>
      </c>
      <c r="C356" s="907" t="s">
        <v>1133</v>
      </c>
      <c r="D356" s="912" t="s">
        <v>1138</v>
      </c>
      <c r="E356" s="931">
        <v>3</v>
      </c>
      <c r="F356" s="922">
        <v>35000</v>
      </c>
      <c r="G356" s="1279">
        <f t="shared" si="35"/>
        <v>105000</v>
      </c>
    </row>
    <row r="357" spans="1:7" s="45" customFormat="1">
      <c r="A357" s="185"/>
      <c r="B357" s="1278" t="s">
        <v>1161</v>
      </c>
      <c r="C357" s="907" t="s">
        <v>1134</v>
      </c>
      <c r="D357" s="912" t="s">
        <v>1138</v>
      </c>
      <c r="E357" s="931">
        <v>3</v>
      </c>
      <c r="F357" s="922">
        <v>20000</v>
      </c>
      <c r="G357" s="1279">
        <f t="shared" si="35"/>
        <v>60000</v>
      </c>
    </row>
    <row r="358" spans="1:7" s="45" customFormat="1" ht="30">
      <c r="A358" s="185"/>
      <c r="B358" s="1278" t="s">
        <v>1162</v>
      </c>
      <c r="C358" s="907" t="s">
        <v>1135</v>
      </c>
      <c r="D358" s="912" t="s">
        <v>1141</v>
      </c>
      <c r="E358" s="931">
        <v>45</v>
      </c>
      <c r="F358" s="922">
        <v>4833</v>
      </c>
      <c r="G358" s="1279">
        <f t="shared" si="35"/>
        <v>217485</v>
      </c>
    </row>
    <row r="359" spans="1:7" s="45" customFormat="1">
      <c r="A359" s="185"/>
      <c r="B359" s="1278">
        <v>10.199999999999999</v>
      </c>
      <c r="C359" s="907" t="s">
        <v>1178</v>
      </c>
      <c r="D359" s="1020"/>
      <c r="E359" s="1281"/>
      <c r="F359" s="1282"/>
      <c r="G359" s="1279">
        <f t="shared" si="35"/>
        <v>0</v>
      </c>
    </row>
    <row r="360" spans="1:7" s="45" customFormat="1" ht="30">
      <c r="A360" s="185"/>
      <c r="B360" s="1278" t="s">
        <v>1179</v>
      </c>
      <c r="C360" s="907" t="s">
        <v>1163</v>
      </c>
      <c r="D360" s="921" t="s">
        <v>1207</v>
      </c>
      <c r="E360" s="921">
        <v>1</v>
      </c>
      <c r="F360" s="922">
        <v>160000</v>
      </c>
      <c r="G360" s="1279">
        <f t="shared" si="35"/>
        <v>160000</v>
      </c>
    </row>
    <row r="361" spans="1:7" s="45" customFormat="1" ht="30">
      <c r="A361" s="185"/>
      <c r="B361" s="1278" t="s">
        <v>1180</v>
      </c>
      <c r="C361" s="907" t="s">
        <v>1164</v>
      </c>
      <c r="D361" s="921" t="s">
        <v>1207</v>
      </c>
      <c r="E361" s="921">
        <v>2</v>
      </c>
      <c r="F361" s="922">
        <v>115000</v>
      </c>
      <c r="G361" s="1279">
        <f t="shared" si="35"/>
        <v>230000</v>
      </c>
    </row>
    <row r="362" spans="1:7" s="45" customFormat="1">
      <c r="A362" s="185"/>
      <c r="B362" s="1278" t="s">
        <v>1181</v>
      </c>
      <c r="C362" s="907" t="s">
        <v>1165</v>
      </c>
      <c r="D362" s="921" t="s">
        <v>1207</v>
      </c>
      <c r="E362" s="921">
        <v>2</v>
      </c>
      <c r="F362" s="922">
        <v>213620</v>
      </c>
      <c r="G362" s="1279">
        <f t="shared" si="35"/>
        <v>427240</v>
      </c>
    </row>
    <row r="363" spans="1:7" s="45" customFormat="1">
      <c r="A363" s="185"/>
      <c r="B363" s="1278" t="s">
        <v>1182</v>
      </c>
      <c r="C363" s="907" t="s">
        <v>1166</v>
      </c>
      <c r="D363" s="921" t="s">
        <v>1207</v>
      </c>
      <c r="E363" s="921">
        <v>2</v>
      </c>
      <c r="F363" s="922">
        <v>15200</v>
      </c>
      <c r="G363" s="1279">
        <f t="shared" si="35"/>
        <v>30400</v>
      </c>
    </row>
    <row r="364" spans="1:7" s="45" customFormat="1">
      <c r="A364" s="185"/>
      <c r="B364" s="1278" t="s">
        <v>1183</v>
      </c>
      <c r="C364" s="907" t="s">
        <v>1167</v>
      </c>
      <c r="D364" s="921" t="s">
        <v>1207</v>
      </c>
      <c r="E364" s="921">
        <v>2</v>
      </c>
      <c r="F364" s="922">
        <v>16500</v>
      </c>
      <c r="G364" s="1279">
        <f t="shared" si="35"/>
        <v>33000</v>
      </c>
    </row>
    <row r="365" spans="1:7" s="45" customFormat="1">
      <c r="A365" s="185"/>
      <c r="B365" s="1278" t="s">
        <v>1184</v>
      </c>
      <c r="C365" s="907" t="s">
        <v>1168</v>
      </c>
      <c r="D365" s="921" t="s">
        <v>1207</v>
      </c>
      <c r="E365" s="921">
        <v>2</v>
      </c>
      <c r="F365" s="922">
        <v>22000</v>
      </c>
      <c r="G365" s="1279">
        <f t="shared" si="35"/>
        <v>44000</v>
      </c>
    </row>
    <row r="366" spans="1:7" s="45" customFormat="1">
      <c r="A366" s="185"/>
      <c r="B366" s="1278" t="s">
        <v>1185</v>
      </c>
      <c r="C366" s="907" t="s">
        <v>1169</v>
      </c>
      <c r="D366" s="921" t="s">
        <v>1207</v>
      </c>
      <c r="E366" s="921">
        <v>5</v>
      </c>
      <c r="F366" s="922">
        <v>500</v>
      </c>
      <c r="G366" s="1279">
        <f t="shared" si="35"/>
        <v>2500</v>
      </c>
    </row>
    <row r="367" spans="1:7" s="45" customFormat="1">
      <c r="A367" s="185"/>
      <c r="B367" s="1278" t="s">
        <v>1186</v>
      </c>
      <c r="C367" s="907" t="s">
        <v>1170</v>
      </c>
      <c r="D367" s="921" t="s">
        <v>1207</v>
      </c>
      <c r="E367" s="921">
        <v>2</v>
      </c>
      <c r="F367" s="922">
        <v>2500</v>
      </c>
      <c r="G367" s="1279">
        <f t="shared" si="35"/>
        <v>5000</v>
      </c>
    </row>
    <row r="368" spans="1:7" s="45" customFormat="1">
      <c r="A368" s="185"/>
      <c r="B368" s="1278" t="s">
        <v>1187</v>
      </c>
      <c r="C368" s="907" t="s">
        <v>1171</v>
      </c>
      <c r="D368" s="921" t="s">
        <v>1208</v>
      </c>
      <c r="E368" s="921">
        <v>5</v>
      </c>
      <c r="F368" s="922">
        <v>6000</v>
      </c>
      <c r="G368" s="1279">
        <f t="shared" si="35"/>
        <v>30000</v>
      </c>
    </row>
    <row r="369" spans="1:7" s="45" customFormat="1">
      <c r="A369" s="185"/>
      <c r="B369" s="1278" t="s">
        <v>1188</v>
      </c>
      <c r="C369" s="907" t="s">
        <v>1172</v>
      </c>
      <c r="D369" s="921" t="s">
        <v>1207</v>
      </c>
      <c r="E369" s="921">
        <v>2</v>
      </c>
      <c r="F369" s="922">
        <v>2000</v>
      </c>
      <c r="G369" s="1279">
        <f t="shared" si="35"/>
        <v>4000</v>
      </c>
    </row>
    <row r="370" spans="1:7" s="45" customFormat="1">
      <c r="A370" s="185"/>
      <c r="B370" s="1278" t="s">
        <v>1189</v>
      </c>
      <c r="C370" s="907" t="s">
        <v>1173</v>
      </c>
      <c r="D370" s="921" t="s">
        <v>1207</v>
      </c>
      <c r="E370" s="921">
        <v>2</v>
      </c>
      <c r="F370" s="922">
        <v>15000</v>
      </c>
      <c r="G370" s="1279">
        <f t="shared" si="35"/>
        <v>30000</v>
      </c>
    </row>
    <row r="371" spans="1:7" s="45" customFormat="1">
      <c r="A371" s="185"/>
      <c r="B371" s="1278" t="s">
        <v>1190</v>
      </c>
      <c r="C371" s="907" t="s">
        <v>1174</v>
      </c>
      <c r="D371" s="921" t="s">
        <v>1207</v>
      </c>
      <c r="E371" s="921">
        <v>2</v>
      </c>
      <c r="F371" s="922">
        <v>17780</v>
      </c>
      <c r="G371" s="1279">
        <f t="shared" si="35"/>
        <v>35560</v>
      </c>
    </row>
    <row r="372" spans="1:7" s="45" customFormat="1">
      <c r="A372" s="185"/>
      <c r="B372" s="1278" t="s">
        <v>1191</v>
      </c>
      <c r="C372" s="907" t="s">
        <v>1175</v>
      </c>
      <c r="D372" s="921" t="s">
        <v>1208</v>
      </c>
      <c r="E372" s="921">
        <v>8</v>
      </c>
      <c r="F372" s="922">
        <v>2400</v>
      </c>
      <c r="G372" s="1279">
        <f t="shared" si="35"/>
        <v>19200</v>
      </c>
    </row>
    <row r="373" spans="1:7" s="45" customFormat="1">
      <c r="A373" s="185"/>
      <c r="B373" s="1278" t="s">
        <v>1192</v>
      </c>
      <c r="C373" s="907" t="s">
        <v>1176</v>
      </c>
      <c r="D373" s="921" t="s">
        <v>1207</v>
      </c>
      <c r="E373" s="921">
        <v>2</v>
      </c>
      <c r="F373" s="922">
        <v>19500</v>
      </c>
      <c r="G373" s="1279">
        <f t="shared" si="35"/>
        <v>39000</v>
      </c>
    </row>
    <row r="374" spans="1:7" s="45" customFormat="1" ht="30">
      <c r="A374" s="185"/>
      <c r="B374" s="1278" t="s">
        <v>1193</v>
      </c>
      <c r="C374" s="907" t="s">
        <v>1177</v>
      </c>
      <c r="D374" s="921" t="s">
        <v>1207</v>
      </c>
      <c r="E374" s="921">
        <v>1</v>
      </c>
      <c r="F374" s="922">
        <v>3841910</v>
      </c>
      <c r="G374" s="1279">
        <f t="shared" si="35"/>
        <v>3841910</v>
      </c>
    </row>
    <row r="375" spans="1:7" s="45" customFormat="1" ht="30">
      <c r="A375" s="185"/>
      <c r="B375" s="1278">
        <v>10.3</v>
      </c>
      <c r="C375" s="907" t="s">
        <v>1194</v>
      </c>
      <c r="D375" s="1020"/>
      <c r="E375" s="1281"/>
      <c r="F375" s="1282"/>
      <c r="G375" s="1279">
        <f t="shared" si="35"/>
        <v>0</v>
      </c>
    </row>
    <row r="376" spans="1:7" s="45" customFormat="1">
      <c r="A376" s="185"/>
      <c r="B376" s="1278" t="s">
        <v>1201</v>
      </c>
      <c r="C376" s="907" t="s">
        <v>1195</v>
      </c>
      <c r="D376" s="921" t="s">
        <v>1208</v>
      </c>
      <c r="E376" s="921">
        <v>12</v>
      </c>
      <c r="F376" s="922">
        <v>4500</v>
      </c>
      <c r="G376" s="1279">
        <f t="shared" si="35"/>
        <v>54000</v>
      </c>
    </row>
    <row r="377" spans="1:7" s="45" customFormat="1">
      <c r="A377" s="185"/>
      <c r="B377" s="1278" t="s">
        <v>1202</v>
      </c>
      <c r="C377" s="907" t="s">
        <v>1196</v>
      </c>
      <c r="D377" s="921" t="s">
        <v>1207</v>
      </c>
      <c r="E377" s="921">
        <v>3</v>
      </c>
      <c r="F377" s="922">
        <v>1000</v>
      </c>
      <c r="G377" s="1279">
        <f t="shared" si="35"/>
        <v>3000</v>
      </c>
    </row>
    <row r="378" spans="1:7" s="45" customFormat="1">
      <c r="A378" s="185"/>
      <c r="B378" s="1278" t="s">
        <v>1203</v>
      </c>
      <c r="C378" s="907" t="s">
        <v>1197</v>
      </c>
      <c r="D378" s="921" t="s">
        <v>1208</v>
      </c>
      <c r="E378" s="921">
        <v>5</v>
      </c>
      <c r="F378" s="922">
        <v>5000</v>
      </c>
      <c r="G378" s="1279">
        <f t="shared" si="35"/>
        <v>25000</v>
      </c>
    </row>
    <row r="379" spans="1:7" s="45" customFormat="1">
      <c r="A379" s="185"/>
      <c r="B379" s="1278" t="s">
        <v>1204</v>
      </c>
      <c r="C379" s="907" t="s">
        <v>1198</v>
      </c>
      <c r="D379" s="921" t="s">
        <v>1207</v>
      </c>
      <c r="E379" s="921">
        <v>1</v>
      </c>
      <c r="F379" s="922">
        <v>60000</v>
      </c>
      <c r="G379" s="1279">
        <f t="shared" si="35"/>
        <v>60000</v>
      </c>
    </row>
    <row r="380" spans="1:7" s="45" customFormat="1">
      <c r="A380" s="185"/>
      <c r="B380" s="1278" t="s">
        <v>1205</v>
      </c>
      <c r="C380" s="907" t="s">
        <v>1199</v>
      </c>
      <c r="D380" s="921" t="s">
        <v>1207</v>
      </c>
      <c r="E380" s="921">
        <v>1</v>
      </c>
      <c r="F380" s="922">
        <v>20000</v>
      </c>
      <c r="G380" s="1279">
        <f t="shared" si="35"/>
        <v>20000</v>
      </c>
    </row>
    <row r="381" spans="1:7" s="45" customFormat="1">
      <c r="A381" s="185"/>
      <c r="B381" s="1278" t="s">
        <v>1206</v>
      </c>
      <c r="C381" s="907" t="s">
        <v>1200</v>
      </c>
      <c r="D381" s="921" t="s">
        <v>1207</v>
      </c>
      <c r="E381" s="921">
        <v>1</v>
      </c>
      <c r="F381" s="922">
        <v>20000</v>
      </c>
      <c r="G381" s="1279">
        <f t="shared" si="35"/>
        <v>20000</v>
      </c>
    </row>
    <row r="382" spans="1:7" s="45" customFormat="1" ht="31.5">
      <c r="A382" s="185"/>
      <c r="B382" s="1278">
        <v>10.4</v>
      </c>
      <c r="C382" s="1283" t="s">
        <v>1209</v>
      </c>
      <c r="D382" s="1020"/>
      <c r="E382" s="1281"/>
      <c r="F382" s="1282"/>
      <c r="G382" s="1279">
        <f t="shared" si="35"/>
        <v>0</v>
      </c>
    </row>
    <row r="383" spans="1:7" s="45" customFormat="1">
      <c r="A383" s="185"/>
      <c r="B383" s="1278" t="s">
        <v>1210</v>
      </c>
      <c r="C383" s="943" t="s">
        <v>1238</v>
      </c>
      <c r="D383" s="925" t="s">
        <v>525</v>
      </c>
      <c r="E383" s="932">
        <v>30</v>
      </c>
      <c r="F383" s="926">
        <v>8211</v>
      </c>
      <c r="G383" s="1279">
        <f t="shared" si="35"/>
        <v>246330</v>
      </c>
    </row>
    <row r="384" spans="1:7" s="45" customFormat="1">
      <c r="A384" s="185"/>
      <c r="B384" s="1278" t="s">
        <v>1211</v>
      </c>
      <c r="C384" s="1034" t="s">
        <v>1239</v>
      </c>
      <c r="D384" s="928" t="s">
        <v>525</v>
      </c>
      <c r="E384" s="933">
        <v>600</v>
      </c>
      <c r="F384" s="929">
        <v>3141</v>
      </c>
      <c r="G384" s="1279">
        <f t="shared" si="35"/>
        <v>1884600</v>
      </c>
    </row>
    <row r="385" spans="1:7" s="45" customFormat="1">
      <c r="A385" s="185"/>
      <c r="B385" s="1278" t="s">
        <v>1212</v>
      </c>
      <c r="C385" s="943" t="s">
        <v>1240</v>
      </c>
      <c r="D385" s="925" t="s">
        <v>525</v>
      </c>
      <c r="E385" s="932">
        <v>50</v>
      </c>
      <c r="F385" s="926">
        <v>5146.92</v>
      </c>
      <c r="G385" s="1279">
        <f t="shared" si="35"/>
        <v>257346</v>
      </c>
    </row>
    <row r="386" spans="1:7" s="45" customFormat="1">
      <c r="A386" s="185"/>
      <c r="B386" s="1278" t="s">
        <v>1213</v>
      </c>
      <c r="C386" s="943" t="s">
        <v>1241</v>
      </c>
      <c r="D386" s="925" t="s">
        <v>1242</v>
      </c>
      <c r="E386" s="932">
        <v>2</v>
      </c>
      <c r="F386" s="926">
        <v>6500</v>
      </c>
      <c r="G386" s="1279">
        <f t="shared" si="35"/>
        <v>13000</v>
      </c>
    </row>
    <row r="387" spans="1:7" s="45" customFormat="1">
      <c r="A387" s="185"/>
      <c r="B387" s="1278" t="s">
        <v>1214</v>
      </c>
      <c r="C387" s="943" t="s">
        <v>1243</v>
      </c>
      <c r="D387" s="925" t="s">
        <v>1242</v>
      </c>
      <c r="E387" s="932">
        <v>3</v>
      </c>
      <c r="F387" s="926">
        <v>3500</v>
      </c>
      <c r="G387" s="1279">
        <f t="shared" si="35"/>
        <v>10500</v>
      </c>
    </row>
    <row r="388" spans="1:7" s="45" customFormat="1">
      <c r="A388" s="185"/>
      <c r="B388" s="1278" t="s">
        <v>1215</v>
      </c>
      <c r="C388" s="943" t="s">
        <v>1244</v>
      </c>
      <c r="D388" s="925" t="s">
        <v>1242</v>
      </c>
      <c r="E388" s="932">
        <v>20</v>
      </c>
      <c r="F388" s="926">
        <v>5000</v>
      </c>
      <c r="G388" s="1279">
        <f t="shared" si="35"/>
        <v>100000</v>
      </c>
    </row>
    <row r="389" spans="1:7" s="45" customFormat="1">
      <c r="A389" s="185"/>
      <c r="B389" s="1278" t="s">
        <v>1216</v>
      </c>
      <c r="C389" s="943" t="s">
        <v>1245</v>
      </c>
      <c r="D389" s="925" t="s">
        <v>1242</v>
      </c>
      <c r="E389" s="932">
        <v>3</v>
      </c>
      <c r="F389" s="926">
        <v>1500</v>
      </c>
      <c r="G389" s="1279">
        <f t="shared" si="35"/>
        <v>4500</v>
      </c>
    </row>
    <row r="390" spans="1:7" s="45" customFormat="1">
      <c r="A390" s="185"/>
      <c r="B390" s="1278" t="s">
        <v>1217</v>
      </c>
      <c r="C390" s="943" t="s">
        <v>1246</v>
      </c>
      <c r="D390" s="925" t="s">
        <v>1242</v>
      </c>
      <c r="E390" s="932">
        <v>20</v>
      </c>
      <c r="F390" s="926">
        <v>6500</v>
      </c>
      <c r="G390" s="1279">
        <f t="shared" si="35"/>
        <v>130000</v>
      </c>
    </row>
    <row r="391" spans="1:7" s="45" customFormat="1">
      <c r="A391" s="185"/>
      <c r="B391" s="1278" t="s">
        <v>1218</v>
      </c>
      <c r="C391" s="943" t="s">
        <v>1247</v>
      </c>
      <c r="D391" s="925" t="s">
        <v>1242</v>
      </c>
      <c r="E391" s="932">
        <v>120</v>
      </c>
      <c r="F391" s="926">
        <v>3500</v>
      </c>
      <c r="G391" s="1279">
        <f t="shared" si="35"/>
        <v>420000</v>
      </c>
    </row>
    <row r="392" spans="1:7" s="45" customFormat="1">
      <c r="A392" s="185"/>
      <c r="B392" s="1278" t="s">
        <v>1219</v>
      </c>
      <c r="C392" s="943" t="s">
        <v>1248</v>
      </c>
      <c r="D392" s="925" t="s">
        <v>1242</v>
      </c>
      <c r="E392" s="932">
        <v>60</v>
      </c>
      <c r="F392" s="926">
        <v>6000</v>
      </c>
      <c r="G392" s="1279">
        <f t="shared" si="35"/>
        <v>360000</v>
      </c>
    </row>
    <row r="393" spans="1:7" s="45" customFormat="1">
      <c r="A393" s="185"/>
      <c r="B393" s="1278" t="s">
        <v>1220</v>
      </c>
      <c r="C393" s="943" t="s">
        <v>1249</v>
      </c>
      <c r="D393" s="925" t="s">
        <v>1242</v>
      </c>
      <c r="E393" s="932">
        <v>70</v>
      </c>
      <c r="F393" s="926">
        <v>5300</v>
      </c>
      <c r="G393" s="1279">
        <f t="shared" si="35"/>
        <v>371000</v>
      </c>
    </row>
    <row r="394" spans="1:7" s="45" customFormat="1">
      <c r="A394" s="185"/>
      <c r="B394" s="1278" t="s">
        <v>1221</v>
      </c>
      <c r="C394" s="943" t="s">
        <v>1250</v>
      </c>
      <c r="D394" s="925" t="s">
        <v>1242</v>
      </c>
      <c r="E394" s="932">
        <v>12</v>
      </c>
      <c r="F394" s="926">
        <v>101966</v>
      </c>
      <c r="G394" s="1279">
        <f t="shared" si="35"/>
        <v>1223592</v>
      </c>
    </row>
    <row r="395" spans="1:7" s="45" customFormat="1">
      <c r="A395" s="185"/>
      <c r="B395" s="1278" t="s">
        <v>1222</v>
      </c>
      <c r="C395" s="943" t="s">
        <v>1251</v>
      </c>
      <c r="D395" s="925" t="s">
        <v>1242</v>
      </c>
      <c r="E395" s="932">
        <v>32</v>
      </c>
      <c r="F395" s="926">
        <v>12000</v>
      </c>
      <c r="G395" s="1279">
        <f t="shared" si="35"/>
        <v>384000</v>
      </c>
    </row>
    <row r="396" spans="1:7" s="45" customFormat="1">
      <c r="A396" s="185"/>
      <c r="B396" s="1278" t="s">
        <v>1223</v>
      </c>
      <c r="C396" s="943" t="s">
        <v>1252</v>
      </c>
      <c r="D396" s="925" t="s">
        <v>1242</v>
      </c>
      <c r="E396" s="932">
        <v>6</v>
      </c>
      <c r="F396" s="926">
        <v>512220</v>
      </c>
      <c r="G396" s="1279">
        <f t="shared" si="35"/>
        <v>3073320</v>
      </c>
    </row>
    <row r="397" spans="1:7" s="45" customFormat="1" ht="30">
      <c r="A397" s="185"/>
      <c r="B397" s="1278" t="s">
        <v>1224</v>
      </c>
      <c r="C397" s="943" t="s">
        <v>1253</v>
      </c>
      <c r="D397" s="925" t="s">
        <v>1242</v>
      </c>
      <c r="E397" s="932">
        <v>5</v>
      </c>
      <c r="F397" s="926">
        <v>493080</v>
      </c>
      <c r="G397" s="1279">
        <f t="shared" si="35"/>
        <v>2465400</v>
      </c>
    </row>
    <row r="398" spans="1:7" s="45" customFormat="1">
      <c r="A398" s="185"/>
      <c r="B398" s="1278" t="s">
        <v>1225</v>
      </c>
      <c r="C398" s="943" t="s">
        <v>1254</v>
      </c>
      <c r="D398" s="925" t="s">
        <v>1242</v>
      </c>
      <c r="E398" s="932">
        <v>21</v>
      </c>
      <c r="F398" s="926">
        <v>5000</v>
      </c>
      <c r="G398" s="1279">
        <f t="shared" si="35"/>
        <v>105000</v>
      </c>
    </row>
    <row r="399" spans="1:7" s="45" customFormat="1">
      <c r="A399" s="185"/>
      <c r="B399" s="1278" t="s">
        <v>1226</v>
      </c>
      <c r="C399" s="943" t="s">
        <v>1255</v>
      </c>
      <c r="D399" s="925" t="s">
        <v>1242</v>
      </c>
      <c r="E399" s="932">
        <v>8</v>
      </c>
      <c r="F399" s="926">
        <v>44780</v>
      </c>
      <c r="G399" s="1279">
        <f t="shared" si="35"/>
        <v>358240</v>
      </c>
    </row>
    <row r="400" spans="1:7" s="45" customFormat="1">
      <c r="A400" s="185"/>
      <c r="B400" s="1278" t="s">
        <v>1227</v>
      </c>
      <c r="C400" s="943" t="s">
        <v>1256</v>
      </c>
      <c r="D400" s="925" t="s">
        <v>1242</v>
      </c>
      <c r="E400" s="932">
        <v>9</v>
      </c>
      <c r="F400" s="926">
        <v>13050</v>
      </c>
      <c r="G400" s="1279">
        <f t="shared" si="35"/>
        <v>117450</v>
      </c>
    </row>
    <row r="401" spans="1:7" s="45" customFormat="1">
      <c r="A401" s="185"/>
      <c r="B401" s="1278" t="s">
        <v>1228</v>
      </c>
      <c r="C401" s="943" t="s">
        <v>1257</v>
      </c>
      <c r="D401" s="925" t="s">
        <v>1242</v>
      </c>
      <c r="E401" s="932">
        <v>7</v>
      </c>
      <c r="F401" s="926">
        <v>10590</v>
      </c>
      <c r="G401" s="1279">
        <f t="shared" si="35"/>
        <v>74130</v>
      </c>
    </row>
    <row r="402" spans="1:7" s="45" customFormat="1">
      <c r="A402" s="185"/>
      <c r="B402" s="1278" t="s">
        <v>1229</v>
      </c>
      <c r="C402" s="943" t="s">
        <v>1258</v>
      </c>
      <c r="D402" s="925" t="s">
        <v>1242</v>
      </c>
      <c r="E402" s="932">
        <v>45</v>
      </c>
      <c r="F402" s="926">
        <v>4500</v>
      </c>
      <c r="G402" s="1279">
        <f t="shared" ref="G402:G410" si="36">+E402*F402</f>
        <v>202500</v>
      </c>
    </row>
    <row r="403" spans="1:7" s="45" customFormat="1">
      <c r="A403" s="185"/>
      <c r="B403" s="1278" t="s">
        <v>1230</v>
      </c>
      <c r="C403" s="943" t="s">
        <v>1259</v>
      </c>
      <c r="D403" s="925" t="s">
        <v>1242</v>
      </c>
      <c r="E403" s="932">
        <v>44</v>
      </c>
      <c r="F403" s="926">
        <v>4500</v>
      </c>
      <c r="G403" s="1279">
        <f t="shared" si="36"/>
        <v>198000</v>
      </c>
    </row>
    <row r="404" spans="1:7" s="45" customFormat="1" ht="30">
      <c r="A404" s="185"/>
      <c r="B404" s="1278" t="s">
        <v>1231</v>
      </c>
      <c r="C404" s="942" t="s">
        <v>1260</v>
      </c>
      <c r="D404" s="925" t="s">
        <v>1242</v>
      </c>
      <c r="E404" s="932">
        <v>1</v>
      </c>
      <c r="F404" s="926">
        <v>484080</v>
      </c>
      <c r="G404" s="1279">
        <f t="shared" si="36"/>
        <v>484080</v>
      </c>
    </row>
    <row r="405" spans="1:7" s="45" customFormat="1">
      <c r="A405" s="185"/>
      <c r="B405" s="1278" t="s">
        <v>1232</v>
      </c>
      <c r="C405" s="943" t="s">
        <v>1261</v>
      </c>
      <c r="D405" s="925" t="s">
        <v>1242</v>
      </c>
      <c r="E405" s="932">
        <v>4</v>
      </c>
      <c r="F405" s="926">
        <v>142980</v>
      </c>
      <c r="G405" s="1279">
        <f t="shared" si="36"/>
        <v>571920</v>
      </c>
    </row>
    <row r="406" spans="1:7" s="45" customFormat="1">
      <c r="A406" s="185"/>
      <c r="B406" s="1278" t="s">
        <v>1233</v>
      </c>
      <c r="C406" s="943" t="s">
        <v>1262</v>
      </c>
      <c r="D406" s="925" t="s">
        <v>1242</v>
      </c>
      <c r="E406" s="932">
        <v>1</v>
      </c>
      <c r="F406" s="926">
        <v>111060</v>
      </c>
      <c r="G406" s="1279">
        <f t="shared" si="36"/>
        <v>111060</v>
      </c>
    </row>
    <row r="407" spans="1:7" s="45" customFormat="1" ht="30">
      <c r="A407" s="185"/>
      <c r="B407" s="1278" t="s">
        <v>1234</v>
      </c>
      <c r="C407" s="943" t="s">
        <v>1263</v>
      </c>
      <c r="D407" s="925" t="s">
        <v>1242</v>
      </c>
      <c r="E407" s="932">
        <v>1</v>
      </c>
      <c r="F407" s="926">
        <v>307080</v>
      </c>
      <c r="G407" s="1279">
        <f t="shared" si="36"/>
        <v>307080</v>
      </c>
    </row>
    <row r="408" spans="1:7" s="45" customFormat="1">
      <c r="A408" s="185"/>
      <c r="B408" s="1278" t="s">
        <v>1235</v>
      </c>
      <c r="C408" s="943" t="s">
        <v>1264</v>
      </c>
      <c r="D408" s="925" t="s">
        <v>1242</v>
      </c>
      <c r="E408" s="932">
        <v>1</v>
      </c>
      <c r="F408" s="926">
        <v>61330</v>
      </c>
      <c r="G408" s="1279">
        <f t="shared" si="36"/>
        <v>61330</v>
      </c>
    </row>
    <row r="409" spans="1:7" s="45" customFormat="1">
      <c r="A409" s="185"/>
      <c r="B409" s="1278" t="s">
        <v>1236</v>
      </c>
      <c r="C409" s="943" t="s">
        <v>1265</v>
      </c>
      <c r="D409" s="925" t="s">
        <v>1242</v>
      </c>
      <c r="E409" s="932">
        <v>5</v>
      </c>
      <c r="F409" s="926">
        <v>108520</v>
      </c>
      <c r="G409" s="1279">
        <f t="shared" si="36"/>
        <v>542600</v>
      </c>
    </row>
    <row r="410" spans="1:7" s="45" customFormat="1">
      <c r="A410" s="185"/>
      <c r="B410" s="1278" t="s">
        <v>1237</v>
      </c>
      <c r="C410" s="943" t="s">
        <v>1266</v>
      </c>
      <c r="D410" s="925" t="s">
        <v>1242</v>
      </c>
      <c r="E410" s="932">
        <v>1</v>
      </c>
      <c r="F410" s="926">
        <v>877460</v>
      </c>
      <c r="G410" s="1279">
        <f t="shared" si="36"/>
        <v>877460</v>
      </c>
    </row>
    <row r="411" spans="1:7" s="45" customFormat="1">
      <c r="A411" s="185"/>
      <c r="B411" s="827"/>
      <c r="C411" s="1280"/>
      <c r="D411" s="104"/>
      <c r="E411" s="103"/>
      <c r="F411" s="587"/>
      <c r="G411" s="792"/>
    </row>
    <row r="412" spans="1:7" s="45" customFormat="1" ht="15.75" thickBot="1">
      <c r="A412" s="185"/>
      <c r="B412" s="1025"/>
      <c r="C412" s="871"/>
      <c r="D412" s="873"/>
      <c r="E412" s="874"/>
      <c r="F412" s="1180" t="s">
        <v>1268</v>
      </c>
      <c r="G412" s="1004">
        <f>SUM(G338:G411)</f>
        <v>28038288</v>
      </c>
    </row>
    <row r="413" spans="1:7" s="45" customFormat="1" ht="15.75" thickBot="1">
      <c r="A413" s="185"/>
      <c r="B413" s="827"/>
      <c r="C413" s="887"/>
      <c r="D413" s="827"/>
      <c r="E413" s="594"/>
      <c r="F413" s="575"/>
      <c r="G413" s="792"/>
    </row>
    <row r="414" spans="1:7" s="45" customFormat="1">
      <c r="A414" s="185"/>
      <c r="B414" s="937">
        <v>11</v>
      </c>
      <c r="C414" s="75" t="s">
        <v>1267</v>
      </c>
      <c r="D414" s="76"/>
      <c r="E414" s="76"/>
      <c r="F414" s="76"/>
      <c r="G414" s="126"/>
    </row>
    <row r="415" spans="1:7" s="45" customFormat="1" ht="25.5">
      <c r="A415" s="185"/>
      <c r="B415" s="827">
        <v>11.1</v>
      </c>
      <c r="C415" s="887" t="s">
        <v>1269</v>
      </c>
      <c r="D415" s="827" t="s">
        <v>22</v>
      </c>
      <c r="E415" s="594"/>
      <c r="F415" s="575">
        <v>19599539</v>
      </c>
      <c r="G415" s="910">
        <f t="shared" ref="G415:G420" si="37">+F415*E415</f>
        <v>0</v>
      </c>
    </row>
    <row r="416" spans="1:7" s="45" customFormat="1" ht="25.5">
      <c r="A416" s="185"/>
      <c r="B416" s="827">
        <v>11.2</v>
      </c>
      <c r="C416" s="887" t="s">
        <v>1270</v>
      </c>
      <c r="D416" s="827" t="s">
        <v>22</v>
      </c>
      <c r="E416" s="594"/>
      <c r="F416" s="575">
        <v>20250689.461308599</v>
      </c>
      <c r="G416" s="910">
        <f t="shared" si="37"/>
        <v>0</v>
      </c>
    </row>
    <row r="417" spans="1:7" s="45" customFormat="1" ht="25.5">
      <c r="A417" s="185"/>
      <c r="B417" s="827">
        <v>11.3</v>
      </c>
      <c r="C417" s="887" t="s">
        <v>1271</v>
      </c>
      <c r="D417" s="827" t="s">
        <v>22</v>
      </c>
      <c r="E417" s="594"/>
      <c r="F417" s="575">
        <v>17742200</v>
      </c>
      <c r="G417" s="910">
        <f t="shared" si="37"/>
        <v>0</v>
      </c>
    </row>
    <row r="418" spans="1:7" s="45" customFormat="1" ht="38.25">
      <c r="A418" s="185"/>
      <c r="B418" s="827">
        <v>11.4</v>
      </c>
      <c r="C418" s="887" t="s">
        <v>1272</v>
      </c>
      <c r="D418" s="827" t="s">
        <v>22</v>
      </c>
      <c r="E418" s="594"/>
      <c r="F418" s="575">
        <v>1000000</v>
      </c>
      <c r="G418" s="910">
        <f t="shared" si="37"/>
        <v>0</v>
      </c>
    </row>
    <row r="419" spans="1:7" s="45" customFormat="1">
      <c r="A419" s="185"/>
      <c r="B419" s="827">
        <v>11.5</v>
      </c>
      <c r="C419" s="887" t="s">
        <v>1273</v>
      </c>
      <c r="D419" s="827" t="s">
        <v>22</v>
      </c>
      <c r="E419" s="594"/>
      <c r="F419" s="575">
        <v>4000000</v>
      </c>
      <c r="G419" s="910">
        <f t="shared" si="37"/>
        <v>0</v>
      </c>
    </row>
    <row r="420" spans="1:7" s="45" customFormat="1" ht="38.25">
      <c r="A420" s="185"/>
      <c r="B420" s="827">
        <v>11.6</v>
      </c>
      <c r="C420" s="887" t="s">
        <v>1274</v>
      </c>
      <c r="D420" s="827" t="s">
        <v>22</v>
      </c>
      <c r="E420" s="594"/>
      <c r="F420" s="575">
        <v>704208.11077789369</v>
      </c>
      <c r="G420" s="910">
        <f t="shared" si="37"/>
        <v>0</v>
      </c>
    </row>
    <row r="421" spans="1:7" s="45" customFormat="1">
      <c r="A421" s="185"/>
      <c r="B421" s="827"/>
      <c r="C421" s="887"/>
      <c r="D421" s="827"/>
      <c r="E421" s="594"/>
      <c r="F421" s="575"/>
      <c r="G421" s="792"/>
    </row>
    <row r="422" spans="1:7" s="45" customFormat="1" ht="15.75" thickBot="1">
      <c r="A422" s="185"/>
      <c r="B422" s="1025"/>
      <c r="C422" s="871"/>
      <c r="D422" s="873"/>
      <c r="E422" s="874"/>
      <c r="F422" s="1180" t="s">
        <v>1405</v>
      </c>
      <c r="G422" s="1004">
        <f>SUM(G415:G421)</f>
        <v>0</v>
      </c>
    </row>
    <row r="423" spans="1:7" s="45" customFormat="1">
      <c r="A423" s="185"/>
      <c r="B423" s="827"/>
      <c r="C423" s="887"/>
      <c r="D423" s="827"/>
      <c r="E423" s="594"/>
      <c r="F423" s="575"/>
      <c r="G423" s="792"/>
    </row>
    <row r="424" spans="1:7" s="45" customFormat="1" ht="15.75" thickBot="1">
      <c r="A424" s="185"/>
      <c r="B424" s="827"/>
      <c r="C424" s="887"/>
      <c r="D424" s="827"/>
      <c r="E424" s="594"/>
      <c r="F424" s="575"/>
      <c r="G424" s="792"/>
    </row>
    <row r="425" spans="1:7" s="45" customFormat="1">
      <c r="A425" s="185"/>
      <c r="B425" s="937">
        <v>12</v>
      </c>
      <c r="C425" s="75" t="s">
        <v>1275</v>
      </c>
      <c r="D425" s="76"/>
      <c r="E425" s="76"/>
      <c r="F425" s="76"/>
      <c r="G425" s="126"/>
    </row>
    <row r="426" spans="1:7" s="45" customFormat="1">
      <c r="A426" s="185"/>
      <c r="B426" s="827">
        <v>12.1</v>
      </c>
      <c r="C426" s="887" t="s">
        <v>1276</v>
      </c>
      <c r="D426" s="827" t="s">
        <v>22</v>
      </c>
      <c r="E426" s="594">
        <v>9</v>
      </c>
      <c r="F426" s="575">
        <v>207180</v>
      </c>
      <c r="G426" s="910">
        <f t="shared" ref="G426:G438" si="38">+F426*E426</f>
        <v>1864620</v>
      </c>
    </row>
    <row r="427" spans="1:7" s="45" customFormat="1">
      <c r="A427" s="185"/>
      <c r="B427" s="827">
        <v>12.2</v>
      </c>
      <c r="C427" s="887" t="s">
        <v>1277</v>
      </c>
      <c r="D427" s="827" t="s">
        <v>22</v>
      </c>
      <c r="E427" s="594">
        <v>2</v>
      </c>
      <c r="F427" s="575">
        <v>315000</v>
      </c>
      <c r="G427" s="910">
        <f t="shared" si="38"/>
        <v>630000</v>
      </c>
    </row>
    <row r="428" spans="1:7" s="45" customFormat="1">
      <c r="A428" s="185"/>
      <c r="B428" s="827">
        <v>12.3</v>
      </c>
      <c r="C428" s="887" t="s">
        <v>1278</v>
      </c>
      <c r="D428" s="827" t="s">
        <v>22</v>
      </c>
      <c r="E428" s="594">
        <v>1</v>
      </c>
      <c r="F428" s="575">
        <v>158050</v>
      </c>
      <c r="G428" s="910">
        <f t="shared" si="38"/>
        <v>158050</v>
      </c>
    </row>
    <row r="429" spans="1:7" s="45" customFormat="1">
      <c r="A429" s="185"/>
      <c r="B429" s="827">
        <v>12.4</v>
      </c>
      <c r="C429" s="887" t="s">
        <v>1279</v>
      </c>
      <c r="D429" s="827" t="s">
        <v>22</v>
      </c>
      <c r="E429" s="594">
        <v>1</v>
      </c>
      <c r="F429" s="575">
        <v>492140</v>
      </c>
      <c r="G429" s="910">
        <f t="shared" si="38"/>
        <v>492140</v>
      </c>
    </row>
    <row r="430" spans="1:7" s="45" customFormat="1">
      <c r="A430" s="185"/>
      <c r="B430" s="827">
        <v>12.5</v>
      </c>
      <c r="C430" s="887" t="s">
        <v>1280</v>
      </c>
      <c r="D430" s="827" t="s">
        <v>22</v>
      </c>
      <c r="E430" s="594">
        <v>1</v>
      </c>
      <c r="F430" s="575">
        <v>256670</v>
      </c>
      <c r="G430" s="910">
        <f t="shared" si="38"/>
        <v>256670</v>
      </c>
    </row>
    <row r="431" spans="1:7" s="45" customFormat="1">
      <c r="A431" s="185"/>
      <c r="B431" s="827">
        <v>12.6</v>
      </c>
      <c r="C431" s="887" t="s">
        <v>1281</v>
      </c>
      <c r="D431" s="827" t="s">
        <v>22</v>
      </c>
      <c r="E431" s="594">
        <v>5</v>
      </c>
      <c r="F431" s="575">
        <v>366520</v>
      </c>
      <c r="G431" s="910">
        <f t="shared" si="38"/>
        <v>1832600</v>
      </c>
    </row>
    <row r="432" spans="1:7" s="45" customFormat="1" ht="25.5">
      <c r="A432" s="185"/>
      <c r="B432" s="827">
        <v>12.7</v>
      </c>
      <c r="C432" s="887" t="s">
        <v>1307</v>
      </c>
      <c r="D432" s="827" t="s">
        <v>500</v>
      </c>
      <c r="E432" s="594">
        <v>12</v>
      </c>
      <c r="F432" s="575">
        <v>140420</v>
      </c>
      <c r="G432" s="910">
        <f t="shared" si="38"/>
        <v>1685040</v>
      </c>
    </row>
    <row r="433" spans="1:7" s="45" customFormat="1" ht="31.5" customHeight="1">
      <c r="A433" s="185"/>
      <c r="B433" s="827">
        <v>12.8</v>
      </c>
      <c r="C433" s="887" t="s">
        <v>1304</v>
      </c>
      <c r="D433" s="827" t="s">
        <v>500</v>
      </c>
      <c r="E433" s="1055">
        <f>13+55+50</f>
        <v>118</v>
      </c>
      <c r="F433" s="575">
        <v>48740</v>
      </c>
      <c r="G433" s="910">
        <f t="shared" si="38"/>
        <v>5751320</v>
      </c>
    </row>
    <row r="434" spans="1:7" s="45" customFormat="1" ht="25.5">
      <c r="A434" s="185"/>
      <c r="B434" s="827">
        <v>12.9</v>
      </c>
      <c r="C434" s="887" t="s">
        <v>1303</v>
      </c>
      <c r="D434" s="827" t="s">
        <v>500</v>
      </c>
      <c r="E434" s="594">
        <v>74</v>
      </c>
      <c r="F434" s="575">
        <v>41820</v>
      </c>
      <c r="G434" s="910">
        <f t="shared" si="38"/>
        <v>3094680</v>
      </c>
    </row>
    <row r="435" spans="1:7" s="45" customFormat="1" ht="25.5">
      <c r="A435" s="185"/>
      <c r="B435" s="963">
        <v>12.1</v>
      </c>
      <c r="C435" s="887" t="s">
        <v>1302</v>
      </c>
      <c r="D435" s="827" t="s">
        <v>500</v>
      </c>
      <c r="E435" s="594">
        <v>39</v>
      </c>
      <c r="F435" s="575">
        <v>21516</v>
      </c>
      <c r="G435" s="910">
        <f t="shared" si="38"/>
        <v>839124</v>
      </c>
    </row>
    <row r="436" spans="1:7" s="45" customFormat="1" ht="25.5">
      <c r="A436" s="185"/>
      <c r="B436" s="827">
        <v>12.11</v>
      </c>
      <c r="C436" s="887" t="s">
        <v>1305</v>
      </c>
      <c r="D436" s="827" t="s">
        <v>500</v>
      </c>
      <c r="E436" s="594">
        <v>24</v>
      </c>
      <c r="F436" s="575">
        <v>20557</v>
      </c>
      <c r="G436" s="910">
        <f t="shared" si="38"/>
        <v>493368</v>
      </c>
    </row>
    <row r="437" spans="1:7" s="45" customFormat="1" ht="25.5">
      <c r="A437" s="185"/>
      <c r="B437" s="827">
        <v>12.12</v>
      </c>
      <c r="C437" s="887" t="s">
        <v>1306</v>
      </c>
      <c r="D437" s="827" t="s">
        <v>500</v>
      </c>
      <c r="E437" s="594">
        <v>60</v>
      </c>
      <c r="F437" s="575">
        <v>5770</v>
      </c>
      <c r="G437" s="910">
        <f t="shared" si="38"/>
        <v>346200</v>
      </c>
    </row>
    <row r="438" spans="1:7" s="45" customFormat="1">
      <c r="A438" s="185"/>
      <c r="B438" s="827">
        <v>12.13</v>
      </c>
      <c r="C438" s="887" t="s">
        <v>1436</v>
      </c>
      <c r="D438" s="827" t="s">
        <v>139</v>
      </c>
      <c r="E438" s="594">
        <v>2</v>
      </c>
      <c r="F438" s="575">
        <v>410360</v>
      </c>
      <c r="G438" s="910">
        <f t="shared" si="38"/>
        <v>820720</v>
      </c>
    </row>
    <row r="439" spans="1:7" s="45" customFormat="1" ht="15.75" thickBot="1">
      <c r="A439" s="185"/>
      <c r="B439" s="1025"/>
      <c r="C439" s="871"/>
      <c r="D439" s="873"/>
      <c r="E439" s="874"/>
      <c r="F439" s="1180" t="s">
        <v>1323</v>
      </c>
      <c r="G439" s="1004">
        <f>SUM(G436:G438)</f>
        <v>1660288</v>
      </c>
    </row>
    <row r="440" spans="1:7" s="45" customFormat="1" ht="15.75" thickBot="1">
      <c r="A440" s="185"/>
      <c r="B440" s="827"/>
      <c r="C440" s="887"/>
      <c r="D440" s="827"/>
      <c r="E440" s="594"/>
      <c r="F440" s="575"/>
      <c r="G440" s="910"/>
    </row>
    <row r="441" spans="1:7" s="45" customFormat="1">
      <c r="A441" s="185"/>
      <c r="B441" s="937">
        <v>13</v>
      </c>
      <c r="C441" s="75" t="s">
        <v>1412</v>
      </c>
      <c r="D441" s="76"/>
      <c r="E441" s="76"/>
      <c r="F441" s="76"/>
      <c r="G441" s="126"/>
    </row>
    <row r="442" spans="1:7" s="45" customFormat="1">
      <c r="A442" s="185"/>
      <c r="B442" s="974">
        <v>13.1</v>
      </c>
      <c r="C442" s="975" t="s">
        <v>1343</v>
      </c>
      <c r="D442" s="905"/>
      <c r="E442" s="905"/>
      <c r="F442" s="905"/>
      <c r="G442" s="906"/>
    </row>
    <row r="443" spans="1:7" s="45" customFormat="1">
      <c r="A443" s="185"/>
      <c r="B443" s="999" t="s">
        <v>1344</v>
      </c>
      <c r="C443" s="1030" t="s">
        <v>1325</v>
      </c>
      <c r="D443" s="999" t="s">
        <v>22</v>
      </c>
      <c r="E443" s="1000">
        <v>7</v>
      </c>
      <c r="F443" s="575">
        <v>27920</v>
      </c>
      <c r="G443" s="795">
        <f>+F443*E443</f>
        <v>195440</v>
      </c>
    </row>
    <row r="444" spans="1:7" s="45" customFormat="1">
      <c r="A444" s="185"/>
      <c r="B444" s="999" t="s">
        <v>1345</v>
      </c>
      <c r="C444" s="1030" t="s">
        <v>1326</v>
      </c>
      <c r="D444" s="999" t="s">
        <v>22</v>
      </c>
      <c r="E444" s="1000">
        <v>13</v>
      </c>
      <c r="F444" s="575">
        <v>3130</v>
      </c>
      <c r="G444" s="795">
        <f t="shared" ref="G444:G478" si="39">+F444*E444</f>
        <v>40690</v>
      </c>
    </row>
    <row r="445" spans="1:7" s="45" customFormat="1">
      <c r="A445" s="185"/>
      <c r="B445" s="999" t="s">
        <v>1346</v>
      </c>
      <c r="C445" s="1030" t="s">
        <v>1327</v>
      </c>
      <c r="D445" s="999" t="s">
        <v>22</v>
      </c>
      <c r="E445" s="1000">
        <v>1</v>
      </c>
      <c r="F445" s="575">
        <v>2920</v>
      </c>
      <c r="G445" s="795">
        <f t="shared" si="39"/>
        <v>2920</v>
      </c>
    </row>
    <row r="446" spans="1:7" s="45" customFormat="1">
      <c r="A446" s="185"/>
      <c r="B446" s="999" t="s">
        <v>1347</v>
      </c>
      <c r="C446" s="1030" t="s">
        <v>1328</v>
      </c>
      <c r="D446" s="999" t="s">
        <v>22</v>
      </c>
      <c r="E446" s="1000">
        <v>4</v>
      </c>
      <c r="F446" s="575">
        <v>3100</v>
      </c>
      <c r="G446" s="795">
        <f t="shared" si="39"/>
        <v>12400</v>
      </c>
    </row>
    <row r="447" spans="1:7" s="45" customFormat="1">
      <c r="A447" s="185"/>
      <c r="B447" s="999" t="s">
        <v>1348</v>
      </c>
      <c r="C447" s="1030" t="s">
        <v>1329</v>
      </c>
      <c r="D447" s="999" t="s">
        <v>22</v>
      </c>
      <c r="E447" s="1000">
        <v>1</v>
      </c>
      <c r="F447" s="575">
        <v>3370</v>
      </c>
      <c r="G447" s="795">
        <f t="shared" si="39"/>
        <v>3370</v>
      </c>
    </row>
    <row r="448" spans="1:7" s="45" customFormat="1">
      <c r="A448" s="185"/>
      <c r="B448" s="999" t="s">
        <v>1349</v>
      </c>
      <c r="C448" s="1030" t="s">
        <v>1331</v>
      </c>
      <c r="D448" s="999" t="s">
        <v>500</v>
      </c>
      <c r="E448" s="1000">
        <v>24</v>
      </c>
      <c r="F448" s="575">
        <v>3870</v>
      </c>
      <c r="G448" s="795">
        <f t="shared" si="39"/>
        <v>92880</v>
      </c>
    </row>
    <row r="449" spans="1:7" s="45" customFormat="1">
      <c r="A449" s="185"/>
      <c r="B449" s="999" t="s">
        <v>1350</v>
      </c>
      <c r="C449" s="1030" t="s">
        <v>1330</v>
      </c>
      <c r="D449" s="999" t="s">
        <v>500</v>
      </c>
      <c r="E449" s="1000">
        <v>7</v>
      </c>
      <c r="F449" s="575">
        <v>4740</v>
      </c>
      <c r="G449" s="795">
        <f t="shared" si="39"/>
        <v>33180</v>
      </c>
    </row>
    <row r="450" spans="1:7" s="45" customFormat="1">
      <c r="A450" s="185"/>
      <c r="B450" s="999" t="s">
        <v>1351</v>
      </c>
      <c r="C450" s="1030" t="s">
        <v>1333</v>
      </c>
      <c r="D450" s="999" t="s">
        <v>22</v>
      </c>
      <c r="E450" s="1000">
        <v>3</v>
      </c>
      <c r="F450" s="575">
        <v>47640</v>
      </c>
      <c r="G450" s="795">
        <f t="shared" si="39"/>
        <v>142920</v>
      </c>
    </row>
    <row r="451" spans="1:7" s="45" customFormat="1">
      <c r="A451" s="185"/>
      <c r="B451" s="999" t="s">
        <v>1352</v>
      </c>
      <c r="C451" s="1030" t="s">
        <v>1332</v>
      </c>
      <c r="D451" s="999" t="s">
        <v>22</v>
      </c>
      <c r="E451" s="1000">
        <v>3</v>
      </c>
      <c r="F451" s="587">
        <v>33030</v>
      </c>
      <c r="G451" s="795">
        <f t="shared" si="39"/>
        <v>99090</v>
      </c>
    </row>
    <row r="452" spans="1:7" s="45" customFormat="1">
      <c r="A452" s="185"/>
      <c r="B452" s="999" t="s">
        <v>1353</v>
      </c>
      <c r="C452" s="1030" t="s">
        <v>1334</v>
      </c>
      <c r="D452" s="999" t="s">
        <v>22</v>
      </c>
      <c r="E452" s="1000">
        <v>3</v>
      </c>
      <c r="F452" s="575">
        <v>3250</v>
      </c>
      <c r="G452" s="795">
        <f t="shared" si="39"/>
        <v>9750</v>
      </c>
    </row>
    <row r="453" spans="1:7" s="45" customFormat="1">
      <c r="A453" s="185"/>
      <c r="B453" s="937">
        <v>13.2</v>
      </c>
      <c r="C453" s="981" t="s">
        <v>1335</v>
      </c>
      <c r="D453" s="937"/>
      <c r="E453" s="982"/>
      <c r="F453" s="983"/>
      <c r="G453" s="984"/>
    </row>
    <row r="454" spans="1:7" s="45" customFormat="1">
      <c r="A454" s="185"/>
      <c r="B454" s="827" t="s">
        <v>1354</v>
      </c>
      <c r="C454" s="593" t="s">
        <v>1336</v>
      </c>
      <c r="D454" s="827" t="s">
        <v>1337</v>
      </c>
      <c r="E454" s="594">
        <v>1</v>
      </c>
      <c r="F454" s="973">
        <v>38073</v>
      </c>
      <c r="G454" s="795">
        <f t="shared" si="39"/>
        <v>38073</v>
      </c>
    </row>
    <row r="455" spans="1:7" s="45" customFormat="1">
      <c r="A455" s="185"/>
      <c r="B455" s="827" t="s">
        <v>1355</v>
      </c>
      <c r="C455" s="593" t="s">
        <v>1339</v>
      </c>
      <c r="D455" s="827" t="s">
        <v>1337</v>
      </c>
      <c r="E455" s="594">
        <v>2</v>
      </c>
      <c r="F455" s="973">
        <v>119840</v>
      </c>
      <c r="G455" s="795">
        <f t="shared" si="39"/>
        <v>239680</v>
      </c>
    </row>
    <row r="456" spans="1:7" s="45" customFormat="1">
      <c r="A456" s="185"/>
      <c r="B456" s="827" t="s">
        <v>1356</v>
      </c>
      <c r="C456" s="593" t="s">
        <v>1340</v>
      </c>
      <c r="D456" s="827" t="s">
        <v>1337</v>
      </c>
      <c r="E456" s="594">
        <v>5</v>
      </c>
      <c r="F456" s="973">
        <v>34234</v>
      </c>
      <c r="G456" s="795">
        <f t="shared" si="39"/>
        <v>171170</v>
      </c>
    </row>
    <row r="457" spans="1:7" s="45" customFormat="1">
      <c r="A457" s="185"/>
      <c r="B457" s="827" t="s">
        <v>1357</v>
      </c>
      <c r="C457" s="593" t="s">
        <v>1341</v>
      </c>
      <c r="D457" s="827" t="s">
        <v>1337</v>
      </c>
      <c r="E457" s="594">
        <v>3</v>
      </c>
      <c r="F457" s="575">
        <v>158604</v>
      </c>
      <c r="G457" s="795">
        <f t="shared" si="39"/>
        <v>475812</v>
      </c>
    </row>
    <row r="458" spans="1:7" s="45" customFormat="1">
      <c r="A458" s="185"/>
      <c r="B458" s="827" t="s">
        <v>1358</v>
      </c>
      <c r="C458" s="887" t="s">
        <v>1338</v>
      </c>
      <c r="D458" s="827" t="s">
        <v>22</v>
      </c>
      <c r="E458" s="594">
        <v>1</v>
      </c>
      <c r="F458" s="575">
        <v>208740</v>
      </c>
      <c r="G458" s="795">
        <f t="shared" si="39"/>
        <v>208740</v>
      </c>
    </row>
    <row r="459" spans="1:7" s="45" customFormat="1">
      <c r="A459" s="185"/>
      <c r="B459" s="937">
        <v>13.3</v>
      </c>
      <c r="C459" s="981" t="s">
        <v>1342</v>
      </c>
      <c r="D459" s="937"/>
      <c r="E459" s="982"/>
      <c r="F459" s="983"/>
      <c r="G459" s="984"/>
    </row>
    <row r="460" spans="1:7" s="45" customFormat="1">
      <c r="A460" s="185"/>
      <c r="B460" s="827" t="s">
        <v>1361</v>
      </c>
      <c r="C460" s="887" t="s">
        <v>1359</v>
      </c>
      <c r="D460" s="827" t="s">
        <v>22</v>
      </c>
      <c r="E460" s="594">
        <v>3</v>
      </c>
      <c r="F460" s="575">
        <v>29260</v>
      </c>
      <c r="G460" s="795">
        <f t="shared" si="39"/>
        <v>87780</v>
      </c>
    </row>
    <row r="461" spans="1:7" s="45" customFormat="1">
      <c r="A461" s="185"/>
      <c r="B461" s="827" t="s">
        <v>1373</v>
      </c>
      <c r="C461" s="887" t="s">
        <v>1360</v>
      </c>
      <c r="D461" s="827" t="s">
        <v>22</v>
      </c>
      <c r="E461" s="594">
        <v>3</v>
      </c>
      <c r="F461" s="575">
        <v>33161</v>
      </c>
      <c r="G461" s="795">
        <f t="shared" si="39"/>
        <v>99483</v>
      </c>
    </row>
    <row r="462" spans="1:7" s="45" customFormat="1">
      <c r="A462" s="185"/>
      <c r="B462" s="827" t="s">
        <v>1374</v>
      </c>
      <c r="C462" s="887" t="s">
        <v>1362</v>
      </c>
      <c r="D462" s="827" t="s">
        <v>22</v>
      </c>
      <c r="E462" s="594">
        <v>3</v>
      </c>
      <c r="F462" s="575">
        <v>66930</v>
      </c>
      <c r="G462" s="795">
        <f t="shared" si="39"/>
        <v>200790</v>
      </c>
    </row>
    <row r="463" spans="1:7" s="45" customFormat="1">
      <c r="A463" s="185"/>
      <c r="B463" s="937">
        <v>13.4</v>
      </c>
      <c r="C463" s="985" t="s">
        <v>1363</v>
      </c>
      <c r="D463" s="937"/>
      <c r="E463" s="982"/>
      <c r="F463" s="983"/>
      <c r="G463" s="984"/>
    </row>
    <row r="464" spans="1:7" s="45" customFormat="1">
      <c r="A464" s="185"/>
      <c r="B464" s="827" t="s">
        <v>1375</v>
      </c>
      <c r="C464" s="102" t="s">
        <v>1364</v>
      </c>
      <c r="D464" s="104" t="s">
        <v>500</v>
      </c>
      <c r="E464" s="103">
        <v>5</v>
      </c>
      <c r="F464" s="575">
        <v>21516</v>
      </c>
      <c r="G464" s="795">
        <f t="shared" si="39"/>
        <v>107580</v>
      </c>
    </row>
    <row r="465" spans="1:7" s="45" customFormat="1">
      <c r="A465" s="185"/>
      <c r="B465" s="827" t="s">
        <v>1376</v>
      </c>
      <c r="C465" s="102" t="s">
        <v>1365</v>
      </c>
      <c r="D465" s="104" t="s">
        <v>500</v>
      </c>
      <c r="E465" s="103">
        <v>5</v>
      </c>
      <c r="F465" s="575">
        <v>20557</v>
      </c>
      <c r="G465" s="795">
        <f t="shared" si="39"/>
        <v>102785</v>
      </c>
    </row>
    <row r="466" spans="1:7" s="45" customFormat="1" ht="15.75" thickBot="1">
      <c r="A466" s="185"/>
      <c r="B466" s="827" t="s">
        <v>1377</v>
      </c>
      <c r="C466" s="102" t="s">
        <v>1366</v>
      </c>
      <c r="D466" s="104" t="s">
        <v>500</v>
      </c>
      <c r="E466" s="103">
        <v>4</v>
      </c>
      <c r="F466" s="575">
        <v>18028</v>
      </c>
      <c r="G466" s="795">
        <f t="shared" si="39"/>
        <v>72112</v>
      </c>
    </row>
    <row r="467" spans="1:7" s="45" customFormat="1">
      <c r="A467" s="185"/>
      <c r="B467" s="937">
        <v>13.5</v>
      </c>
      <c r="C467" s="978" t="s">
        <v>1367</v>
      </c>
      <c r="D467" s="979"/>
      <c r="E467" s="979"/>
      <c r="F467" s="979"/>
      <c r="G467" s="980"/>
    </row>
    <row r="468" spans="1:7" s="45" customFormat="1">
      <c r="A468" s="185"/>
      <c r="B468" s="827" t="s">
        <v>1378</v>
      </c>
      <c r="C468" s="593" t="s">
        <v>1364</v>
      </c>
      <c r="D468" s="827" t="s">
        <v>1337</v>
      </c>
      <c r="E468" s="594">
        <v>2</v>
      </c>
      <c r="F468" s="575">
        <v>8658</v>
      </c>
      <c r="G468" s="795">
        <f t="shared" si="39"/>
        <v>17316</v>
      </c>
    </row>
    <row r="469" spans="1:7" s="45" customFormat="1">
      <c r="A469" s="185"/>
      <c r="B469" s="827" t="s">
        <v>1379</v>
      </c>
      <c r="C469" s="593" t="s">
        <v>1365</v>
      </c>
      <c r="D469" s="827" t="s">
        <v>1337</v>
      </c>
      <c r="E469" s="594">
        <v>6</v>
      </c>
      <c r="F469" s="575">
        <v>5510</v>
      </c>
      <c r="G469" s="795">
        <f t="shared" si="39"/>
        <v>33060</v>
      </c>
    </row>
    <row r="470" spans="1:7" s="45" customFormat="1" ht="15.75" thickBot="1">
      <c r="A470" s="185"/>
      <c r="B470" s="827" t="s">
        <v>1380</v>
      </c>
      <c r="C470" s="593" t="s">
        <v>1366</v>
      </c>
      <c r="D470" s="827" t="s">
        <v>1337</v>
      </c>
      <c r="E470" s="594">
        <v>2</v>
      </c>
      <c r="F470" s="575">
        <v>2169</v>
      </c>
      <c r="G470" s="795">
        <f t="shared" si="39"/>
        <v>4338</v>
      </c>
    </row>
    <row r="471" spans="1:7" s="45" customFormat="1">
      <c r="A471" s="185"/>
      <c r="B471" s="991">
        <v>13.6</v>
      </c>
      <c r="C471" s="978" t="s">
        <v>1368</v>
      </c>
      <c r="D471" s="979"/>
      <c r="E471" s="979"/>
      <c r="F471" s="979"/>
      <c r="G471" s="1002"/>
    </row>
    <row r="472" spans="1:7" s="45" customFormat="1">
      <c r="A472" s="185"/>
      <c r="B472" s="592" t="s">
        <v>1381</v>
      </c>
      <c r="C472" s="593" t="s">
        <v>1365</v>
      </c>
      <c r="D472" s="827" t="s">
        <v>1337</v>
      </c>
      <c r="E472" s="594">
        <v>3</v>
      </c>
      <c r="F472" s="575">
        <v>6465</v>
      </c>
      <c r="G472" s="795">
        <f t="shared" si="39"/>
        <v>19395</v>
      </c>
    </row>
    <row r="473" spans="1:7" s="45" customFormat="1" ht="15.75" thickBot="1">
      <c r="A473" s="185"/>
      <c r="B473" s="592" t="s">
        <v>1382</v>
      </c>
      <c r="C473" s="593" t="s">
        <v>1366</v>
      </c>
      <c r="D473" s="827" t="s">
        <v>1337</v>
      </c>
      <c r="E473" s="594">
        <v>1</v>
      </c>
      <c r="F473" s="575">
        <v>4785</v>
      </c>
      <c r="G473" s="795">
        <f t="shared" si="39"/>
        <v>4785</v>
      </c>
    </row>
    <row r="474" spans="1:7" s="45" customFormat="1">
      <c r="A474" s="185"/>
      <c r="B474" s="992">
        <v>13.7</v>
      </c>
      <c r="C474" s="75" t="s">
        <v>1369</v>
      </c>
      <c r="D474" s="76"/>
      <c r="E474" s="76"/>
      <c r="F474" s="76"/>
      <c r="G474" s="126"/>
    </row>
    <row r="475" spans="1:7" s="45" customFormat="1">
      <c r="A475" s="185"/>
      <c r="B475" s="827" t="s">
        <v>1383</v>
      </c>
      <c r="C475" s="887" t="s">
        <v>1371</v>
      </c>
      <c r="D475" s="827" t="s">
        <v>1337</v>
      </c>
      <c r="E475" s="594">
        <v>2</v>
      </c>
      <c r="F475" s="575">
        <v>24760</v>
      </c>
      <c r="G475" s="795">
        <f t="shared" si="39"/>
        <v>49520</v>
      </c>
    </row>
    <row r="476" spans="1:7" s="45" customFormat="1" ht="15.75" thickBot="1">
      <c r="A476" s="185"/>
      <c r="B476" s="827" t="s">
        <v>1384</v>
      </c>
      <c r="C476" s="887" t="s">
        <v>1370</v>
      </c>
      <c r="D476" s="827" t="s">
        <v>1337</v>
      </c>
      <c r="E476" s="594">
        <v>2</v>
      </c>
      <c r="F476" s="575">
        <v>29900</v>
      </c>
      <c r="G476" s="795">
        <f t="shared" si="39"/>
        <v>59800</v>
      </c>
    </row>
    <row r="477" spans="1:7" s="45" customFormat="1">
      <c r="A477" s="185"/>
      <c r="B477" s="992">
        <v>13.8</v>
      </c>
      <c r="C477" s="75" t="s">
        <v>1372</v>
      </c>
      <c r="D477" s="76"/>
      <c r="E477" s="76"/>
      <c r="F477" s="76"/>
      <c r="G477" s="126"/>
    </row>
    <row r="478" spans="1:7" s="45" customFormat="1">
      <c r="A478" s="185"/>
      <c r="B478" s="101" t="s">
        <v>1385</v>
      </c>
      <c r="C478" s="102" t="s">
        <v>1365</v>
      </c>
      <c r="D478" s="104" t="s">
        <v>500</v>
      </c>
      <c r="E478" s="103">
        <v>3</v>
      </c>
      <c r="F478" s="575">
        <v>10451</v>
      </c>
      <c r="G478" s="795">
        <f t="shared" si="39"/>
        <v>31353</v>
      </c>
    </row>
    <row r="479" spans="1:7" s="45" customFormat="1" ht="15.75" thickBot="1">
      <c r="A479" s="185"/>
      <c r="B479" s="1025"/>
      <c r="C479" s="871"/>
      <c r="D479" s="873"/>
      <c r="E479" s="874"/>
      <c r="F479" s="1180" t="s">
        <v>1404</v>
      </c>
      <c r="G479" s="1004">
        <f>SUM(G443:G478)</f>
        <v>2656212</v>
      </c>
    </row>
    <row r="480" spans="1:7" s="45" customFormat="1" ht="15.75" thickBot="1">
      <c r="A480" s="185"/>
      <c r="B480" s="16"/>
      <c r="C480" s="1023"/>
      <c r="D480" s="821"/>
      <c r="E480" s="825"/>
      <c r="F480" s="826"/>
      <c r="G480" s="1024"/>
    </row>
    <row r="481" spans="1:9" s="45" customFormat="1">
      <c r="A481" s="185"/>
      <c r="B481" s="74"/>
      <c r="C481" s="75" t="s">
        <v>1387</v>
      </c>
      <c r="D481" s="76"/>
      <c r="E481" s="76"/>
      <c r="F481" s="76"/>
      <c r="G481" s="126"/>
    </row>
    <row r="482" spans="1:9" s="45" customFormat="1" ht="25.5">
      <c r="A482" s="185"/>
      <c r="B482" s="101"/>
      <c r="C482" s="102" t="s">
        <v>1388</v>
      </c>
      <c r="D482" s="104" t="s">
        <v>22</v>
      </c>
      <c r="E482" s="103">
        <v>1</v>
      </c>
      <c r="F482" s="575">
        <v>3177088</v>
      </c>
      <c r="G482" s="795">
        <f t="shared" ref="G482" si="40">+F482*E482</f>
        <v>3177088</v>
      </c>
    </row>
    <row r="483" spans="1:9" s="45" customFormat="1" ht="15.75" thickBot="1">
      <c r="A483" s="185"/>
      <c r="B483" s="1025"/>
      <c r="C483" s="871"/>
      <c r="D483" s="873"/>
      <c r="E483" s="874"/>
      <c r="F483" s="1189" t="s">
        <v>1394</v>
      </c>
      <c r="G483" s="1004">
        <f>+G482</f>
        <v>3177088</v>
      </c>
    </row>
    <row r="484" spans="1:9" s="45" customFormat="1">
      <c r="A484" s="185"/>
      <c r="B484" s="16"/>
      <c r="C484" s="1023"/>
      <c r="D484" s="821"/>
      <c r="E484" s="825"/>
      <c r="F484" s="826"/>
      <c r="G484" s="1024"/>
    </row>
    <row r="485" spans="1:9" s="45" customFormat="1" ht="318.75">
      <c r="A485" s="185"/>
      <c r="B485" s="1270">
        <v>3.23</v>
      </c>
      <c r="C485" s="1271" t="s">
        <v>978</v>
      </c>
      <c r="D485" s="1272" t="s">
        <v>22</v>
      </c>
      <c r="E485" s="1273">
        <v>1</v>
      </c>
      <c r="F485" s="1274">
        <v>21756843</v>
      </c>
      <c r="G485" s="1275">
        <f t="shared" ref="G485" si="41">+F485*E485</f>
        <v>21756843</v>
      </c>
      <c r="I485" s="1274">
        <f>13962000*1.06*1.06*1.16*1.2</f>
        <v>21837282.854400001</v>
      </c>
    </row>
    <row r="486" spans="1:9" s="45" customFormat="1">
      <c r="A486" s="185"/>
      <c r="B486" s="886"/>
      <c r="C486" s="1259"/>
      <c r="D486" s="1260"/>
      <c r="E486" s="1261"/>
      <c r="F486" s="1262" t="s">
        <v>1394</v>
      </c>
      <c r="G486" s="1263">
        <f>+G485</f>
        <v>21756843</v>
      </c>
    </row>
    <row r="487" spans="1:9" s="45" customFormat="1">
      <c r="A487" s="185"/>
      <c r="B487" s="1264"/>
      <c r="C487" s="1265"/>
      <c r="D487" s="1266"/>
      <c r="E487" s="1267"/>
      <c r="F487" s="1268" t="s">
        <v>1394</v>
      </c>
      <c r="G487" s="1269">
        <f>+G485+G483</f>
        <v>24933931</v>
      </c>
    </row>
    <row r="488" spans="1:9" s="45" customFormat="1" ht="15.75" thickBot="1">
      <c r="A488" s="185"/>
      <c r="B488" s="886"/>
      <c r="C488" s="1259"/>
      <c r="D488" s="1260"/>
      <c r="E488" s="1261"/>
      <c r="F488" s="1262"/>
      <c r="G488" s="1263"/>
    </row>
    <row r="489" spans="1:9" s="45" customFormat="1">
      <c r="A489" s="185"/>
      <c r="B489" s="74"/>
      <c r="C489" s="75" t="s">
        <v>1408</v>
      </c>
      <c r="D489" s="76"/>
      <c r="E489" s="76"/>
      <c r="F489" s="76"/>
      <c r="G489" s="77"/>
    </row>
    <row r="490" spans="1:9" s="45" customFormat="1">
      <c r="A490" s="185"/>
      <c r="B490" s="85"/>
      <c r="C490" s="86" t="s">
        <v>1400</v>
      </c>
      <c r="D490" s="87" t="s">
        <v>139</v>
      </c>
      <c r="E490" s="1045" t="e">
        <f>+(E492+E493+E496+E494+E495+E496)*0.7*1</f>
        <v>#REF!</v>
      </c>
      <c r="F490" s="89">
        <v>2610</v>
      </c>
      <c r="G490" s="795" t="e">
        <f>+F490*E490</f>
        <v>#REF!</v>
      </c>
    </row>
    <row r="491" spans="1:9" s="45" customFormat="1">
      <c r="A491" s="185"/>
      <c r="B491" s="771"/>
      <c r="C491" s="102" t="s">
        <v>941</v>
      </c>
      <c r="D491" s="777" t="s">
        <v>139</v>
      </c>
      <c r="E491" s="587" t="e">
        <f>+E490</f>
        <v>#REF!</v>
      </c>
      <c r="F491" s="587">
        <v>10240</v>
      </c>
      <c r="G491" s="587" t="e">
        <f t="shared" ref="G491" si="42">+E491*F491</f>
        <v>#REF!</v>
      </c>
    </row>
    <row r="492" spans="1:9" s="45" customFormat="1">
      <c r="A492" s="185"/>
      <c r="B492" s="101"/>
      <c r="C492" s="102" t="s">
        <v>1396</v>
      </c>
      <c r="D492" s="104" t="s">
        <v>500</v>
      </c>
      <c r="E492" s="103">
        <v>50</v>
      </c>
      <c r="F492" s="575">
        <v>5021</v>
      </c>
      <c r="G492" s="792">
        <f>+F492*E492</f>
        <v>251050</v>
      </c>
    </row>
    <row r="493" spans="1:9" s="45" customFormat="1">
      <c r="A493" s="185"/>
      <c r="B493" s="101"/>
      <c r="C493" s="102" t="s">
        <v>1397</v>
      </c>
      <c r="D493" s="104" t="s">
        <v>500</v>
      </c>
      <c r="E493" s="103" t="e">
        <f>+#REF!</f>
        <v>#REF!</v>
      </c>
      <c r="F493" s="575">
        <v>5021</v>
      </c>
      <c r="G493" s="792" t="e">
        <f>+F493*E493</f>
        <v>#REF!</v>
      </c>
    </row>
    <row r="494" spans="1:9" s="45" customFormat="1">
      <c r="A494" s="185"/>
      <c r="B494" s="101"/>
      <c r="C494" s="102" t="s">
        <v>1402</v>
      </c>
      <c r="D494" s="104" t="s">
        <v>500</v>
      </c>
      <c r="E494" s="103">
        <v>220</v>
      </c>
      <c r="F494" s="575">
        <v>3632</v>
      </c>
      <c r="G494" s="792">
        <f t="shared" ref="G494:G496" si="43">+F494*E494</f>
        <v>799040</v>
      </c>
    </row>
    <row r="495" spans="1:9" s="45" customFormat="1">
      <c r="A495" s="185"/>
      <c r="B495" s="101"/>
      <c r="C495" s="102" t="s">
        <v>1434</v>
      </c>
      <c r="D495" s="104" t="s">
        <v>500</v>
      </c>
      <c r="E495" s="103">
        <v>546</v>
      </c>
      <c r="F495" s="575">
        <v>3512</v>
      </c>
      <c r="G495" s="792">
        <f t="shared" si="43"/>
        <v>1917552</v>
      </c>
    </row>
    <row r="496" spans="1:9" s="45" customFormat="1">
      <c r="A496" s="185"/>
      <c r="B496" s="998"/>
      <c r="C496" s="1042" t="s">
        <v>1406</v>
      </c>
      <c r="D496" s="104" t="s">
        <v>500</v>
      </c>
      <c r="E496" s="103">
        <v>423</v>
      </c>
      <c r="F496" s="575">
        <v>3512</v>
      </c>
      <c r="G496" s="792">
        <f t="shared" si="43"/>
        <v>1485576</v>
      </c>
    </row>
    <row r="497" spans="1:7" s="45" customFormat="1" ht="15.75" thickBot="1">
      <c r="A497" s="185"/>
      <c r="B497" s="876"/>
      <c r="C497" s="871"/>
      <c r="D497" s="873"/>
      <c r="E497" s="874"/>
      <c r="F497" s="1180" t="s">
        <v>1398</v>
      </c>
      <c r="G497" s="1004" t="e">
        <f>SUM(G490:G496)</f>
        <v>#REF!</v>
      </c>
    </row>
    <row r="498" spans="1:7" s="45" customFormat="1">
      <c r="A498" s="185"/>
      <c r="B498" s="827"/>
      <c r="C498" s="887"/>
      <c r="D498" s="827"/>
      <c r="E498" s="594"/>
      <c r="F498" s="575"/>
      <c r="G498" s="792"/>
    </row>
    <row r="499" spans="1:7" s="45" customFormat="1" ht="15.75" customHeight="1">
      <c r="A499" s="212"/>
      <c r="B499" s="38"/>
      <c r="C499" s="145"/>
      <c r="D499" s="146"/>
      <c r="E499" s="146"/>
      <c r="F499" s="147" t="s">
        <v>94</v>
      </c>
      <c r="G499" s="946" t="e">
        <f>+G30+G44+G87+G129+G169+G205+G254+G281+G334+G412+G422+G439+G479+G487+G497</f>
        <v>#REF!</v>
      </c>
    </row>
    <row r="500" spans="1:7" s="45" customFormat="1">
      <c r="A500" s="212"/>
      <c r="B500" s="38"/>
      <c r="C500" s="157"/>
      <c r="G500" s="796"/>
    </row>
    <row r="501" spans="1:7" s="45" customFormat="1">
      <c r="A501" s="212"/>
      <c r="B501" s="38"/>
      <c r="C501" s="162" t="s">
        <v>96</v>
      </c>
      <c r="D501" s="163"/>
      <c r="E501" s="164"/>
      <c r="F501" s="165"/>
      <c r="G501" s="798"/>
    </row>
    <row r="502" spans="1:7" s="45" customFormat="1">
      <c r="A502" s="212"/>
      <c r="B502" s="38"/>
      <c r="C502" s="170"/>
      <c r="D502" s="171"/>
      <c r="E502" s="171"/>
      <c r="F502" s="172" t="s">
        <v>98</v>
      </c>
      <c r="G502" s="799" t="e">
        <f>+G499</f>
        <v>#REF!</v>
      </c>
    </row>
    <row r="503" spans="1:7">
      <c r="C503" s="177"/>
      <c r="D503" s="178"/>
      <c r="E503" s="179" t="s">
        <v>100</v>
      </c>
      <c r="F503" s="180">
        <v>0.17</v>
      </c>
      <c r="G503" s="800" t="e">
        <f>+G502*F503</f>
        <v>#REF!</v>
      </c>
    </row>
    <row r="504" spans="1:7">
      <c r="C504" s="186"/>
      <c r="D504" s="187"/>
      <c r="E504" s="188" t="s">
        <v>102</v>
      </c>
      <c r="F504" s="189">
        <v>0.08</v>
      </c>
      <c r="G504" s="801" t="e">
        <f>+G502*F504</f>
        <v>#REF!</v>
      </c>
    </row>
    <row r="505" spans="1:7">
      <c r="C505" s="186"/>
      <c r="D505" s="187"/>
      <c r="E505" s="188" t="s">
        <v>104</v>
      </c>
      <c r="F505" s="189">
        <v>0.05</v>
      </c>
      <c r="G505" s="801" t="e">
        <f>+G502*F505</f>
        <v>#REF!</v>
      </c>
    </row>
    <row r="506" spans="1:7">
      <c r="C506" s="191"/>
      <c r="D506" s="192"/>
      <c r="E506" s="193" t="s">
        <v>105</v>
      </c>
      <c r="F506" s="194">
        <f>+F505+F504+F503</f>
        <v>0.30000000000000004</v>
      </c>
      <c r="G506" s="802" t="e">
        <f>+G503+G504+G505</f>
        <v>#REF!</v>
      </c>
    </row>
    <row r="507" spans="1:7">
      <c r="C507" s="191"/>
      <c r="D507" s="192"/>
      <c r="E507" s="193" t="s">
        <v>107</v>
      </c>
      <c r="F507" s="194">
        <v>0.16</v>
      </c>
      <c r="G507" s="803" t="e">
        <f>+G505*F507</f>
        <v>#REF!</v>
      </c>
    </row>
    <row r="508" spans="1:7">
      <c r="C508" s="200"/>
      <c r="D508" s="201"/>
      <c r="E508" s="201"/>
      <c r="F508" s="202" t="s">
        <v>109</v>
      </c>
      <c r="G508" s="804" t="e">
        <f>+G502+G506+G507</f>
        <v>#REF!</v>
      </c>
    </row>
    <row r="509" spans="1:7">
      <c r="C509" s="38"/>
      <c r="G509" s="810"/>
    </row>
    <row r="510" spans="1:7">
      <c r="C510" s="38"/>
      <c r="G510" s="1046"/>
    </row>
    <row r="511" spans="1:7">
      <c r="C511" s="38"/>
      <c r="G511" s="1046"/>
    </row>
    <row r="512" spans="1:7">
      <c r="C512" s="38"/>
      <c r="G512" s="1046"/>
    </row>
    <row r="513" spans="2:7">
      <c r="C513" s="38"/>
      <c r="G513" s="1046"/>
    </row>
    <row r="514" spans="2:7">
      <c r="C514" s="38"/>
      <c r="G514" s="1046"/>
    </row>
    <row r="515" spans="2:7">
      <c r="C515" s="38"/>
      <c r="G515" s="1046"/>
    </row>
    <row r="516" spans="2:7">
      <c r="C516" s="38"/>
      <c r="G516" s="1046"/>
    </row>
    <row r="517" spans="2:7">
      <c r="C517" s="38"/>
      <c r="G517" s="1046"/>
    </row>
    <row r="518" spans="2:7">
      <c r="C518" s="38"/>
      <c r="G518" s="1046"/>
    </row>
    <row r="519" spans="2:7">
      <c r="C519" s="38"/>
      <c r="G519" s="1046"/>
    </row>
    <row r="520" spans="2:7">
      <c r="C520" s="38"/>
      <c r="G520" s="1046"/>
    </row>
    <row r="521" spans="2:7">
      <c r="C521" s="38"/>
      <c r="G521" s="1046"/>
    </row>
    <row r="522" spans="2:7">
      <c r="C522" s="38"/>
      <c r="G522" s="1046"/>
    </row>
    <row r="523" spans="2:7">
      <c r="C523" s="38"/>
      <c r="G523" s="1046"/>
    </row>
    <row r="524" spans="2:7">
      <c r="C524" s="38"/>
      <c r="G524" s="1046"/>
    </row>
    <row r="525" spans="2:7">
      <c r="C525" s="38"/>
      <c r="G525" s="1046"/>
    </row>
    <row r="526" spans="2:7">
      <c r="C526" s="38"/>
      <c r="G526" s="1046"/>
    </row>
    <row r="527" spans="2:7" ht="23.25">
      <c r="B527" s="1909" t="s">
        <v>1421</v>
      </c>
      <c r="C527" s="1909"/>
      <c r="D527" s="1909"/>
      <c r="E527" s="1909"/>
      <c r="F527" s="1909"/>
      <c r="G527" s="1909"/>
    </row>
    <row r="528" spans="2:7">
      <c r="C528" s="38"/>
      <c r="D528" s="38"/>
      <c r="E528" s="38"/>
      <c r="F528" s="38"/>
      <c r="G528" s="211"/>
    </row>
    <row r="529" spans="3:9">
      <c r="C529" s="38"/>
      <c r="D529" s="38"/>
      <c r="E529" s="38"/>
      <c r="F529" s="38"/>
      <c r="G529" s="211"/>
    </row>
    <row r="530" spans="3:9">
      <c r="C530" s="38"/>
      <c r="D530" s="216"/>
      <c r="E530" s="217"/>
      <c r="F530" s="95"/>
      <c r="G530" s="95"/>
    </row>
    <row r="531" spans="3:9" ht="15.75">
      <c r="C531" s="1920" t="s">
        <v>947</v>
      </c>
      <c r="D531" s="1920"/>
      <c r="E531" s="1920"/>
      <c r="F531" s="1920"/>
      <c r="G531" s="1038" t="e">
        <f>+G508</f>
        <v>#REF!</v>
      </c>
    </row>
    <row r="532" spans="3:9" ht="15.75">
      <c r="C532" s="1919" t="s">
        <v>1435</v>
      </c>
      <c r="D532" s="1919"/>
      <c r="E532" s="1919"/>
      <c r="F532" s="1919"/>
      <c r="G532" s="1003" t="e">
        <f>+G531*0.06</f>
        <v>#REF!</v>
      </c>
    </row>
    <row r="533" spans="3:9" ht="15.75">
      <c r="C533" s="971"/>
      <c r="D533" s="971"/>
      <c r="E533" s="971"/>
      <c r="F533" s="971"/>
      <c r="G533" s="1003"/>
    </row>
    <row r="534" spans="3:9" ht="15.75">
      <c r="C534" s="1921" t="s">
        <v>948</v>
      </c>
      <c r="D534" s="1921"/>
      <c r="E534" s="1921"/>
      <c r="F534" s="1921"/>
      <c r="G534" s="1003" t="e">
        <f>+#REF!</f>
        <v>#REF!</v>
      </c>
    </row>
    <row r="535" spans="3:9" ht="15.75">
      <c r="C535" s="1921" t="s">
        <v>1322</v>
      </c>
      <c r="D535" s="1921"/>
      <c r="E535" s="1921"/>
      <c r="F535" s="1921"/>
      <c r="G535" s="1003" t="e">
        <f>+G534*0.04</f>
        <v>#REF!</v>
      </c>
    </row>
    <row r="536" spans="3:9" ht="15.75">
      <c r="C536" s="1182"/>
      <c r="D536" s="1182"/>
      <c r="E536" s="1182"/>
      <c r="F536" s="1182"/>
      <c r="G536" s="1037"/>
    </row>
    <row r="537" spans="3:9" ht="15.75">
      <c r="C537" s="1921" t="s">
        <v>570</v>
      </c>
      <c r="D537" s="1921"/>
      <c r="E537" s="1921"/>
      <c r="F537" s="1921"/>
      <c r="G537" s="1037" t="e">
        <f>SUM(G531:G536)</f>
        <v>#REF!</v>
      </c>
    </row>
    <row r="538" spans="3:9" ht="15.75">
      <c r="C538" s="1919" t="s">
        <v>1401</v>
      </c>
      <c r="D538" s="1919"/>
      <c r="E538" s="1919"/>
      <c r="F538" s="1919"/>
      <c r="G538" s="1003" t="e">
        <f>+(G537/0.98)*0.02</f>
        <v>#REF!</v>
      </c>
      <c r="I538" s="945" t="e">
        <f>+I539-G539</f>
        <v>#REF!</v>
      </c>
    </row>
    <row r="539" spans="3:9" ht="15.75">
      <c r="C539" s="1919" t="s">
        <v>484</v>
      </c>
      <c r="D539" s="1919"/>
      <c r="E539" s="1919"/>
      <c r="F539" s="1919"/>
      <c r="G539" s="1039" t="e">
        <f>+G537+G538</f>
        <v>#REF!</v>
      </c>
      <c r="I539" s="424">
        <v>2401551544.4549584</v>
      </c>
    </row>
    <row r="540" spans="3:9">
      <c r="G540" s="945" t="e">
        <f>+I539-G539</f>
        <v>#REF!</v>
      </c>
    </row>
  </sheetData>
  <mergeCells count="19">
    <mergeCell ref="C538:F538"/>
    <mergeCell ref="C539:F539"/>
    <mergeCell ref="B527:G527"/>
    <mergeCell ref="C531:F531"/>
    <mergeCell ref="C532:F532"/>
    <mergeCell ref="C534:F534"/>
    <mergeCell ref="C535:F535"/>
    <mergeCell ref="C537:F537"/>
    <mergeCell ref="C44:F44"/>
    <mergeCell ref="B5:B6"/>
    <mergeCell ref="C5:E6"/>
    <mergeCell ref="F6:G6"/>
    <mergeCell ref="C30:F30"/>
    <mergeCell ref="E1:F1"/>
    <mergeCell ref="E2:F2"/>
    <mergeCell ref="B3:D3"/>
    <mergeCell ref="E3:G3"/>
    <mergeCell ref="B4:D4"/>
    <mergeCell ref="E4:G4"/>
  </mergeCells>
  <conditionalFormatting sqref="G508">
    <cfRule type="expression" dxfId="158" priority="41" stopIfTrue="1">
      <formula>"&gt;G29"</formula>
    </cfRule>
    <cfRule type="expression" dxfId="157" priority="42" stopIfTrue="1">
      <formula>"&lt;G29"""</formula>
    </cfRule>
  </conditionalFormatting>
  <conditionalFormatting sqref="B5">
    <cfRule type="cellIs" dxfId="156" priority="44" stopIfTrue="1" operator="equal">
      <formula>"ESCRIBA AQUÍ EL NOMBRE DE LA OBRA"</formula>
    </cfRule>
  </conditionalFormatting>
  <conditionalFormatting sqref="G1">
    <cfRule type="cellIs" dxfId="155" priority="46" stopIfTrue="1" operator="equal">
      <formula>"CHEQ. INSUMOS"</formula>
    </cfRule>
  </conditionalFormatting>
  <conditionalFormatting sqref="G2">
    <cfRule type="cellIs" dxfId="154" priority="47" stopIfTrue="1" operator="equal">
      <formula>"CHEQ. INSUMOS"</formula>
    </cfRule>
  </conditionalFormatting>
  <conditionalFormatting sqref="B11:C11 B170:C170 B207:C207 C283">
    <cfRule type="cellIs" dxfId="153" priority="36" stopIfTrue="1" operator="equal">
      <formula>"ESCRIBA AQUÍ EL NOMBRE DEL CAPITULO"</formula>
    </cfRule>
  </conditionalFormatting>
  <conditionalFormatting sqref="B18:C18">
    <cfRule type="cellIs" dxfId="152" priority="32" stopIfTrue="1" operator="equal">
      <formula>"ESCRIBA AQUÍ EL NOMBRE DEL CAPITULO"</formula>
    </cfRule>
  </conditionalFormatting>
  <conditionalFormatting sqref="B47:C47">
    <cfRule type="cellIs" dxfId="151" priority="28" stopIfTrue="1" operator="equal">
      <formula>"ESCRIBA AQUÍ EL NOMBRE DEL CAPITULO"</formula>
    </cfRule>
  </conditionalFormatting>
  <conditionalFormatting sqref="B25:C25">
    <cfRule type="cellIs" dxfId="150" priority="24" stopIfTrue="1" operator="equal">
      <formula>"ESCRIBA AQUÍ EL NOMBRE DEL CAPITULO"</formula>
    </cfRule>
  </conditionalFormatting>
  <conditionalFormatting sqref="B89:C89">
    <cfRule type="cellIs" dxfId="149" priority="23" stopIfTrue="1" operator="equal">
      <formula>"ESCRIBA AQUÍ EL NOMBRE DEL CAPITULO"</formula>
    </cfRule>
  </conditionalFormatting>
  <conditionalFormatting sqref="B131:C131">
    <cfRule type="cellIs" dxfId="148" priority="22" stopIfTrue="1" operator="equal">
      <formula>"ESCRIBA AQUÍ EL NOMBRE DEL CAPITULO"</formula>
    </cfRule>
  </conditionalFormatting>
  <conditionalFormatting sqref="B172:C172">
    <cfRule type="cellIs" dxfId="147" priority="21" stopIfTrue="1" operator="equal">
      <formula>"ESCRIBA AQUÍ EL NOMBRE DEL CAPITULO"</formula>
    </cfRule>
  </conditionalFormatting>
  <conditionalFormatting sqref="B208:C208">
    <cfRule type="cellIs" dxfId="146" priority="20" stopIfTrue="1" operator="equal">
      <formula>"ESCRIBA AQUÍ EL NOMBRE DEL CAPITULO"</formula>
    </cfRule>
  </conditionalFormatting>
  <conditionalFormatting sqref="B32:C32">
    <cfRule type="cellIs" dxfId="145" priority="19" stopIfTrue="1" operator="equal">
      <formula>"ESCRIBA AQUÍ EL NOMBRE DEL CAPITULO"</formula>
    </cfRule>
  </conditionalFormatting>
  <conditionalFormatting sqref="B256:C256">
    <cfRule type="cellIs" dxfId="144" priority="18" stopIfTrue="1" operator="equal">
      <formula>"ESCRIBA AQUÍ EL NOMBRE DEL CAPITULO"</formula>
    </cfRule>
  </conditionalFormatting>
  <conditionalFormatting sqref="C336:C337">
    <cfRule type="cellIs" dxfId="143" priority="17" stopIfTrue="1" operator="equal">
      <formula>"ESCRIBA AQUÍ EL NOMBRE DEL CAPITULO"</formula>
    </cfRule>
  </conditionalFormatting>
  <conditionalFormatting sqref="C414">
    <cfRule type="cellIs" dxfId="142" priority="16" stopIfTrue="1" operator="equal">
      <formula>"ESCRIBA AQUÍ EL NOMBRE DEL CAPITULO"</formula>
    </cfRule>
  </conditionalFormatting>
  <conditionalFormatting sqref="C425">
    <cfRule type="cellIs" dxfId="141" priority="15" stopIfTrue="1" operator="equal">
      <formula>"ESCRIBA AQUÍ EL NOMBRE DEL CAPITULO"</formula>
    </cfRule>
  </conditionalFormatting>
  <conditionalFormatting sqref="C441:C442">
    <cfRule type="cellIs" dxfId="140" priority="14" stopIfTrue="1" operator="equal">
      <formula>"ESCRIBA AQUÍ EL NOMBRE DEL CAPITULO"</formula>
    </cfRule>
  </conditionalFormatting>
  <conditionalFormatting sqref="C467">
    <cfRule type="cellIs" dxfId="139" priority="13" stopIfTrue="1" operator="equal">
      <formula>"ESCRIBA AQUÍ EL NOMBRE DEL CAPITULO"</formula>
    </cfRule>
  </conditionalFormatting>
  <conditionalFormatting sqref="B471:C471">
    <cfRule type="cellIs" dxfId="138" priority="12" stopIfTrue="1" operator="equal">
      <formula>"ESCRIBA AQUÍ EL NOMBRE DEL CAPITULO"</formula>
    </cfRule>
  </conditionalFormatting>
  <conditionalFormatting sqref="B474:C474">
    <cfRule type="cellIs" dxfId="137" priority="11" stopIfTrue="1" operator="equal">
      <formula>"ESCRIBA AQUÍ EL NOMBRE DEL CAPITULO"</formula>
    </cfRule>
  </conditionalFormatting>
  <conditionalFormatting sqref="B477:C477">
    <cfRule type="cellIs" dxfId="136" priority="10" stopIfTrue="1" operator="equal">
      <formula>"ESCRIBA AQUÍ EL NOMBRE DEL CAPITULO"</formula>
    </cfRule>
  </conditionalFormatting>
  <conditionalFormatting sqref="B489:C489">
    <cfRule type="cellIs" dxfId="135" priority="9" stopIfTrue="1" operator="equal">
      <formula>"ESCRIBA AQUÍ EL NOMBRE DEL CAPITULO"</formula>
    </cfRule>
  </conditionalFormatting>
  <conditionalFormatting sqref="B481:C481">
    <cfRule type="cellIs" dxfId="134" priority="1" stopIfTrue="1" operator="equal">
      <formula>"ESCRIBA AQUÍ EL NOMBRE DEL CAPITULO"</formula>
    </cfRule>
  </conditionalFormatting>
  <pageMargins left="0.7" right="0.7" top="0.75" bottom="0.75" header="0.3" footer="0.3"/>
  <pageSetup scale="9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534"/>
  <sheetViews>
    <sheetView showGridLines="0" topLeftCell="B233" zoomScale="85" zoomScaleNormal="85" workbookViewId="0">
      <pane xSplit="1" topLeftCell="C1" activePane="topRight" state="frozen"/>
      <selection activeCell="B6" sqref="B6"/>
      <selection pane="topRight" activeCell="AG33" sqref="AG33"/>
    </sheetView>
  </sheetViews>
  <sheetFormatPr baseColWidth="10" defaultRowHeight="15"/>
  <cols>
    <col min="1" max="1" width="0" style="917" hidden="1" customWidth="1"/>
    <col min="2" max="2" width="8" style="917" customWidth="1"/>
    <col min="3" max="3" width="44" style="917" customWidth="1"/>
    <col min="4" max="4" width="6.140625" style="917" customWidth="1"/>
    <col min="5" max="5" width="9" style="917" customWidth="1"/>
    <col min="6" max="6" width="12.28515625" style="917" bestFit="1" customWidth="1"/>
    <col min="7" max="7" width="19.5703125" style="917" customWidth="1"/>
    <col min="8" max="11" width="11.42578125" style="917" hidden="1" customWidth="1"/>
    <col min="12" max="12" width="17.42578125" style="917" hidden="1" customWidth="1"/>
    <col min="13" max="13" width="16.42578125" style="917" hidden="1" customWidth="1"/>
    <col min="14" max="14" width="15.140625" style="917" hidden="1" customWidth="1"/>
    <col min="15" max="15" width="3.85546875" style="917" hidden="1" customWidth="1"/>
    <col min="16" max="18" width="11.42578125" style="917" hidden="1" customWidth="1"/>
    <col min="19" max="19" width="15.140625" style="917" hidden="1" customWidth="1"/>
    <col min="20" max="21" width="11.42578125" style="917" hidden="1" customWidth="1"/>
    <col min="22" max="22" width="1.85546875" style="917" hidden="1" customWidth="1"/>
    <col min="23" max="23" width="19.28515625" style="917" hidden="1" customWidth="1"/>
    <col min="24" max="24" width="16.5703125" style="917" hidden="1" customWidth="1"/>
    <col min="25" max="25" width="0" style="419" hidden="1" customWidth="1"/>
    <col min="26" max="26" width="13.7109375" style="419" hidden="1" customWidth="1"/>
    <col min="27" max="27" width="12.85546875" style="419" hidden="1" customWidth="1"/>
    <col min="28" max="28" width="8.140625" style="419" hidden="1" customWidth="1"/>
    <col min="29" max="29" width="0" style="917" hidden="1" customWidth="1"/>
    <col min="30" max="30" width="28.7109375" style="917" hidden="1" customWidth="1"/>
    <col min="31" max="31" width="0" style="917" hidden="1" customWidth="1"/>
    <col min="32" max="32" width="11.42578125" style="1247"/>
    <col min="33" max="33" width="11.42578125" style="917" customWidth="1"/>
    <col min="34" max="34" width="17.28515625" style="917" customWidth="1"/>
    <col min="35" max="36" width="11.42578125" style="917" customWidth="1"/>
    <col min="37" max="37" width="11.42578125" style="1218"/>
    <col min="38" max="38" width="11.42578125" style="917" customWidth="1"/>
    <col min="39" max="39" width="19.28515625" style="917" customWidth="1"/>
    <col min="40" max="88" width="11.42578125" style="917"/>
    <col min="89" max="91" width="0" style="917" hidden="1" customWidth="1"/>
    <col min="92" max="16384" width="11.42578125" style="917"/>
  </cols>
  <sheetData>
    <row r="1" spans="1:91" s="19" customFormat="1" ht="12" hidden="1" customHeight="1" thickTop="1">
      <c r="A1" s="1"/>
      <c r="B1" s="2">
        <v>2012.2</v>
      </c>
      <c r="C1" s="3"/>
      <c r="D1" s="4"/>
      <c r="E1" s="1885" t="s">
        <v>0</v>
      </c>
      <c r="F1" s="1885"/>
      <c r="G1" s="5">
        <v>408578100</v>
      </c>
      <c r="H1" s="6" t="s">
        <v>1</v>
      </c>
      <c r="I1" s="6" t="s">
        <v>2</v>
      </c>
      <c r="J1" s="7" t="s">
        <v>3</v>
      </c>
      <c r="K1" s="7" t="s">
        <v>4</v>
      </c>
      <c r="L1" s="6" t="s">
        <v>5</v>
      </c>
      <c r="M1" s="6" t="s">
        <v>6</v>
      </c>
      <c r="N1" s="8" t="s">
        <v>7</v>
      </c>
      <c r="O1" s="9" t="s">
        <v>6</v>
      </c>
      <c r="P1" s="10"/>
      <c r="Q1" s="10"/>
      <c r="R1" s="10"/>
      <c r="S1" s="10"/>
      <c r="T1" s="10"/>
      <c r="U1" s="11"/>
      <c r="V1" s="12"/>
      <c r="W1" s="13"/>
      <c r="X1" s="14" t="s">
        <v>8</v>
      </c>
      <c r="Y1" s="16"/>
      <c r="Z1" s="16"/>
      <c r="AA1" s="16"/>
      <c r="AB1" s="16"/>
      <c r="AC1" s="18"/>
      <c r="AD1" s="18"/>
      <c r="AF1" s="1219"/>
      <c r="AK1" s="1190"/>
      <c r="BE1" s="20"/>
      <c r="BF1" s="21"/>
      <c r="BG1" s="22"/>
      <c r="BH1" s="23"/>
      <c r="BI1" s="24"/>
      <c r="BJ1" s="25">
        <v>0</v>
      </c>
      <c r="BK1" s="26">
        <v>0</v>
      </c>
      <c r="BL1" s="27"/>
      <c r="BM1" s="25"/>
      <c r="BN1" s="25">
        <v>1</v>
      </c>
      <c r="BO1" s="25"/>
      <c r="BP1" s="28">
        <v>0</v>
      </c>
      <c r="BQ1" s="29">
        <v>0</v>
      </c>
      <c r="BR1" s="29">
        <v>0</v>
      </c>
      <c r="CK1" s="19" t="s">
        <v>9</v>
      </c>
      <c r="CM1" s="19">
        <v>0</v>
      </c>
    </row>
    <row r="2" spans="1:91" s="19" customFormat="1" ht="12" hidden="1" customHeight="1" thickBot="1">
      <c r="A2" s="1" t="s">
        <v>6</v>
      </c>
      <c r="B2" s="30" t="s">
        <v>6</v>
      </c>
      <c r="C2" s="31"/>
      <c r="D2" s="32"/>
      <c r="E2" s="1886"/>
      <c r="F2" s="1886"/>
      <c r="G2" s="33" t="s">
        <v>10</v>
      </c>
      <c r="H2" s="34">
        <v>2</v>
      </c>
      <c r="I2" s="34">
        <v>3</v>
      </c>
      <c r="J2" s="34"/>
      <c r="K2" s="34"/>
      <c r="L2" s="34"/>
      <c r="M2" s="34"/>
      <c r="N2" s="35">
        <v>1</v>
      </c>
      <c r="O2" s="36"/>
      <c r="P2" s="37"/>
      <c r="Q2" s="37"/>
      <c r="R2" s="37"/>
      <c r="S2" s="37"/>
      <c r="T2" s="37"/>
      <c r="U2" s="37"/>
      <c r="V2" s="12"/>
      <c r="W2" s="15"/>
      <c r="X2" s="15"/>
      <c r="Y2" s="16"/>
      <c r="Z2" s="16"/>
      <c r="AA2" s="16"/>
      <c r="AB2" s="16"/>
      <c r="AC2" s="38"/>
      <c r="AD2" s="38"/>
      <c r="AF2" s="1219"/>
      <c r="AK2" s="1190"/>
    </row>
    <row r="3" spans="1:91" s="45" customFormat="1" ht="21" customHeight="1" thickTop="1">
      <c r="A3" s="39"/>
      <c r="B3" s="1887" t="s">
        <v>1420</v>
      </c>
      <c r="C3" s="1888"/>
      <c r="D3" s="1888"/>
      <c r="E3" s="1889" t="s">
        <v>12</v>
      </c>
      <c r="F3" s="1890"/>
      <c r="G3" s="1891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1"/>
      <c r="V3" s="12"/>
      <c r="W3" s="42"/>
      <c r="X3" s="42"/>
      <c r="Y3" s="43"/>
      <c r="Z3" s="43"/>
      <c r="AA3" s="43"/>
      <c r="AB3" s="43"/>
      <c r="AC3" s="44"/>
      <c r="AD3" s="44"/>
      <c r="AF3" s="1220"/>
      <c r="AK3" s="1191"/>
    </row>
    <row r="4" spans="1:91" s="45" customFormat="1" ht="21" customHeight="1">
      <c r="A4" s="39"/>
      <c r="B4" s="1910" t="s">
        <v>1437</v>
      </c>
      <c r="C4" s="1911"/>
      <c r="D4" s="1912"/>
      <c r="E4" s="1894" t="s">
        <v>14</v>
      </c>
      <c r="F4" s="1895"/>
      <c r="G4" s="1896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1"/>
      <c r="V4" s="12"/>
      <c r="W4" s="42"/>
      <c r="X4" s="42"/>
      <c r="Y4" s="43"/>
      <c r="Z4" s="43"/>
      <c r="AA4" s="43"/>
      <c r="AB4" s="43"/>
      <c r="AC4" s="44"/>
      <c r="AD4" s="44"/>
      <c r="AF4" s="1220"/>
      <c r="AK4" s="1191"/>
    </row>
    <row r="5" spans="1:91" s="45" customFormat="1" ht="15" customHeight="1" thickBot="1">
      <c r="A5" s="39"/>
      <c r="B5" s="1897" t="s">
        <v>15</v>
      </c>
      <c r="C5" s="1913" t="s">
        <v>480</v>
      </c>
      <c r="D5" s="1914"/>
      <c r="E5" s="1915"/>
      <c r="F5" s="46" t="s">
        <v>17</v>
      </c>
      <c r="G5" s="47">
        <v>41751</v>
      </c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9"/>
      <c r="V5" s="12"/>
      <c r="W5" s="42"/>
      <c r="X5" s="42"/>
      <c r="Y5" s="43"/>
      <c r="Z5" s="43"/>
      <c r="AA5" s="43"/>
      <c r="AB5" s="43"/>
      <c r="AC5" s="44"/>
      <c r="AD5" s="44"/>
      <c r="AF5" s="1220"/>
      <c r="AK5" s="1191"/>
    </row>
    <row r="6" spans="1:91" s="45" customFormat="1" ht="21" customHeight="1" thickBot="1">
      <c r="A6" s="39"/>
      <c r="B6" s="1898"/>
      <c r="C6" s="1916"/>
      <c r="D6" s="1917"/>
      <c r="E6" s="1918"/>
      <c r="F6" s="1905"/>
      <c r="G6" s="1906"/>
      <c r="H6" s="50"/>
      <c r="I6" s="50"/>
      <c r="J6" s="50"/>
      <c r="K6" s="50"/>
      <c r="L6" s="50"/>
      <c r="M6" s="50"/>
      <c r="N6" s="50"/>
      <c r="O6" s="50"/>
      <c r="P6" s="1881" t="s">
        <v>18</v>
      </c>
      <c r="Q6" s="1882"/>
      <c r="R6" s="1882"/>
      <c r="S6" s="1882"/>
      <c r="T6" s="1883"/>
      <c r="U6" s="51"/>
      <c r="V6" s="12"/>
      <c r="W6" s="42"/>
      <c r="X6" s="42"/>
      <c r="Y6" s="43"/>
      <c r="Z6" s="43"/>
      <c r="AA6" s="43"/>
      <c r="AB6" s="43"/>
      <c r="AC6" s="44"/>
      <c r="AD6" s="44"/>
      <c r="AF6" s="1220"/>
      <c r="AK6" s="1191"/>
    </row>
    <row r="7" spans="1:91" s="45" customFormat="1" ht="20.100000000000001" customHeight="1" thickTop="1">
      <c r="A7" s="39"/>
      <c r="B7" s="52"/>
      <c r="C7" s="53"/>
      <c r="D7" s="54"/>
      <c r="E7" s="55"/>
      <c r="F7" s="52"/>
      <c r="G7" s="56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8"/>
      <c r="V7" s="12"/>
      <c r="Y7" s="44"/>
      <c r="Z7" s="44"/>
      <c r="AA7" s="44"/>
      <c r="AB7" s="44"/>
      <c r="AF7" s="1220"/>
      <c r="AK7" s="1191"/>
    </row>
    <row r="8" spans="1:91" s="45" customFormat="1" ht="15.75" customHeight="1">
      <c r="A8" s="59" t="s">
        <v>19</v>
      </c>
      <c r="B8" s="60" t="s">
        <v>20</v>
      </c>
      <c r="C8" s="60" t="s">
        <v>21</v>
      </c>
      <c r="D8" s="60" t="s">
        <v>22</v>
      </c>
      <c r="E8" s="60" t="s">
        <v>23</v>
      </c>
      <c r="F8" s="60" t="s">
        <v>24</v>
      </c>
      <c r="G8" s="61" t="s">
        <v>25</v>
      </c>
      <c r="H8" s="62" t="s">
        <v>26</v>
      </c>
      <c r="I8" s="62" t="s">
        <v>27</v>
      </c>
      <c r="J8" s="62" t="s">
        <v>28</v>
      </c>
      <c r="K8" s="62" t="s">
        <v>29</v>
      </c>
      <c r="L8" s="62" t="s">
        <v>30</v>
      </c>
      <c r="M8" s="62" t="s">
        <v>31</v>
      </c>
      <c r="N8" s="63" t="s">
        <v>32</v>
      </c>
      <c r="O8" s="57"/>
      <c r="P8" s="64" t="s">
        <v>33</v>
      </c>
      <c r="Q8" s="64" t="s">
        <v>34</v>
      </c>
      <c r="R8" s="64" t="s">
        <v>35</v>
      </c>
      <c r="S8" s="64" t="s">
        <v>36</v>
      </c>
      <c r="T8" s="65" t="s">
        <v>37</v>
      </c>
      <c r="U8" s="58"/>
      <c r="V8" s="12"/>
      <c r="Y8" s="44"/>
      <c r="Z8" s="44"/>
      <c r="AA8" s="44"/>
      <c r="AB8" s="44"/>
      <c r="AF8" s="1220"/>
      <c r="AK8" s="1191"/>
    </row>
    <row r="9" spans="1:91" s="45" customFormat="1" ht="14.25" customHeight="1" thickBot="1">
      <c r="A9" s="66"/>
      <c r="B9" s="67"/>
      <c r="C9" s="68"/>
      <c r="D9" s="69"/>
      <c r="E9" s="70"/>
      <c r="F9" s="67"/>
      <c r="G9" s="71"/>
      <c r="H9" s="917"/>
      <c r="I9" s="917"/>
      <c r="J9" s="917"/>
      <c r="K9" s="917"/>
      <c r="L9" s="917"/>
      <c r="M9" s="917"/>
      <c r="N9" s="917"/>
      <c r="O9" s="917"/>
      <c r="P9" s="917"/>
      <c r="Q9" s="917"/>
      <c r="R9" s="917"/>
      <c r="S9" s="917"/>
      <c r="T9" s="917"/>
      <c r="U9" s="917"/>
      <c r="V9" s="72"/>
      <c r="Y9" s="44"/>
      <c r="Z9" s="44"/>
      <c r="AA9" s="44"/>
      <c r="AB9" s="44"/>
      <c r="AF9" s="1220"/>
      <c r="AK9" s="1191"/>
    </row>
    <row r="10" spans="1:91" s="45" customFormat="1" ht="23.1" hidden="1" customHeight="1">
      <c r="A10" s="66"/>
      <c r="B10" s="67"/>
      <c r="C10" s="68"/>
      <c r="D10" s="69"/>
      <c r="E10" s="70"/>
      <c r="F10" s="67"/>
      <c r="G10" s="71"/>
      <c r="H10" s="917"/>
      <c r="I10" s="917"/>
      <c r="J10" s="917"/>
      <c r="K10" s="917"/>
      <c r="L10" s="917"/>
      <c r="M10" s="917"/>
      <c r="N10" s="917"/>
      <c r="O10" s="917"/>
      <c r="P10" s="917"/>
      <c r="Q10" s="917"/>
      <c r="R10" s="917"/>
      <c r="S10" s="917"/>
      <c r="T10" s="917"/>
      <c r="U10" s="917"/>
      <c r="V10" s="72"/>
      <c r="Y10" s="44"/>
      <c r="Z10" s="44"/>
      <c r="AA10" s="44"/>
      <c r="AB10" s="44"/>
      <c r="AF10" s="1220"/>
      <c r="AK10" s="1191"/>
    </row>
    <row r="11" spans="1:91" s="45" customFormat="1" ht="12.75" hidden="1" customHeight="1">
      <c r="A11" s="73" t="s">
        <v>38</v>
      </c>
      <c r="B11" s="74"/>
      <c r="C11" s="75" t="s">
        <v>39</v>
      </c>
      <c r="D11" s="76"/>
      <c r="E11" s="76"/>
      <c r="F11" s="76"/>
      <c r="G11" s="77">
        <f>+G16</f>
        <v>1224780</v>
      </c>
      <c r="H11" s="19"/>
      <c r="I11" s="19"/>
      <c r="J11" s="19"/>
      <c r="K11" s="19"/>
      <c r="L11" s="19"/>
      <c r="M11" s="19"/>
      <c r="N11" s="78">
        <v>689000</v>
      </c>
      <c r="O11" s="79"/>
      <c r="P11" s="80"/>
      <c r="Q11" s="81"/>
      <c r="R11" s="81"/>
      <c r="S11" s="82"/>
      <c r="T11" s="83"/>
      <c r="U11" s="79">
        <v>0</v>
      </c>
      <c r="V11" s="12" t="s">
        <v>9</v>
      </c>
      <c r="Y11" s="44"/>
      <c r="Z11" s="44"/>
      <c r="AA11" s="44"/>
      <c r="AB11" s="44"/>
      <c r="AF11" s="1220"/>
      <c r="AK11" s="1191"/>
    </row>
    <row r="12" spans="1:91" s="45" customFormat="1" ht="12.75" hidden="1" customHeight="1">
      <c r="A12" s="84" t="s">
        <v>40</v>
      </c>
      <c r="B12" s="85"/>
      <c r="C12" s="86"/>
      <c r="D12" s="87"/>
      <c r="E12" s="88"/>
      <c r="F12" s="89"/>
      <c r="G12" s="90"/>
      <c r="H12" s="91"/>
      <c r="I12" s="89"/>
      <c r="J12" s="89"/>
      <c r="K12" s="89"/>
      <c r="L12" s="92"/>
      <c r="M12" s="93"/>
      <c r="N12" s="94"/>
      <c r="O12" s="95"/>
      <c r="P12" s="96"/>
      <c r="Q12" s="97"/>
      <c r="R12" s="97"/>
      <c r="S12" s="98"/>
      <c r="T12" s="99"/>
      <c r="U12" s="79"/>
      <c r="V12" s="72"/>
      <c r="Y12" s="44"/>
      <c r="Z12" s="44"/>
      <c r="AA12" s="44"/>
      <c r="AB12" s="44"/>
      <c r="AF12" s="1220"/>
      <c r="AK12" s="1191"/>
    </row>
    <row r="13" spans="1:91" s="45" customFormat="1" ht="15.75" hidden="1" thickBot="1">
      <c r="A13" s="100" t="s">
        <v>41</v>
      </c>
      <c r="B13" s="101"/>
      <c r="C13" s="102" t="s">
        <v>42</v>
      </c>
      <c r="D13" s="574" t="s">
        <v>43</v>
      </c>
      <c r="E13" s="103">
        <v>298</v>
      </c>
      <c r="F13" s="25">
        <v>2760</v>
      </c>
      <c r="G13" s="26">
        <f>+F13*E13</f>
        <v>822480</v>
      </c>
      <c r="H13" s="27">
        <v>1300</v>
      </c>
      <c r="I13" s="25">
        <v>1726</v>
      </c>
      <c r="J13" s="25">
        <v>1</v>
      </c>
      <c r="K13" s="25">
        <v>1</v>
      </c>
      <c r="L13" s="28">
        <v>448760</v>
      </c>
      <c r="M13" s="29">
        <v>338000</v>
      </c>
      <c r="N13" s="29">
        <v>338000</v>
      </c>
      <c r="O13" s="95"/>
      <c r="P13" s="96"/>
      <c r="Q13" s="97">
        <v>13369</v>
      </c>
      <c r="R13" s="97">
        <v>267417</v>
      </c>
      <c r="S13" s="98">
        <v>57200</v>
      </c>
      <c r="T13" s="99"/>
      <c r="U13" s="79"/>
      <c r="V13" s="72">
        <v>10</v>
      </c>
      <c r="Y13" s="44"/>
      <c r="Z13" s="44"/>
      <c r="AA13" s="44"/>
      <c r="AB13" s="44"/>
      <c r="AF13" s="1220"/>
      <c r="AK13" s="1191"/>
    </row>
    <row r="14" spans="1:91" s="45" customFormat="1" ht="15.75" hidden="1" thickBot="1">
      <c r="A14" s="100" t="s">
        <v>44</v>
      </c>
      <c r="B14" s="101"/>
      <c r="C14" s="102" t="s">
        <v>45</v>
      </c>
      <c r="D14" s="104" t="s">
        <v>43</v>
      </c>
      <c r="E14" s="103">
        <v>298</v>
      </c>
      <c r="F14" s="25">
        <v>1350</v>
      </c>
      <c r="G14" s="26">
        <f t="shared" ref="G14" si="0">+F14*E14</f>
        <v>402300</v>
      </c>
      <c r="H14" s="27">
        <v>1350</v>
      </c>
      <c r="I14" s="25">
        <v>1793</v>
      </c>
      <c r="J14" s="25">
        <v>1</v>
      </c>
      <c r="K14" s="25"/>
      <c r="L14" s="28">
        <v>466180</v>
      </c>
      <c r="M14" s="29">
        <v>351000</v>
      </c>
      <c r="N14" s="29">
        <v>351000</v>
      </c>
      <c r="O14" s="95"/>
      <c r="P14" s="96"/>
      <c r="Q14" s="97">
        <v>351003</v>
      </c>
      <c r="R14" s="97"/>
      <c r="S14" s="98"/>
      <c r="T14" s="99"/>
      <c r="U14" s="79"/>
      <c r="V14" s="72">
        <v>11</v>
      </c>
      <c r="Y14" s="44"/>
      <c r="Z14" s="44"/>
      <c r="AA14" s="44"/>
      <c r="AB14" s="44"/>
      <c r="AF14" s="1220"/>
      <c r="AK14" s="1191"/>
    </row>
    <row r="15" spans="1:91" s="45" customFormat="1" ht="15.75" hidden="1" thickBot="1">
      <c r="A15" s="105"/>
      <c r="B15" s="106"/>
      <c r="C15" s="22"/>
      <c r="D15" s="23"/>
      <c r="E15" s="107"/>
      <c r="F15" s="25"/>
      <c r="G15" s="108"/>
      <c r="H15" s="27"/>
      <c r="I15" s="25"/>
      <c r="J15" s="25"/>
      <c r="K15" s="25"/>
      <c r="L15" s="109"/>
      <c r="M15" s="110"/>
      <c r="N15" s="111"/>
      <c r="O15" s="95"/>
      <c r="P15" s="96"/>
      <c r="Q15" s="97"/>
      <c r="R15" s="97"/>
      <c r="S15" s="98"/>
      <c r="T15" s="99"/>
      <c r="U15" s="79"/>
      <c r="V15" s="72"/>
      <c r="Y15" s="44"/>
      <c r="Z15" s="44"/>
      <c r="AA15" s="44"/>
      <c r="AB15" s="44"/>
      <c r="AF15" s="1220"/>
      <c r="AK15" s="1191"/>
    </row>
    <row r="16" spans="1:91" s="45" customFormat="1" ht="12.75" hidden="1" customHeight="1" thickBot="1">
      <c r="A16" s="112" t="s">
        <v>46</v>
      </c>
      <c r="B16" s="113"/>
      <c r="C16" s="114"/>
      <c r="D16" s="115"/>
      <c r="E16" s="116"/>
      <c r="F16" s="117" t="s">
        <v>47</v>
      </c>
      <c r="G16" s="118">
        <f>SUM(G13:G15)</f>
        <v>1224780</v>
      </c>
      <c r="H16" s="27"/>
      <c r="I16" s="25"/>
      <c r="J16" s="25"/>
      <c r="K16" s="25"/>
      <c r="L16" s="109"/>
      <c r="M16" s="110"/>
      <c r="N16" s="119">
        <v>689000</v>
      </c>
      <c r="O16" s="95"/>
      <c r="P16" s="120">
        <v>0</v>
      </c>
      <c r="Q16" s="121">
        <v>364372</v>
      </c>
      <c r="R16" s="121">
        <v>267417</v>
      </c>
      <c r="S16" s="122">
        <v>57200</v>
      </c>
      <c r="T16" s="123">
        <v>0</v>
      </c>
      <c r="U16" s="79"/>
      <c r="V16" s="72"/>
      <c r="Y16" s="44"/>
      <c r="Z16" s="44"/>
      <c r="AA16" s="44"/>
      <c r="AB16" s="44"/>
      <c r="AF16" s="1220"/>
      <c r="AK16" s="1191"/>
    </row>
    <row r="17" spans="1:39" s="45" customFormat="1" ht="23.1" hidden="1" customHeight="1" thickBot="1">
      <c r="A17" s="124"/>
      <c r="B17" s="67"/>
      <c r="C17" s="68"/>
      <c r="D17" s="69"/>
      <c r="E17" s="70"/>
      <c r="F17" s="67"/>
      <c r="G17" s="125"/>
      <c r="H17" s="917"/>
      <c r="I17" s="917"/>
      <c r="J17" s="917"/>
      <c r="K17" s="917"/>
      <c r="L17" s="917"/>
      <c r="M17" s="917"/>
      <c r="N17" s="917"/>
      <c r="O17" s="917"/>
      <c r="P17" s="917"/>
      <c r="Q17" s="917"/>
      <c r="R17" s="917"/>
      <c r="S17" s="917"/>
      <c r="T17" s="917"/>
      <c r="U17" s="917"/>
      <c r="V17" s="72"/>
      <c r="Y17" s="44"/>
      <c r="Z17" s="44"/>
      <c r="AA17" s="44"/>
      <c r="AB17" s="44"/>
      <c r="AF17" s="1220"/>
      <c r="AK17" s="1191"/>
    </row>
    <row r="18" spans="1:39" s="45" customFormat="1" ht="15.75" hidden="1" thickBot="1">
      <c r="A18" s="73" t="s">
        <v>38</v>
      </c>
      <c r="B18" s="74"/>
      <c r="C18" s="75" t="s">
        <v>48</v>
      </c>
      <c r="D18" s="76"/>
      <c r="E18" s="76"/>
      <c r="F18" s="76"/>
      <c r="G18" s="126">
        <f>+G24</f>
        <v>85268164</v>
      </c>
      <c r="H18" s="19"/>
      <c r="I18" s="19"/>
      <c r="J18" s="19"/>
      <c r="K18" s="19"/>
      <c r="L18" s="19"/>
      <c r="M18" s="19"/>
      <c r="N18" s="78">
        <v>495900</v>
      </c>
      <c r="O18" s="79"/>
      <c r="P18" s="80"/>
      <c r="Q18" s="81"/>
      <c r="R18" s="81"/>
      <c r="S18" s="82"/>
      <c r="T18" s="83"/>
      <c r="U18" s="79">
        <v>0</v>
      </c>
      <c r="V18" s="12" t="s">
        <v>9</v>
      </c>
      <c r="Y18" s="44"/>
      <c r="Z18" s="44"/>
      <c r="AA18" s="44"/>
      <c r="AB18" s="44"/>
      <c r="AF18" s="1220"/>
      <c r="AK18" s="1191"/>
    </row>
    <row r="19" spans="1:39" s="45" customFormat="1" ht="15.75" hidden="1" thickBot="1">
      <c r="A19" s="84" t="s">
        <v>40</v>
      </c>
      <c r="B19" s="85"/>
      <c r="C19" s="86"/>
      <c r="D19" s="87"/>
      <c r="E19" s="88"/>
      <c r="F19" s="89"/>
      <c r="G19" s="90"/>
      <c r="H19" s="91"/>
      <c r="I19" s="89"/>
      <c r="J19" s="89"/>
      <c r="K19" s="89"/>
      <c r="L19" s="92"/>
      <c r="M19" s="93"/>
      <c r="N19" s="94"/>
      <c r="O19" s="95"/>
      <c r="P19" s="96"/>
      <c r="Q19" s="97"/>
      <c r="R19" s="97"/>
      <c r="S19" s="98"/>
      <c r="T19" s="99"/>
      <c r="U19" s="79"/>
      <c r="V19" s="72"/>
      <c r="Y19" s="44"/>
      <c r="Z19" s="44"/>
      <c r="AA19" s="44"/>
      <c r="AB19" s="44"/>
      <c r="AF19" s="1220"/>
      <c r="AK19" s="1191"/>
    </row>
    <row r="20" spans="1:39" s="45" customFormat="1" ht="20.25" hidden="1" customHeight="1">
      <c r="A20" s="127" t="s">
        <v>49</v>
      </c>
      <c r="B20" s="128"/>
      <c r="C20" s="129" t="s">
        <v>50</v>
      </c>
      <c r="D20" s="130" t="s">
        <v>51</v>
      </c>
      <c r="E20" s="131">
        <f>(111+218+146+116+780+2150)*1.2</f>
        <v>4225.2</v>
      </c>
      <c r="F20" s="25">
        <v>2610</v>
      </c>
      <c r="G20" s="26">
        <f>+F20*E20</f>
        <v>11027772</v>
      </c>
      <c r="H20" s="27">
        <v>2610</v>
      </c>
      <c r="I20" s="25">
        <v>3466</v>
      </c>
      <c r="J20" s="25">
        <v>1</v>
      </c>
      <c r="K20" s="25"/>
      <c r="L20" s="28">
        <v>450580</v>
      </c>
      <c r="M20" s="29">
        <v>339300</v>
      </c>
      <c r="N20" s="29">
        <v>339300</v>
      </c>
      <c r="O20" s="95"/>
      <c r="P20" s="96"/>
      <c r="Q20" s="97">
        <v>339300</v>
      </c>
      <c r="R20" s="97"/>
      <c r="S20" s="98"/>
      <c r="T20" s="99"/>
      <c r="U20" s="79"/>
      <c r="V20" s="72">
        <v>13</v>
      </c>
      <c r="Y20" s="44"/>
      <c r="Z20" s="44"/>
      <c r="AA20" s="44"/>
      <c r="AB20" s="44"/>
      <c r="AF20" s="1220"/>
      <c r="AK20" s="1191"/>
    </row>
    <row r="21" spans="1:39" s="45" customFormat="1" ht="24.75" hidden="1" customHeight="1">
      <c r="A21" s="584"/>
      <c r="B21" s="592"/>
      <c r="C21" s="593" t="s">
        <v>481</v>
      </c>
      <c r="D21" s="130" t="s">
        <v>51</v>
      </c>
      <c r="E21" s="594">
        <f>7.2+5.3+7.5+6+20+15</f>
        <v>61</v>
      </c>
      <c r="F21" s="575">
        <v>74380</v>
      </c>
      <c r="G21" s="26">
        <f>+F21*E21</f>
        <v>4537180</v>
      </c>
      <c r="H21" s="576"/>
      <c r="I21" s="575"/>
      <c r="J21" s="575"/>
      <c r="K21" s="575"/>
      <c r="L21" s="577"/>
      <c r="M21" s="578"/>
      <c r="N21" s="578"/>
      <c r="O21" s="95"/>
      <c r="P21" s="579"/>
      <c r="Q21" s="580"/>
      <c r="R21" s="580"/>
      <c r="S21" s="581"/>
      <c r="T21" s="582"/>
      <c r="U21" s="79"/>
      <c r="V21" s="72"/>
      <c r="Y21" s="44"/>
      <c r="Z21" s="44"/>
      <c r="AA21" s="44"/>
      <c r="AB21" s="44"/>
      <c r="AF21" s="1220"/>
      <c r="AK21" s="1191"/>
    </row>
    <row r="22" spans="1:39" s="45" customFormat="1" ht="15.75" hidden="1" thickBot="1">
      <c r="A22" s="132" t="s">
        <v>52</v>
      </c>
      <c r="B22" s="133"/>
      <c r="C22" s="134" t="s">
        <v>474</v>
      </c>
      <c r="D22" s="135" t="s">
        <v>51</v>
      </c>
      <c r="E22" s="136">
        <f>+E20</f>
        <v>4225.2</v>
      </c>
      <c r="F22" s="25">
        <v>15560</v>
      </c>
      <c r="G22" s="26">
        <f>+F22*E22</f>
        <v>65744112</v>
      </c>
      <c r="H22" s="27">
        <v>2610</v>
      </c>
      <c r="I22" s="25">
        <v>3466</v>
      </c>
      <c r="J22" s="25">
        <v>1</v>
      </c>
      <c r="K22" s="25"/>
      <c r="L22" s="28">
        <v>207960</v>
      </c>
      <c r="M22" s="29">
        <v>156600</v>
      </c>
      <c r="N22" s="29">
        <v>156600</v>
      </c>
      <c r="O22" s="95"/>
      <c r="P22" s="96"/>
      <c r="Q22" s="97">
        <v>156600</v>
      </c>
      <c r="R22" s="97"/>
      <c r="S22" s="98"/>
      <c r="T22" s="99"/>
      <c r="U22" s="79"/>
      <c r="V22" s="72">
        <v>14</v>
      </c>
      <c r="Y22" s="44"/>
      <c r="Z22" s="44"/>
      <c r="AA22" s="44"/>
      <c r="AB22" s="44"/>
      <c r="AF22" s="1220"/>
      <c r="AK22" s="1191"/>
    </row>
    <row r="23" spans="1:39" s="45" customFormat="1" ht="15.75" hidden="1" thickBot="1">
      <c r="A23" s="105"/>
      <c r="B23" s="106"/>
      <c r="C23" s="22" t="s">
        <v>482</v>
      </c>
      <c r="D23" s="23" t="s">
        <v>483</v>
      </c>
      <c r="E23" s="107">
        <f>68+40+100+30+80</f>
        <v>318</v>
      </c>
      <c r="F23" s="25">
        <v>12450</v>
      </c>
      <c r="G23" s="26">
        <f>+F23*E23</f>
        <v>3959100</v>
      </c>
      <c r="H23" s="27"/>
      <c r="I23" s="25"/>
      <c r="J23" s="25"/>
      <c r="K23" s="25"/>
      <c r="L23" s="109"/>
      <c r="M23" s="110"/>
      <c r="N23" s="111"/>
      <c r="O23" s="95"/>
      <c r="P23" s="96"/>
      <c r="Q23" s="97"/>
      <c r="R23" s="97"/>
      <c r="S23" s="98"/>
      <c r="T23" s="99"/>
      <c r="U23" s="79"/>
      <c r="V23" s="72"/>
      <c r="Y23" s="44"/>
      <c r="Z23" s="44"/>
      <c r="AA23" s="44"/>
      <c r="AB23" s="44"/>
      <c r="AF23" s="1220"/>
      <c r="AK23" s="1191"/>
    </row>
    <row r="24" spans="1:39" s="45" customFormat="1" ht="15.75" hidden="1" thickBot="1">
      <c r="A24" s="112" t="s">
        <v>46</v>
      </c>
      <c r="B24" s="113"/>
      <c r="C24" s="114"/>
      <c r="D24" s="115"/>
      <c r="E24" s="116"/>
      <c r="F24" s="117" t="s">
        <v>54</v>
      </c>
      <c r="G24" s="137">
        <f>SUM(G20:G23)</f>
        <v>85268164</v>
      </c>
      <c r="H24" s="27"/>
      <c r="I24" s="25"/>
      <c r="J24" s="25"/>
      <c r="K24" s="25"/>
      <c r="L24" s="109"/>
      <c r="M24" s="110"/>
      <c r="N24" s="119">
        <v>495900</v>
      </c>
      <c r="O24" s="95"/>
      <c r="P24" s="120">
        <v>0</v>
      </c>
      <c r="Q24" s="121">
        <v>495900</v>
      </c>
      <c r="R24" s="121">
        <v>0</v>
      </c>
      <c r="S24" s="122">
        <v>0</v>
      </c>
      <c r="T24" s="123">
        <v>0</v>
      </c>
      <c r="U24" s="79"/>
      <c r="V24" s="72"/>
      <c r="Y24" s="44"/>
      <c r="Z24" s="44"/>
      <c r="AA24" s="44"/>
      <c r="AB24" s="44"/>
      <c r="AF24" s="1220"/>
      <c r="AK24" s="1191"/>
    </row>
    <row r="25" spans="1:39" s="45" customFormat="1" ht="45">
      <c r="A25" s="73"/>
      <c r="B25" s="74">
        <v>1</v>
      </c>
      <c r="C25" s="775" t="s">
        <v>1114</v>
      </c>
      <c r="D25" s="76"/>
      <c r="E25" s="76"/>
      <c r="F25" s="76"/>
      <c r="G25" s="126"/>
      <c r="H25" s="19"/>
      <c r="I25" s="19"/>
      <c r="J25" s="19"/>
      <c r="K25" s="19"/>
      <c r="L25" s="19"/>
      <c r="M25" s="19"/>
      <c r="N25" s="78"/>
      <c r="O25" s="79"/>
      <c r="P25" s="80"/>
      <c r="Q25" s="81"/>
      <c r="R25" s="81"/>
      <c r="S25" s="82"/>
      <c r="T25" s="83"/>
      <c r="U25" s="79"/>
      <c r="V25" s="12"/>
      <c r="Y25" s="44"/>
      <c r="Z25" s="44"/>
      <c r="AA25" s="44"/>
      <c r="AB25" s="44"/>
      <c r="AC25" s="1111">
        <v>1</v>
      </c>
      <c r="AD25" s="1112" t="s">
        <v>1114</v>
      </c>
      <c r="AE25" s="1061"/>
      <c r="AF25" s="1221"/>
      <c r="AG25" s="1061"/>
      <c r="AH25" s="1113"/>
      <c r="AI25" s="1112" t="s">
        <v>1114</v>
      </c>
      <c r="AJ25" s="1061"/>
      <c r="AK25" s="1192"/>
      <c r="AL25" s="1061"/>
      <c r="AM25" s="1113"/>
    </row>
    <row r="26" spans="1:39" s="45" customFormat="1" ht="15" customHeight="1">
      <c r="A26" s="124"/>
      <c r="B26" s="771">
        <v>1.1000000000000001</v>
      </c>
      <c r="C26" s="102" t="s">
        <v>975</v>
      </c>
      <c r="D26" s="772" t="s">
        <v>56</v>
      </c>
      <c r="E26" s="773">
        <v>964</v>
      </c>
      <c r="F26" s="587">
        <v>1320</v>
      </c>
      <c r="G26" s="774">
        <f>+F26*E26</f>
        <v>1272480</v>
      </c>
      <c r="H26" s="917"/>
      <c r="I26" s="917"/>
      <c r="J26" s="917"/>
      <c r="K26" s="917"/>
      <c r="L26" s="917"/>
      <c r="M26" s="917"/>
      <c r="N26" s="917"/>
      <c r="O26" s="917"/>
      <c r="P26" s="917"/>
      <c r="Q26" s="917"/>
      <c r="R26" s="917"/>
      <c r="S26" s="917"/>
      <c r="T26" s="917"/>
      <c r="U26" s="917"/>
      <c r="V26" s="72"/>
      <c r="Y26" s="44"/>
      <c r="Z26" s="44"/>
      <c r="AA26" s="102" t="s">
        <v>975</v>
      </c>
      <c r="AB26" s="772" t="s">
        <v>56</v>
      </c>
      <c r="AC26" s="771">
        <v>1.1000000000000001</v>
      </c>
      <c r="AD26" s="102" t="s">
        <v>975</v>
      </c>
      <c r="AE26" s="772" t="s">
        <v>56</v>
      </c>
      <c r="AF26" s="1222">
        <v>964</v>
      </c>
      <c r="AG26" s="587">
        <v>1320</v>
      </c>
      <c r="AH26" s="774">
        <f>+AG26*AF26</f>
        <v>1272480</v>
      </c>
      <c r="AI26" s="102" t="s">
        <v>975</v>
      </c>
      <c r="AJ26" s="772" t="s">
        <v>56</v>
      </c>
      <c r="AK26" s="1193">
        <v>964</v>
      </c>
      <c r="AL26" s="587">
        <v>1320</v>
      </c>
      <c r="AM26" s="774">
        <f>+AL26*AK26</f>
        <v>1272480</v>
      </c>
    </row>
    <row r="27" spans="1:39" s="45" customFormat="1" ht="15" customHeight="1">
      <c r="A27" s="124"/>
      <c r="B27" s="771">
        <f>+B26+0.1</f>
        <v>1.2000000000000002</v>
      </c>
      <c r="C27" s="102" t="s">
        <v>940</v>
      </c>
      <c r="D27" s="820" t="s">
        <v>56</v>
      </c>
      <c r="E27" s="773">
        <v>964</v>
      </c>
      <c r="F27" s="587">
        <v>1350</v>
      </c>
      <c r="G27" s="774">
        <f t="shared" ref="G27:G29" si="1">+F27*E27</f>
        <v>1301400</v>
      </c>
      <c r="H27" s="917"/>
      <c r="I27" s="917"/>
      <c r="J27" s="917"/>
      <c r="K27" s="917"/>
      <c r="L27" s="917"/>
      <c r="M27" s="917"/>
      <c r="N27" s="917"/>
      <c r="O27" s="917"/>
      <c r="P27" s="917"/>
      <c r="Q27" s="917"/>
      <c r="R27" s="917"/>
      <c r="S27" s="917"/>
      <c r="T27" s="917"/>
      <c r="U27" s="917"/>
      <c r="V27" s="72"/>
      <c r="W27" s="45">
        <f>890+6</f>
        <v>896</v>
      </c>
      <c r="Y27" s="44"/>
      <c r="Z27" s="44"/>
      <c r="AA27" s="102" t="s">
        <v>940</v>
      </c>
      <c r="AB27" s="820" t="s">
        <v>56</v>
      </c>
      <c r="AC27" s="771">
        <f>+AC26+0.1</f>
        <v>1.2000000000000002</v>
      </c>
      <c r="AD27" s="102" t="s">
        <v>940</v>
      </c>
      <c r="AE27" s="820" t="s">
        <v>56</v>
      </c>
      <c r="AF27" s="1222">
        <v>964</v>
      </c>
      <c r="AG27" s="587">
        <v>1350</v>
      </c>
      <c r="AH27" s="774">
        <f>+AG27*AF27</f>
        <v>1301400</v>
      </c>
      <c r="AI27" s="102" t="s">
        <v>940</v>
      </c>
      <c r="AJ27" s="820" t="s">
        <v>56</v>
      </c>
      <c r="AK27" s="1193">
        <v>964</v>
      </c>
      <c r="AL27" s="587">
        <v>1350</v>
      </c>
      <c r="AM27" s="774">
        <f>+AL27*AK27</f>
        <v>1301400</v>
      </c>
    </row>
    <row r="28" spans="1:39" s="45" customFormat="1" ht="15" customHeight="1">
      <c r="A28" s="124"/>
      <c r="B28" s="771">
        <f t="shared" ref="B28:B29" si="2">+B27+0.1</f>
        <v>1.3000000000000003</v>
      </c>
      <c r="C28" s="593" t="s">
        <v>974</v>
      </c>
      <c r="D28" s="827" t="s">
        <v>22</v>
      </c>
      <c r="E28" s="594">
        <v>1</v>
      </c>
      <c r="F28" s="575">
        <v>1533150</v>
      </c>
      <c r="G28" s="795">
        <f t="shared" si="1"/>
        <v>1533150</v>
      </c>
      <c r="H28" s="917"/>
      <c r="I28" s="917"/>
      <c r="J28" s="917"/>
      <c r="K28" s="917"/>
      <c r="L28" s="917"/>
      <c r="M28" s="917"/>
      <c r="N28" s="917"/>
      <c r="O28" s="917"/>
      <c r="P28" s="917"/>
      <c r="Q28" s="917"/>
      <c r="R28" s="917"/>
      <c r="S28" s="917"/>
      <c r="T28" s="917"/>
      <c r="U28" s="917"/>
      <c r="V28" s="72"/>
      <c r="Y28" s="44"/>
      <c r="Z28" s="44"/>
      <c r="AA28" s="593" t="s">
        <v>974</v>
      </c>
      <c r="AB28" s="827" t="s">
        <v>22</v>
      </c>
      <c r="AC28" s="771">
        <f>+AC27+0.1</f>
        <v>1.3000000000000003</v>
      </c>
      <c r="AD28" s="593" t="s">
        <v>974</v>
      </c>
      <c r="AE28" s="827" t="s">
        <v>22</v>
      </c>
      <c r="AF28" s="1223">
        <v>1</v>
      </c>
      <c r="AG28" s="575">
        <v>1533150</v>
      </c>
      <c r="AH28" s="795">
        <f>+AG28*AF28</f>
        <v>1533150</v>
      </c>
      <c r="AI28" s="593" t="s">
        <v>974</v>
      </c>
      <c r="AJ28" s="827" t="s">
        <v>22</v>
      </c>
      <c r="AK28" s="1194">
        <v>1</v>
      </c>
      <c r="AL28" s="575">
        <v>1533150</v>
      </c>
      <c r="AM28" s="795">
        <f>+AL28*AK28</f>
        <v>1533150</v>
      </c>
    </row>
    <row r="29" spans="1:39" s="45" customFormat="1" ht="15" customHeight="1" thickBot="1">
      <c r="A29" s="124"/>
      <c r="B29" s="771">
        <f t="shared" si="2"/>
        <v>1.4000000000000004</v>
      </c>
      <c r="C29" s="102" t="s">
        <v>1001</v>
      </c>
      <c r="D29" s="772" t="s">
        <v>56</v>
      </c>
      <c r="E29" s="780">
        <v>40</v>
      </c>
      <c r="F29" s="587">
        <v>29190</v>
      </c>
      <c r="G29" s="795">
        <f t="shared" si="1"/>
        <v>1167600</v>
      </c>
      <c r="H29" s="917"/>
      <c r="I29" s="917"/>
      <c r="J29" s="917"/>
      <c r="K29" s="917"/>
      <c r="L29" s="917"/>
      <c r="M29" s="917"/>
      <c r="N29" s="917"/>
      <c r="O29" s="917"/>
      <c r="P29" s="917"/>
      <c r="Q29" s="917"/>
      <c r="R29" s="917"/>
      <c r="S29" s="917"/>
      <c r="T29" s="917"/>
      <c r="U29" s="917"/>
      <c r="V29" s="72"/>
      <c r="Y29" s="44"/>
      <c r="Z29" s="44"/>
      <c r="AA29" s="102" t="s">
        <v>1001</v>
      </c>
      <c r="AB29" s="772" t="s">
        <v>56</v>
      </c>
      <c r="AC29" s="771">
        <f>+AC28+0.1</f>
        <v>1.4000000000000004</v>
      </c>
      <c r="AD29" s="102" t="s">
        <v>1001</v>
      </c>
      <c r="AE29" s="772" t="s">
        <v>56</v>
      </c>
      <c r="AF29" s="1222">
        <v>40</v>
      </c>
      <c r="AG29" s="587">
        <v>29190</v>
      </c>
      <c r="AH29" s="792">
        <f>+AG29*AF29</f>
        <v>1167600</v>
      </c>
      <c r="AI29" s="102" t="s">
        <v>1001</v>
      </c>
      <c r="AJ29" s="772" t="s">
        <v>56</v>
      </c>
      <c r="AK29" s="1193">
        <v>40</v>
      </c>
      <c r="AL29" s="587">
        <v>29190</v>
      </c>
      <c r="AM29" s="792">
        <f>+AL29*AK29</f>
        <v>1167600</v>
      </c>
    </row>
    <row r="30" spans="1:39" s="45" customFormat="1" ht="15" customHeight="1" thickBot="1">
      <c r="A30" s="124"/>
      <c r="B30" s="869"/>
      <c r="C30" s="1884" t="s">
        <v>982</v>
      </c>
      <c r="D30" s="1884"/>
      <c r="E30" s="1884"/>
      <c r="F30" s="1884"/>
      <c r="G30" s="870">
        <f>SUM(G26:G29)</f>
        <v>5274630</v>
      </c>
      <c r="H30" s="917"/>
      <c r="I30" s="917"/>
      <c r="J30" s="917"/>
      <c r="K30" s="917"/>
      <c r="L30" s="917"/>
      <c r="M30" s="917"/>
      <c r="N30" s="917"/>
      <c r="O30" s="917"/>
      <c r="P30" s="917"/>
      <c r="Q30" s="917"/>
      <c r="R30" s="917"/>
      <c r="S30" s="917"/>
      <c r="T30" s="917"/>
      <c r="U30" s="917"/>
      <c r="V30" s="72"/>
      <c r="Y30" s="44"/>
      <c r="Z30" s="44"/>
      <c r="AA30" s="1927" t="s">
        <v>982</v>
      </c>
      <c r="AB30" s="1927"/>
      <c r="AC30" s="1114"/>
      <c r="AD30" s="1927" t="s">
        <v>982</v>
      </c>
      <c r="AE30" s="1927"/>
      <c r="AF30" s="1927"/>
      <c r="AG30" s="1927"/>
      <c r="AH30" s="1115">
        <f>SUM(AH26:AH29)</f>
        <v>5274630</v>
      </c>
      <c r="AI30" s="1927" t="s">
        <v>982</v>
      </c>
      <c r="AJ30" s="1927"/>
      <c r="AK30" s="1927"/>
      <c r="AL30" s="1927"/>
      <c r="AM30" s="1115">
        <f>SUM(AM26:AM29)</f>
        <v>5274630</v>
      </c>
    </row>
    <row r="31" spans="1:39" s="45" customFormat="1" ht="15" customHeight="1" thickBot="1">
      <c r="A31" s="124"/>
      <c r="B31" s="823"/>
      <c r="C31" s="824"/>
      <c r="D31" s="821"/>
      <c r="E31" s="825"/>
      <c r="F31" s="43"/>
      <c r="G31" s="826"/>
      <c r="H31" s="917"/>
      <c r="I31" s="917"/>
      <c r="J31" s="917"/>
      <c r="K31" s="917"/>
      <c r="L31" s="917"/>
      <c r="M31" s="917"/>
      <c r="N31" s="917"/>
      <c r="O31" s="917"/>
      <c r="P31" s="917"/>
      <c r="Q31" s="917"/>
      <c r="R31" s="917"/>
      <c r="S31" s="917"/>
      <c r="T31" s="917"/>
      <c r="U31" s="917"/>
      <c r="V31" s="72"/>
      <c r="Y31" s="44"/>
      <c r="Z31" s="44"/>
      <c r="AA31" s="824"/>
      <c r="AB31" s="821"/>
      <c r="AC31" s="823"/>
      <c r="AD31" s="824"/>
      <c r="AE31" s="821"/>
      <c r="AF31" s="1224"/>
      <c r="AG31" s="43"/>
      <c r="AH31" s="826"/>
      <c r="AI31" s="824"/>
      <c r="AJ31" s="821"/>
      <c r="AK31" s="1195"/>
      <c r="AL31" s="43"/>
      <c r="AM31" s="826"/>
    </row>
    <row r="32" spans="1:39" s="45" customFormat="1" ht="15" customHeight="1">
      <c r="A32" s="124"/>
      <c r="B32" s="74">
        <v>2</v>
      </c>
      <c r="C32" s="75" t="s">
        <v>85</v>
      </c>
      <c r="D32" s="76"/>
      <c r="E32" s="76"/>
      <c r="F32" s="76"/>
      <c r="G32" s="126"/>
      <c r="H32" s="917"/>
      <c r="I32" s="917"/>
      <c r="J32" s="917"/>
      <c r="K32" s="917"/>
      <c r="L32" s="917"/>
      <c r="M32" s="917"/>
      <c r="N32" s="917"/>
      <c r="O32" s="917"/>
      <c r="P32" s="917"/>
      <c r="Q32" s="917"/>
      <c r="R32" s="917"/>
      <c r="S32" s="917"/>
      <c r="T32" s="917"/>
      <c r="U32" s="917"/>
      <c r="V32" s="72"/>
      <c r="Y32" s="44"/>
      <c r="Z32" s="44"/>
      <c r="AA32" s="1060" t="s">
        <v>85</v>
      </c>
      <c r="AB32" s="1061"/>
      <c r="AC32" s="1111">
        <v>2</v>
      </c>
      <c r="AD32" s="1060" t="s">
        <v>85</v>
      </c>
      <c r="AE32" s="1061"/>
      <c r="AF32" s="1221"/>
      <c r="AG32" s="1061"/>
      <c r="AH32" s="1113"/>
      <c r="AI32" s="1060" t="s">
        <v>85</v>
      </c>
      <c r="AJ32" s="1061"/>
      <c r="AK32" s="1192"/>
      <c r="AL32" s="1061"/>
      <c r="AM32" s="1113"/>
    </row>
    <row r="33" spans="1:39" s="45" customFormat="1" ht="15" customHeight="1">
      <c r="A33" s="124"/>
      <c r="B33" s="85"/>
      <c r="C33" s="86"/>
      <c r="D33" s="87"/>
      <c r="E33" s="88"/>
      <c r="F33" s="89"/>
      <c r="G33" s="90"/>
      <c r="H33" s="917"/>
      <c r="I33" s="917"/>
      <c r="J33" s="917"/>
      <c r="K33" s="917"/>
      <c r="L33" s="917"/>
      <c r="M33" s="917"/>
      <c r="N33" s="917"/>
      <c r="O33" s="917"/>
      <c r="P33" s="917"/>
      <c r="Q33" s="917"/>
      <c r="R33" s="917"/>
      <c r="S33" s="917"/>
      <c r="T33" s="917"/>
      <c r="U33" s="917"/>
      <c r="V33" s="72"/>
      <c r="Y33" s="44"/>
      <c r="Z33" s="44"/>
      <c r="AA33" s="86"/>
      <c r="AB33" s="87"/>
      <c r="AC33" s="85"/>
      <c r="AD33" s="86"/>
      <c r="AE33" s="87"/>
      <c r="AF33" s="1225"/>
      <c r="AG33" s="89"/>
      <c r="AH33" s="90"/>
      <c r="AI33" s="86"/>
      <c r="AJ33" s="87"/>
      <c r="AK33" s="1196"/>
      <c r="AL33" s="89"/>
      <c r="AM33" s="90"/>
    </row>
    <row r="34" spans="1:39" s="45" customFormat="1" ht="28.5" customHeight="1">
      <c r="A34" s="124"/>
      <c r="B34" s="592">
        <v>2.1</v>
      </c>
      <c r="C34" s="822" t="s">
        <v>86</v>
      </c>
      <c r="D34" s="827" t="s">
        <v>483</v>
      </c>
      <c r="E34" s="594">
        <v>360</v>
      </c>
      <c r="F34" s="575">
        <v>21831</v>
      </c>
      <c r="G34" s="795">
        <f>+F34*E34</f>
        <v>7859160</v>
      </c>
      <c r="H34" s="917"/>
      <c r="I34" s="917"/>
      <c r="J34" s="917"/>
      <c r="K34" s="917"/>
      <c r="L34" s="917"/>
      <c r="M34" s="917"/>
      <c r="N34" s="917"/>
      <c r="O34" s="917"/>
      <c r="P34" s="917"/>
      <c r="Q34" s="917"/>
      <c r="R34" s="917"/>
      <c r="S34" s="917"/>
      <c r="T34" s="917"/>
      <c r="U34" s="917"/>
      <c r="V34" s="72"/>
      <c r="Y34" s="44"/>
      <c r="Z34" s="44"/>
      <c r="AA34" s="822" t="s">
        <v>86</v>
      </c>
      <c r="AB34" s="827" t="s">
        <v>483</v>
      </c>
      <c r="AC34" s="592">
        <v>2.1</v>
      </c>
      <c r="AD34" s="822" t="s">
        <v>86</v>
      </c>
      <c r="AE34" s="827" t="s">
        <v>483</v>
      </c>
      <c r="AF34" s="1223">
        <v>360</v>
      </c>
      <c r="AG34" s="575">
        <v>21831</v>
      </c>
      <c r="AH34" s="795">
        <f>+AG34*AF34</f>
        <v>7859160</v>
      </c>
      <c r="AI34" s="822" t="s">
        <v>86</v>
      </c>
      <c r="AJ34" s="827" t="s">
        <v>483</v>
      </c>
      <c r="AK34" s="1194">
        <v>360</v>
      </c>
      <c r="AL34" s="575">
        <v>21831</v>
      </c>
      <c r="AM34" s="795">
        <f>+AL34*AK34</f>
        <v>7859160</v>
      </c>
    </row>
    <row r="35" spans="1:39" s="45" customFormat="1" ht="15" customHeight="1">
      <c r="A35" s="124"/>
      <c r="B35" s="592">
        <f>+B34+0.1</f>
        <v>2.2000000000000002</v>
      </c>
      <c r="C35" s="593" t="s">
        <v>87</v>
      </c>
      <c r="D35" s="827" t="s">
        <v>43</v>
      </c>
      <c r="E35" s="594">
        <f>+E34*2</f>
        <v>720</v>
      </c>
      <c r="F35" s="575">
        <v>20403</v>
      </c>
      <c r="G35" s="795">
        <f t="shared" ref="G35:G40" si="3">+F35*E35</f>
        <v>14690160</v>
      </c>
      <c r="H35" s="917"/>
      <c r="I35" s="917"/>
      <c r="J35" s="917"/>
      <c r="K35" s="917"/>
      <c r="L35" s="917"/>
      <c r="M35" s="917"/>
      <c r="N35" s="917"/>
      <c r="O35" s="917"/>
      <c r="P35" s="917"/>
      <c r="Q35" s="917"/>
      <c r="R35" s="917"/>
      <c r="S35" s="917"/>
      <c r="T35" s="917"/>
      <c r="U35" s="917"/>
      <c r="V35" s="72"/>
      <c r="Y35" s="44"/>
      <c r="Z35" s="44"/>
      <c r="AA35" s="593" t="s">
        <v>87</v>
      </c>
      <c r="AB35" s="827" t="s">
        <v>43</v>
      </c>
      <c r="AC35" s="592">
        <f t="shared" ref="AC35:AC40" si="4">+AC34+0.1</f>
        <v>2.2000000000000002</v>
      </c>
      <c r="AD35" s="593" t="s">
        <v>87</v>
      </c>
      <c r="AE35" s="827" t="s">
        <v>43</v>
      </c>
      <c r="AF35" s="1223">
        <f>+AF34*2</f>
        <v>720</v>
      </c>
      <c r="AG35" s="575">
        <v>20403</v>
      </c>
      <c r="AH35" s="795">
        <f t="shared" ref="AH35:AH40" si="5">+AG35*AF35</f>
        <v>14690160</v>
      </c>
      <c r="AI35" s="593" t="s">
        <v>87</v>
      </c>
      <c r="AJ35" s="827" t="s">
        <v>43</v>
      </c>
      <c r="AK35" s="1194">
        <f>+AK34*2</f>
        <v>720</v>
      </c>
      <c r="AL35" s="575">
        <v>20403</v>
      </c>
      <c r="AM35" s="795">
        <f t="shared" ref="AM35:AM40" si="6">+AL35*AK35</f>
        <v>14690160</v>
      </c>
    </row>
    <row r="36" spans="1:39" s="45" customFormat="1" ht="15" customHeight="1">
      <c r="A36" s="124"/>
      <c r="B36" s="592">
        <f t="shared" ref="B36:B40" si="7">+B35+0.1</f>
        <v>2.3000000000000003</v>
      </c>
      <c r="C36" s="593" t="s">
        <v>88</v>
      </c>
      <c r="D36" s="827" t="s">
        <v>483</v>
      </c>
      <c r="E36" s="594">
        <v>360</v>
      </c>
      <c r="F36" s="575">
        <v>25834</v>
      </c>
      <c r="G36" s="795">
        <f t="shared" si="3"/>
        <v>9300240</v>
      </c>
      <c r="H36" s="917"/>
      <c r="I36" s="917"/>
      <c r="J36" s="917"/>
      <c r="K36" s="917"/>
      <c r="L36" s="917"/>
      <c r="M36" s="917"/>
      <c r="N36" s="917"/>
      <c r="O36" s="917"/>
      <c r="P36" s="917"/>
      <c r="Q36" s="917"/>
      <c r="R36" s="917"/>
      <c r="S36" s="917"/>
      <c r="T36" s="917"/>
      <c r="U36" s="917"/>
      <c r="V36" s="72"/>
      <c r="Y36" s="44"/>
      <c r="Z36" s="44"/>
      <c r="AA36" s="593" t="s">
        <v>88</v>
      </c>
      <c r="AB36" s="827" t="s">
        <v>483</v>
      </c>
      <c r="AC36" s="592">
        <f t="shared" si="4"/>
        <v>2.3000000000000003</v>
      </c>
      <c r="AD36" s="593" t="s">
        <v>88</v>
      </c>
      <c r="AE36" s="827" t="s">
        <v>483</v>
      </c>
      <c r="AF36" s="1223">
        <v>360</v>
      </c>
      <c r="AG36" s="575">
        <v>25834</v>
      </c>
      <c r="AH36" s="795">
        <f t="shared" si="5"/>
        <v>9300240</v>
      </c>
      <c r="AI36" s="593" t="s">
        <v>88</v>
      </c>
      <c r="AJ36" s="827" t="s">
        <v>483</v>
      </c>
      <c r="AK36" s="1194">
        <v>360</v>
      </c>
      <c r="AL36" s="575">
        <v>25834</v>
      </c>
      <c r="AM36" s="795">
        <f t="shared" si="6"/>
        <v>9300240</v>
      </c>
    </row>
    <row r="37" spans="1:39" s="45" customFormat="1" ht="15" customHeight="1">
      <c r="A37" s="124"/>
      <c r="B37" s="592">
        <f t="shared" si="7"/>
        <v>2.4000000000000004</v>
      </c>
      <c r="C37" s="593" t="s">
        <v>89</v>
      </c>
      <c r="D37" s="827" t="s">
        <v>483</v>
      </c>
      <c r="E37" s="594">
        <v>100</v>
      </c>
      <c r="F37" s="575">
        <v>20326</v>
      </c>
      <c r="G37" s="795">
        <f t="shared" si="3"/>
        <v>2032600</v>
      </c>
      <c r="H37" s="917"/>
      <c r="I37" s="917"/>
      <c r="J37" s="917"/>
      <c r="K37" s="917"/>
      <c r="L37" s="917"/>
      <c r="M37" s="917"/>
      <c r="N37" s="917"/>
      <c r="O37" s="917"/>
      <c r="P37" s="917"/>
      <c r="Q37" s="917"/>
      <c r="R37" s="917"/>
      <c r="S37" s="917"/>
      <c r="T37" s="917"/>
      <c r="U37" s="917"/>
      <c r="V37" s="72"/>
      <c r="Y37" s="44"/>
      <c r="Z37" s="44"/>
      <c r="AA37" s="593" t="s">
        <v>89</v>
      </c>
      <c r="AB37" s="827" t="s">
        <v>483</v>
      </c>
      <c r="AC37" s="592">
        <f t="shared" si="4"/>
        <v>2.4000000000000004</v>
      </c>
      <c r="AD37" s="593" t="s">
        <v>89</v>
      </c>
      <c r="AE37" s="827" t="s">
        <v>483</v>
      </c>
      <c r="AF37" s="1223">
        <v>100</v>
      </c>
      <c r="AG37" s="575">
        <v>20326</v>
      </c>
      <c r="AH37" s="795">
        <f t="shared" si="5"/>
        <v>2032600</v>
      </c>
      <c r="AI37" s="593" t="s">
        <v>89</v>
      </c>
      <c r="AJ37" s="827" t="s">
        <v>483</v>
      </c>
      <c r="AK37" s="1194">
        <v>100</v>
      </c>
      <c r="AL37" s="575">
        <v>20326</v>
      </c>
      <c r="AM37" s="795">
        <f t="shared" si="6"/>
        <v>2032600</v>
      </c>
    </row>
    <row r="38" spans="1:39" s="45" customFormat="1" ht="15" customHeight="1">
      <c r="A38" s="124"/>
      <c r="B38" s="592">
        <f t="shared" si="7"/>
        <v>2.5000000000000004</v>
      </c>
      <c r="C38" s="593" t="s">
        <v>90</v>
      </c>
      <c r="D38" s="827" t="s">
        <v>483</v>
      </c>
      <c r="E38" s="594">
        <v>360</v>
      </c>
      <c r="F38" s="575">
        <v>1864</v>
      </c>
      <c r="G38" s="795">
        <f t="shared" si="3"/>
        <v>671040</v>
      </c>
      <c r="H38" s="917"/>
      <c r="I38" s="917"/>
      <c r="J38" s="917"/>
      <c r="K38" s="917"/>
      <c r="L38" s="917"/>
      <c r="M38" s="917"/>
      <c r="N38" s="917"/>
      <c r="O38" s="917"/>
      <c r="P38" s="917"/>
      <c r="Q38" s="917"/>
      <c r="R38" s="917"/>
      <c r="S38" s="917"/>
      <c r="T38" s="917"/>
      <c r="U38" s="917"/>
      <c r="V38" s="72"/>
      <c r="Y38" s="44"/>
      <c r="Z38" s="44"/>
      <c r="AA38" s="593" t="s">
        <v>90</v>
      </c>
      <c r="AB38" s="827" t="s">
        <v>483</v>
      </c>
      <c r="AC38" s="592">
        <f t="shared" si="4"/>
        <v>2.5000000000000004</v>
      </c>
      <c r="AD38" s="593" t="s">
        <v>90</v>
      </c>
      <c r="AE38" s="827" t="s">
        <v>483</v>
      </c>
      <c r="AF38" s="1223">
        <v>360</v>
      </c>
      <c r="AG38" s="575">
        <v>1864</v>
      </c>
      <c r="AH38" s="795">
        <f t="shared" si="5"/>
        <v>671040</v>
      </c>
      <c r="AI38" s="593" t="s">
        <v>90</v>
      </c>
      <c r="AJ38" s="827" t="s">
        <v>483</v>
      </c>
      <c r="AK38" s="1194">
        <v>360</v>
      </c>
      <c r="AL38" s="575">
        <v>1864</v>
      </c>
      <c r="AM38" s="795">
        <f t="shared" si="6"/>
        <v>671040</v>
      </c>
    </row>
    <row r="39" spans="1:39" s="45" customFormat="1" ht="15" customHeight="1">
      <c r="A39" s="124"/>
      <c r="B39" s="592">
        <f t="shared" si="7"/>
        <v>2.6000000000000005</v>
      </c>
      <c r="C39" s="593" t="s">
        <v>91</v>
      </c>
      <c r="D39" s="827" t="s">
        <v>977</v>
      </c>
      <c r="E39" s="594">
        <v>2</v>
      </c>
      <c r="F39" s="575">
        <v>618839</v>
      </c>
      <c r="G39" s="795">
        <f t="shared" si="3"/>
        <v>1237678</v>
      </c>
      <c r="H39" s="917"/>
      <c r="I39" s="917"/>
      <c r="J39" s="917"/>
      <c r="K39" s="917"/>
      <c r="L39" s="917"/>
      <c r="M39" s="917"/>
      <c r="N39" s="917"/>
      <c r="O39" s="917"/>
      <c r="P39" s="917"/>
      <c r="Q39" s="917"/>
      <c r="R39" s="917"/>
      <c r="S39" s="917"/>
      <c r="T39" s="917"/>
      <c r="U39" s="917"/>
      <c r="V39" s="72"/>
      <c r="Y39" s="44"/>
      <c r="Z39" s="44"/>
      <c r="AA39" s="593" t="s">
        <v>91</v>
      </c>
      <c r="AB39" s="827" t="s">
        <v>977</v>
      </c>
      <c r="AC39" s="592">
        <f t="shared" si="4"/>
        <v>2.6000000000000005</v>
      </c>
      <c r="AD39" s="593" t="s">
        <v>91</v>
      </c>
      <c r="AE39" s="827" t="s">
        <v>977</v>
      </c>
      <c r="AF39" s="1223">
        <v>2</v>
      </c>
      <c r="AG39" s="575">
        <v>618839</v>
      </c>
      <c r="AH39" s="795">
        <f t="shared" si="5"/>
        <v>1237678</v>
      </c>
      <c r="AI39" s="593" t="s">
        <v>91</v>
      </c>
      <c r="AJ39" s="827" t="s">
        <v>977</v>
      </c>
      <c r="AK39" s="1194">
        <v>2</v>
      </c>
      <c r="AL39" s="575">
        <v>618839</v>
      </c>
      <c r="AM39" s="795">
        <f t="shared" si="6"/>
        <v>1237678</v>
      </c>
    </row>
    <row r="40" spans="1:39" s="45" customFormat="1" ht="15" customHeight="1">
      <c r="A40" s="124"/>
      <c r="B40" s="592">
        <f t="shared" si="7"/>
        <v>2.7000000000000006</v>
      </c>
      <c r="C40" s="593" t="s">
        <v>92</v>
      </c>
      <c r="D40" s="827" t="s">
        <v>977</v>
      </c>
      <c r="E40" s="594">
        <v>1</v>
      </c>
      <c r="F40" s="575">
        <v>614676</v>
      </c>
      <c r="G40" s="795">
        <f t="shared" si="3"/>
        <v>614676</v>
      </c>
      <c r="H40" s="917"/>
      <c r="I40" s="917"/>
      <c r="J40" s="917"/>
      <c r="K40" s="917"/>
      <c r="L40" s="917"/>
      <c r="M40" s="917"/>
      <c r="N40" s="917"/>
      <c r="O40" s="917"/>
      <c r="P40" s="917"/>
      <c r="Q40" s="917"/>
      <c r="R40" s="917"/>
      <c r="S40" s="917"/>
      <c r="T40" s="917"/>
      <c r="U40" s="917"/>
      <c r="V40" s="72"/>
      <c r="Y40" s="44"/>
      <c r="Z40" s="44"/>
      <c r="AA40" s="593" t="s">
        <v>92</v>
      </c>
      <c r="AB40" s="827" t="s">
        <v>977</v>
      </c>
      <c r="AC40" s="592">
        <f t="shared" si="4"/>
        <v>2.7000000000000006</v>
      </c>
      <c r="AD40" s="593" t="s">
        <v>92</v>
      </c>
      <c r="AE40" s="827" t="s">
        <v>977</v>
      </c>
      <c r="AF40" s="1223">
        <v>1</v>
      </c>
      <c r="AG40" s="575">
        <v>614676</v>
      </c>
      <c r="AH40" s="795">
        <f t="shared" si="5"/>
        <v>614676</v>
      </c>
      <c r="AI40" s="593" t="s">
        <v>92</v>
      </c>
      <c r="AJ40" s="827" t="s">
        <v>977</v>
      </c>
      <c r="AK40" s="1194">
        <v>1</v>
      </c>
      <c r="AL40" s="575">
        <v>614676</v>
      </c>
      <c r="AM40" s="795">
        <f t="shared" si="6"/>
        <v>614676</v>
      </c>
    </row>
    <row r="41" spans="1:39" s="45" customFormat="1" ht="15" customHeight="1">
      <c r="A41" s="124"/>
      <c r="B41" s="592"/>
      <c r="C41" s="593"/>
      <c r="D41" s="827"/>
      <c r="E41" s="594"/>
      <c r="F41" s="575"/>
      <c r="G41" s="792"/>
      <c r="H41" s="917"/>
      <c r="I41" s="917"/>
      <c r="J41" s="917"/>
      <c r="K41" s="917"/>
      <c r="L41" s="917"/>
      <c r="M41" s="917"/>
      <c r="N41" s="917"/>
      <c r="O41" s="917"/>
      <c r="P41" s="917"/>
      <c r="Q41" s="917"/>
      <c r="R41" s="917"/>
      <c r="S41" s="917"/>
      <c r="T41" s="917"/>
      <c r="U41" s="917"/>
      <c r="V41" s="72"/>
      <c r="Y41" s="44"/>
      <c r="Z41" s="44"/>
      <c r="AA41" s="593"/>
      <c r="AB41" s="827"/>
      <c r="AC41" s="592"/>
      <c r="AD41" s="593"/>
      <c r="AE41" s="827"/>
      <c r="AF41" s="1223"/>
      <c r="AG41" s="575"/>
      <c r="AH41" s="792"/>
      <c r="AI41" s="593"/>
      <c r="AJ41" s="827"/>
      <c r="AK41" s="1194"/>
      <c r="AL41" s="575"/>
      <c r="AM41" s="792"/>
    </row>
    <row r="42" spans="1:39" s="45" customFormat="1" ht="15" customHeight="1" thickBot="1">
      <c r="A42" s="124"/>
      <c r="B42" s="871"/>
      <c r="C42" s="1884" t="s">
        <v>983</v>
      </c>
      <c r="D42" s="1884"/>
      <c r="E42" s="1884"/>
      <c r="F42" s="1884"/>
      <c r="G42" s="1004">
        <f>SUM(G34:G41)</f>
        <v>36405554</v>
      </c>
      <c r="H42" s="917"/>
      <c r="I42" s="917"/>
      <c r="J42" s="917"/>
      <c r="K42" s="917"/>
      <c r="L42" s="917"/>
      <c r="M42" s="917"/>
      <c r="N42" s="917"/>
      <c r="O42" s="917"/>
      <c r="P42" s="917"/>
      <c r="Q42" s="917"/>
      <c r="R42" s="917"/>
      <c r="S42" s="917"/>
      <c r="T42" s="917"/>
      <c r="U42" s="917"/>
      <c r="V42" s="72"/>
      <c r="Y42" s="44"/>
      <c r="Z42" s="44"/>
      <c r="AA42" s="1927" t="s">
        <v>983</v>
      </c>
      <c r="AB42" s="1927"/>
      <c r="AC42" s="1074"/>
      <c r="AD42" s="1927" t="s">
        <v>983</v>
      </c>
      <c r="AE42" s="1927"/>
      <c r="AF42" s="1927"/>
      <c r="AG42" s="1927"/>
      <c r="AH42" s="1115">
        <f>SUM(AH34:AH41)</f>
        <v>36405554</v>
      </c>
      <c r="AI42" s="1927" t="s">
        <v>983</v>
      </c>
      <c r="AJ42" s="1927"/>
      <c r="AK42" s="1927"/>
      <c r="AL42" s="1927"/>
      <c r="AM42" s="1115">
        <f>SUM(AM34:AM41)</f>
        <v>36405554</v>
      </c>
    </row>
    <row r="43" spans="1:39" s="45" customFormat="1" ht="15" customHeight="1">
      <c r="A43" s="124"/>
      <c r="B43" s="823"/>
      <c r="C43" s="824"/>
      <c r="D43" s="821"/>
      <c r="E43" s="825"/>
      <c r="F43" s="43"/>
      <c r="G43" s="826"/>
      <c r="H43" s="917"/>
      <c r="I43" s="917"/>
      <c r="J43" s="917"/>
      <c r="K43" s="917"/>
      <c r="L43" s="917"/>
      <c r="M43" s="917"/>
      <c r="N43" s="917"/>
      <c r="O43" s="917"/>
      <c r="P43" s="917"/>
      <c r="Q43" s="917"/>
      <c r="R43" s="917"/>
      <c r="S43" s="917"/>
      <c r="T43" s="917"/>
      <c r="U43" s="917"/>
      <c r="V43" s="72"/>
      <c r="Y43" s="44"/>
      <c r="Z43" s="44"/>
      <c r="AA43" s="824"/>
      <c r="AB43" s="821"/>
      <c r="AC43" s="823"/>
      <c r="AD43" s="824"/>
      <c r="AE43" s="821"/>
      <c r="AF43" s="1224"/>
      <c r="AG43" s="43"/>
      <c r="AH43" s="826"/>
      <c r="AI43" s="824"/>
      <c r="AJ43" s="821"/>
      <c r="AK43" s="1195"/>
      <c r="AL43" s="43"/>
      <c r="AM43" s="826"/>
    </row>
    <row r="44" spans="1:39" s="45" customFormat="1" ht="16.5" customHeight="1" thickBot="1">
      <c r="A44" s="124"/>
      <c r="B44" s="67"/>
      <c r="C44" s="102"/>
      <c r="D44" s="69"/>
      <c r="E44" s="70"/>
      <c r="F44" s="67"/>
      <c r="G44" s="125"/>
      <c r="H44" s="917"/>
      <c r="I44" s="917"/>
      <c r="J44" s="917"/>
      <c r="K44" s="917"/>
      <c r="L44" s="917"/>
      <c r="M44" s="917"/>
      <c r="N44" s="917"/>
      <c r="O44" s="917"/>
      <c r="P44" s="917"/>
      <c r="Q44" s="917"/>
      <c r="R44" s="917"/>
      <c r="S44" s="917"/>
      <c r="T44" s="917"/>
      <c r="U44" s="917"/>
      <c r="V44" s="72"/>
      <c r="Y44" s="44"/>
      <c r="Z44" s="44"/>
      <c r="AA44" s="102"/>
      <c r="AB44" s="69"/>
      <c r="AC44" s="67"/>
      <c r="AD44" s="102"/>
      <c r="AE44" s="69"/>
      <c r="AF44" s="1226"/>
      <c r="AG44" s="67"/>
      <c r="AH44" s="125"/>
      <c r="AI44" s="102"/>
      <c r="AJ44" s="69"/>
      <c r="AK44" s="1197"/>
      <c r="AL44" s="67"/>
      <c r="AM44" s="125"/>
    </row>
    <row r="45" spans="1:39" s="45" customFormat="1">
      <c r="A45" s="73" t="s">
        <v>38</v>
      </c>
      <c r="B45" s="74">
        <v>3</v>
      </c>
      <c r="C45" s="75" t="s">
        <v>956</v>
      </c>
      <c r="D45" s="76"/>
      <c r="E45" s="76"/>
      <c r="F45" s="76"/>
      <c r="G45" s="126"/>
      <c r="H45" s="19"/>
      <c r="I45" s="19"/>
      <c r="J45" s="19"/>
      <c r="K45" s="19"/>
      <c r="L45" s="19"/>
      <c r="M45" s="19"/>
      <c r="N45" s="78">
        <v>33292178</v>
      </c>
      <c r="O45" s="79"/>
      <c r="P45" s="80"/>
      <c r="Q45" s="81"/>
      <c r="R45" s="81"/>
      <c r="S45" s="82"/>
      <c r="T45" s="83"/>
      <c r="U45" s="79">
        <v>0</v>
      </c>
      <c r="V45" s="12" t="s">
        <v>9</v>
      </c>
      <c r="Y45" s="44"/>
      <c r="Z45" s="44"/>
      <c r="AA45" s="1060" t="s">
        <v>956</v>
      </c>
      <c r="AB45" s="1061"/>
      <c r="AC45" s="1111">
        <v>3</v>
      </c>
      <c r="AD45" s="1060" t="s">
        <v>956</v>
      </c>
      <c r="AE45" s="1061"/>
      <c r="AF45" s="1221"/>
      <c r="AG45" s="1061"/>
      <c r="AH45" s="1113"/>
      <c r="AI45" s="1060" t="s">
        <v>956</v>
      </c>
      <c r="AJ45" s="1061"/>
      <c r="AK45" s="1192"/>
      <c r="AL45" s="1061"/>
      <c r="AM45" s="1113"/>
    </row>
    <row r="46" spans="1:39" s="45" customFormat="1" ht="15" hidden="1" customHeight="1">
      <c r="A46" s="84" t="s">
        <v>40</v>
      </c>
      <c r="B46" s="85"/>
      <c r="C46" s="86"/>
      <c r="D46" s="87"/>
      <c r="E46" s="88"/>
      <c r="F46" s="89"/>
      <c r="G46" s="90"/>
      <c r="H46" s="91"/>
      <c r="I46" s="89"/>
      <c r="J46" s="89"/>
      <c r="K46" s="89"/>
      <c r="L46" s="92"/>
      <c r="M46" s="93"/>
      <c r="N46" s="94"/>
      <c r="O46" s="95"/>
      <c r="P46" s="96"/>
      <c r="Q46" s="97"/>
      <c r="R46" s="97"/>
      <c r="S46" s="98"/>
      <c r="T46" s="99"/>
      <c r="U46" s="79"/>
      <c r="V46" s="72"/>
      <c r="Y46" s="44"/>
      <c r="Z46" s="44"/>
      <c r="AA46" s="86"/>
      <c r="AB46" s="87"/>
      <c r="AC46" s="85"/>
      <c r="AD46" s="86"/>
      <c r="AE46" s="87"/>
      <c r="AF46" s="1225"/>
      <c r="AG46" s="89"/>
      <c r="AH46" s="90"/>
      <c r="AI46" s="86"/>
      <c r="AJ46" s="87"/>
      <c r="AK46" s="1196"/>
      <c r="AL46" s="89"/>
      <c r="AM46" s="90"/>
    </row>
    <row r="47" spans="1:39" s="45" customFormat="1">
      <c r="A47" s="586"/>
      <c r="B47" s="771"/>
      <c r="C47" s="788" t="s">
        <v>947</v>
      </c>
      <c r="D47" s="772"/>
      <c r="E47" s="773"/>
      <c r="F47" s="587"/>
      <c r="G47" s="774"/>
      <c r="H47" s="588"/>
      <c r="I47" s="587"/>
      <c r="J47" s="587"/>
      <c r="K47" s="587"/>
      <c r="L47" s="589"/>
      <c r="M47" s="590"/>
      <c r="N47" s="591"/>
      <c r="O47" s="95"/>
      <c r="P47" s="579"/>
      <c r="Q47" s="580"/>
      <c r="R47" s="580"/>
      <c r="S47" s="581"/>
      <c r="T47" s="582"/>
      <c r="U47" s="79"/>
      <c r="V47" s="621"/>
      <c r="Y47" s="44"/>
      <c r="Z47" s="44"/>
      <c r="AA47" s="788" t="s">
        <v>947</v>
      </c>
      <c r="AB47" s="772"/>
      <c r="AC47" s="771"/>
      <c r="AD47" s="788" t="s">
        <v>947</v>
      </c>
      <c r="AE47" s="772"/>
      <c r="AF47" s="1222"/>
      <c r="AG47" s="587"/>
      <c r="AH47" s="774"/>
      <c r="AI47" s="788" t="s">
        <v>947</v>
      </c>
      <c r="AJ47" s="772"/>
      <c r="AK47" s="1193"/>
      <c r="AL47" s="587"/>
      <c r="AM47" s="774"/>
    </row>
    <row r="48" spans="1:39" s="45" customFormat="1" ht="38.25">
      <c r="A48" s="586"/>
      <c r="B48" s="771">
        <v>3.1</v>
      </c>
      <c r="C48" s="102" t="s">
        <v>943</v>
      </c>
      <c r="D48" s="772" t="s">
        <v>139</v>
      </c>
      <c r="E48" s="780">
        <v>60</v>
      </c>
      <c r="F48" s="587">
        <v>2610</v>
      </c>
      <c r="G48" s="774">
        <f>+E48*F48</f>
        <v>156600</v>
      </c>
      <c r="H48" s="588"/>
      <c r="I48" s="587"/>
      <c r="J48" s="587"/>
      <c r="K48" s="587"/>
      <c r="L48" s="589"/>
      <c r="M48" s="590"/>
      <c r="N48" s="591"/>
      <c r="O48" s="95"/>
      <c r="P48" s="579"/>
      <c r="Q48" s="580"/>
      <c r="R48" s="580"/>
      <c r="S48" s="581"/>
      <c r="T48" s="582"/>
      <c r="U48" s="79"/>
      <c r="V48" s="621"/>
      <c r="Y48" s="44"/>
      <c r="Z48" s="44"/>
      <c r="AA48" s="102" t="s">
        <v>943</v>
      </c>
      <c r="AB48" s="772" t="s">
        <v>139</v>
      </c>
      <c r="AC48" s="771">
        <v>3.1</v>
      </c>
      <c r="AD48" s="102" t="s">
        <v>943</v>
      </c>
      <c r="AE48" s="772" t="s">
        <v>139</v>
      </c>
      <c r="AF48" s="1222">
        <v>60</v>
      </c>
      <c r="AG48" s="587">
        <v>2610</v>
      </c>
      <c r="AH48" s="774">
        <f>+AF48*AG48</f>
        <v>156600</v>
      </c>
      <c r="AI48" s="102" t="s">
        <v>943</v>
      </c>
      <c r="AJ48" s="772" t="s">
        <v>139</v>
      </c>
      <c r="AK48" s="1193">
        <v>60</v>
      </c>
      <c r="AL48" s="587">
        <v>2610</v>
      </c>
      <c r="AM48" s="774">
        <f>+AK48*AL48</f>
        <v>156600</v>
      </c>
    </row>
    <row r="49" spans="1:39" s="45" customFormat="1" ht="38.25">
      <c r="A49" s="586"/>
      <c r="B49" s="771">
        <f t="shared" ref="B49:B54" si="8">+B48+0.1</f>
        <v>3.2</v>
      </c>
      <c r="C49" s="102" t="s">
        <v>1101</v>
      </c>
      <c r="D49" s="772" t="s">
        <v>139</v>
      </c>
      <c r="E49" s="780">
        <v>20</v>
      </c>
      <c r="F49" s="587">
        <v>5190</v>
      </c>
      <c r="G49" s="774">
        <f t="shared" ref="G49:G54" si="9">+E49*F49</f>
        <v>103800</v>
      </c>
      <c r="H49" s="588"/>
      <c r="I49" s="587"/>
      <c r="J49" s="587"/>
      <c r="K49" s="587"/>
      <c r="L49" s="589"/>
      <c r="M49" s="590"/>
      <c r="N49" s="591"/>
      <c r="O49" s="95"/>
      <c r="P49" s="579"/>
      <c r="Q49" s="580"/>
      <c r="R49" s="580"/>
      <c r="S49" s="581"/>
      <c r="T49" s="582"/>
      <c r="U49" s="79"/>
      <c r="V49" s="621"/>
      <c r="Y49" s="44"/>
      <c r="Z49" s="44"/>
      <c r="AA49" s="102" t="s">
        <v>1101</v>
      </c>
      <c r="AB49" s="772" t="s">
        <v>139</v>
      </c>
      <c r="AC49" s="771">
        <f t="shared" ref="AC49:AC54" si="10">+AC48+0.1</f>
        <v>3.2</v>
      </c>
      <c r="AD49" s="102" t="s">
        <v>1101</v>
      </c>
      <c r="AE49" s="772" t="s">
        <v>139</v>
      </c>
      <c r="AF49" s="1222">
        <v>20</v>
      </c>
      <c r="AG49" s="587">
        <v>5190</v>
      </c>
      <c r="AH49" s="774">
        <f t="shared" ref="AH49:AH54" si="11">+AF49*AG49</f>
        <v>103800</v>
      </c>
      <c r="AI49" s="102" t="s">
        <v>1101</v>
      </c>
      <c r="AJ49" s="772" t="s">
        <v>139</v>
      </c>
      <c r="AK49" s="1193">
        <v>20</v>
      </c>
      <c r="AL49" s="587">
        <v>5190</v>
      </c>
      <c r="AM49" s="774">
        <f t="shared" ref="AM49:AM54" si="12">+AK49*AL49</f>
        <v>103800</v>
      </c>
    </row>
    <row r="50" spans="1:39" s="45" customFormat="1" ht="63.75">
      <c r="A50" s="586"/>
      <c r="B50" s="771">
        <f t="shared" si="8"/>
        <v>3.3000000000000003</v>
      </c>
      <c r="C50" s="102" t="s">
        <v>941</v>
      </c>
      <c r="D50" s="777" t="s">
        <v>139</v>
      </c>
      <c r="E50" s="780">
        <v>106</v>
      </c>
      <c r="F50" s="776">
        <v>10240</v>
      </c>
      <c r="G50" s="774">
        <f t="shared" si="9"/>
        <v>1085440</v>
      </c>
      <c r="H50" s="588"/>
      <c r="I50" s="587"/>
      <c r="J50" s="587"/>
      <c r="K50" s="587"/>
      <c r="L50" s="589"/>
      <c r="M50" s="590"/>
      <c r="N50" s="591"/>
      <c r="O50" s="95"/>
      <c r="P50" s="579"/>
      <c r="Q50" s="580"/>
      <c r="R50" s="580"/>
      <c r="S50" s="581"/>
      <c r="T50" s="582"/>
      <c r="U50" s="79"/>
      <c r="V50" s="621"/>
      <c r="Y50" s="44"/>
      <c r="Z50" s="44"/>
      <c r="AA50" s="102" t="s">
        <v>941</v>
      </c>
      <c r="AB50" s="777" t="s">
        <v>139</v>
      </c>
      <c r="AC50" s="771">
        <f t="shared" si="10"/>
        <v>3.3000000000000003</v>
      </c>
      <c r="AD50" s="102" t="s">
        <v>941</v>
      </c>
      <c r="AE50" s="777" t="s">
        <v>139</v>
      </c>
      <c r="AF50" s="1222">
        <v>106</v>
      </c>
      <c r="AG50" s="776">
        <v>10240</v>
      </c>
      <c r="AH50" s="774">
        <f t="shared" si="11"/>
        <v>1085440</v>
      </c>
      <c r="AI50" s="102" t="s">
        <v>941</v>
      </c>
      <c r="AJ50" s="777" t="s">
        <v>139</v>
      </c>
      <c r="AK50" s="1193">
        <v>106</v>
      </c>
      <c r="AL50" s="776">
        <v>10240</v>
      </c>
      <c r="AM50" s="774">
        <f t="shared" si="12"/>
        <v>1085440</v>
      </c>
    </row>
    <row r="51" spans="1:39" s="45" customFormat="1" ht="51">
      <c r="A51" s="586"/>
      <c r="B51" s="771">
        <f t="shared" si="8"/>
        <v>3.4000000000000004</v>
      </c>
      <c r="C51" s="102" t="s">
        <v>497</v>
      </c>
      <c r="D51" s="777" t="s">
        <v>56</v>
      </c>
      <c r="E51" s="780">
        <v>99</v>
      </c>
      <c r="F51" s="587">
        <v>17220</v>
      </c>
      <c r="G51" s="774">
        <f t="shared" si="9"/>
        <v>1704780</v>
      </c>
      <c r="H51" s="588"/>
      <c r="I51" s="587"/>
      <c r="J51" s="587"/>
      <c r="K51" s="587"/>
      <c r="L51" s="589"/>
      <c r="M51" s="590"/>
      <c r="N51" s="591"/>
      <c r="O51" s="95"/>
      <c r="P51" s="579"/>
      <c r="Q51" s="580"/>
      <c r="R51" s="580"/>
      <c r="S51" s="581"/>
      <c r="T51" s="582"/>
      <c r="U51" s="79"/>
      <c r="V51" s="621"/>
      <c r="Y51" s="44"/>
      <c r="Z51" s="44"/>
      <c r="AA51" s="102" t="s">
        <v>497</v>
      </c>
      <c r="AB51" s="777" t="s">
        <v>56</v>
      </c>
      <c r="AC51" s="771">
        <f t="shared" si="10"/>
        <v>3.4000000000000004</v>
      </c>
      <c r="AD51" s="102" t="s">
        <v>497</v>
      </c>
      <c r="AE51" s="777" t="s">
        <v>56</v>
      </c>
      <c r="AF51" s="1222">
        <v>99</v>
      </c>
      <c r="AG51" s="587">
        <v>17220</v>
      </c>
      <c r="AH51" s="774">
        <f t="shared" si="11"/>
        <v>1704780</v>
      </c>
      <c r="AI51" s="102" t="s">
        <v>497</v>
      </c>
      <c r="AJ51" s="777" t="s">
        <v>56</v>
      </c>
      <c r="AK51" s="1193">
        <v>99</v>
      </c>
      <c r="AL51" s="587">
        <v>17220</v>
      </c>
      <c r="AM51" s="774">
        <f t="shared" si="12"/>
        <v>1704780</v>
      </c>
    </row>
    <row r="52" spans="1:39" s="45" customFormat="1" ht="63.75">
      <c r="A52" s="586"/>
      <c r="B52" s="771">
        <f t="shared" si="8"/>
        <v>3.5000000000000004</v>
      </c>
      <c r="C52" s="782" t="s">
        <v>979</v>
      </c>
      <c r="D52" s="772" t="s">
        <v>139</v>
      </c>
      <c r="E52" s="780">
        <v>29</v>
      </c>
      <c r="F52" s="791">
        <v>573533</v>
      </c>
      <c r="G52" s="774">
        <f t="shared" si="9"/>
        <v>16632457</v>
      </c>
      <c r="H52" s="588"/>
      <c r="I52" s="587"/>
      <c r="J52" s="587"/>
      <c r="K52" s="587"/>
      <c r="L52" s="589"/>
      <c r="M52" s="590"/>
      <c r="N52" s="591"/>
      <c r="O52" s="95"/>
      <c r="P52" s="579"/>
      <c r="Q52" s="580"/>
      <c r="R52" s="580"/>
      <c r="S52" s="581"/>
      <c r="T52" s="582"/>
      <c r="U52" s="79"/>
      <c r="V52" s="621"/>
      <c r="Y52" s="44"/>
      <c r="Z52" s="44"/>
      <c r="AA52" s="1062" t="s">
        <v>979</v>
      </c>
      <c r="AB52" s="772" t="s">
        <v>139</v>
      </c>
      <c r="AC52" s="771">
        <f t="shared" si="10"/>
        <v>3.5000000000000004</v>
      </c>
      <c r="AD52" s="1062" t="s">
        <v>979</v>
      </c>
      <c r="AE52" s="772" t="s">
        <v>139</v>
      </c>
      <c r="AF52" s="1222">
        <v>29</v>
      </c>
      <c r="AG52" s="1047">
        <v>573533</v>
      </c>
      <c r="AH52" s="774">
        <f t="shared" si="11"/>
        <v>16632457</v>
      </c>
      <c r="AI52" s="1062" t="s">
        <v>979</v>
      </c>
      <c r="AJ52" s="772" t="s">
        <v>139</v>
      </c>
      <c r="AK52" s="1193">
        <v>29</v>
      </c>
      <c r="AL52" s="1047">
        <v>573533</v>
      </c>
      <c r="AM52" s="774">
        <f t="shared" si="12"/>
        <v>16632457</v>
      </c>
    </row>
    <row r="53" spans="1:39" s="45" customFormat="1" ht="63.75">
      <c r="A53" s="586"/>
      <c r="B53" s="771">
        <f t="shared" si="8"/>
        <v>3.6000000000000005</v>
      </c>
      <c r="C53" s="102" t="s">
        <v>976</v>
      </c>
      <c r="D53" s="772" t="s">
        <v>139</v>
      </c>
      <c r="E53" s="780">
        <v>43</v>
      </c>
      <c r="F53" s="587">
        <v>614040</v>
      </c>
      <c r="G53" s="774">
        <f t="shared" si="9"/>
        <v>26403720</v>
      </c>
      <c r="H53" s="588"/>
      <c r="I53" s="587"/>
      <c r="J53" s="587"/>
      <c r="K53" s="587"/>
      <c r="L53" s="589"/>
      <c r="M53" s="590"/>
      <c r="N53" s="591"/>
      <c r="O53" s="95"/>
      <c r="P53" s="579"/>
      <c r="Q53" s="580"/>
      <c r="R53" s="580"/>
      <c r="S53" s="581"/>
      <c r="T53" s="582"/>
      <c r="U53" s="79"/>
      <c r="V53" s="621"/>
      <c r="Y53" s="44"/>
      <c r="Z53" s="44"/>
      <c r="AA53" s="102" t="s">
        <v>976</v>
      </c>
      <c r="AB53" s="772" t="s">
        <v>139</v>
      </c>
      <c r="AC53" s="771">
        <f t="shared" si="10"/>
        <v>3.6000000000000005</v>
      </c>
      <c r="AD53" s="102" t="s">
        <v>976</v>
      </c>
      <c r="AE53" s="772" t="s">
        <v>139</v>
      </c>
      <c r="AF53" s="1222">
        <v>43</v>
      </c>
      <c r="AG53" s="587">
        <v>614040</v>
      </c>
      <c r="AH53" s="774">
        <f t="shared" si="11"/>
        <v>26403720</v>
      </c>
      <c r="AI53" s="102" t="s">
        <v>976</v>
      </c>
      <c r="AJ53" s="772" t="s">
        <v>139</v>
      </c>
      <c r="AK53" s="1193">
        <v>43</v>
      </c>
      <c r="AL53" s="587">
        <v>614040</v>
      </c>
      <c r="AM53" s="774">
        <f t="shared" si="12"/>
        <v>26403720</v>
      </c>
    </row>
    <row r="54" spans="1:39" s="45" customFormat="1" ht="51">
      <c r="A54" s="586"/>
      <c r="B54" s="771">
        <f t="shared" si="8"/>
        <v>3.7000000000000006</v>
      </c>
      <c r="C54" s="102" t="s">
        <v>980</v>
      </c>
      <c r="D54" s="772" t="s">
        <v>139</v>
      </c>
      <c r="E54" s="780">
        <v>3</v>
      </c>
      <c r="F54" s="587">
        <v>594610</v>
      </c>
      <c r="G54" s="774">
        <f t="shared" si="9"/>
        <v>1783830</v>
      </c>
      <c r="H54" s="588"/>
      <c r="I54" s="587"/>
      <c r="J54" s="587"/>
      <c r="K54" s="587"/>
      <c r="L54" s="589"/>
      <c r="M54" s="590"/>
      <c r="N54" s="591"/>
      <c r="O54" s="95"/>
      <c r="P54" s="579"/>
      <c r="Q54" s="580"/>
      <c r="R54" s="580"/>
      <c r="S54" s="581"/>
      <c r="T54" s="582"/>
      <c r="U54" s="79"/>
      <c r="V54" s="621"/>
      <c r="Y54" s="44"/>
      <c r="Z54" s="44"/>
      <c r="AA54" s="102" t="s">
        <v>980</v>
      </c>
      <c r="AB54" s="772" t="s">
        <v>139</v>
      </c>
      <c r="AC54" s="771">
        <f t="shared" si="10"/>
        <v>3.7000000000000006</v>
      </c>
      <c r="AD54" s="102" t="s">
        <v>980</v>
      </c>
      <c r="AE54" s="772" t="s">
        <v>139</v>
      </c>
      <c r="AF54" s="1222">
        <v>3</v>
      </c>
      <c r="AG54" s="587">
        <v>594610</v>
      </c>
      <c r="AH54" s="774">
        <f t="shared" si="11"/>
        <v>1783830</v>
      </c>
      <c r="AI54" s="102" t="s">
        <v>980</v>
      </c>
      <c r="AJ54" s="772" t="s">
        <v>139</v>
      </c>
      <c r="AK54" s="1193">
        <v>3</v>
      </c>
      <c r="AL54" s="587">
        <v>594610</v>
      </c>
      <c r="AM54" s="774">
        <f t="shared" si="12"/>
        <v>1783830</v>
      </c>
    </row>
    <row r="55" spans="1:39" s="45" customFormat="1">
      <c r="A55" s="586"/>
      <c r="B55" s="838"/>
      <c r="C55" s="215"/>
      <c r="D55" s="216"/>
      <c r="E55" s="829"/>
      <c r="F55" s="95"/>
      <c r="G55" s="836"/>
      <c r="H55" s="588"/>
      <c r="I55" s="587"/>
      <c r="J55" s="587"/>
      <c r="K55" s="587"/>
      <c r="L55" s="589"/>
      <c r="M55" s="590"/>
      <c r="N55" s="591"/>
      <c r="O55" s="95"/>
      <c r="P55" s="579"/>
      <c r="Q55" s="580"/>
      <c r="R55" s="580"/>
      <c r="S55" s="581"/>
      <c r="T55" s="582"/>
      <c r="U55" s="79"/>
      <c r="V55" s="621"/>
      <c r="Y55" s="44"/>
      <c r="Z55" s="44"/>
      <c r="AA55" s="215"/>
      <c r="AB55" s="216"/>
      <c r="AC55" s="838"/>
      <c r="AD55" s="215"/>
      <c r="AE55" s="216"/>
      <c r="AF55" s="1224"/>
      <c r="AG55" s="95"/>
      <c r="AH55" s="836"/>
      <c r="AI55" s="215"/>
      <c r="AJ55" s="216"/>
      <c r="AK55" s="1195"/>
      <c r="AL55" s="95"/>
      <c r="AM55" s="836"/>
    </row>
    <row r="56" spans="1:39" s="45" customFormat="1" ht="15.75" thickBot="1">
      <c r="A56" s="586"/>
      <c r="B56" s="113"/>
      <c r="C56" s="114"/>
      <c r="D56" s="115"/>
      <c r="E56" s="116"/>
      <c r="F56" s="789" t="s">
        <v>968</v>
      </c>
      <c r="G56" s="118">
        <f>SUM(G48:G55)</f>
        <v>47870627</v>
      </c>
      <c r="H56" s="588"/>
      <c r="I56" s="587"/>
      <c r="J56" s="587"/>
      <c r="K56" s="587"/>
      <c r="L56" s="589"/>
      <c r="M56" s="590"/>
      <c r="N56" s="591"/>
      <c r="O56" s="95"/>
      <c r="P56" s="579"/>
      <c r="Q56" s="580"/>
      <c r="R56" s="580"/>
      <c r="S56" s="581"/>
      <c r="T56" s="582"/>
      <c r="U56" s="79"/>
      <c r="V56" s="621"/>
      <c r="Y56" s="44"/>
      <c r="Z56" s="44"/>
      <c r="AA56" s="1064"/>
      <c r="AB56" s="1065"/>
      <c r="AC56" s="1116"/>
      <c r="AD56" s="1064"/>
      <c r="AE56" s="1065"/>
      <c r="AF56" s="1227"/>
      <c r="AG56" s="1067" t="s">
        <v>968</v>
      </c>
      <c r="AH56" s="1117">
        <f>SUM(AH48:AH55)</f>
        <v>47870627</v>
      </c>
      <c r="AI56" s="1064"/>
      <c r="AJ56" s="1065"/>
      <c r="AK56" s="1198"/>
      <c r="AL56" s="1067" t="s">
        <v>968</v>
      </c>
      <c r="AM56" s="1117">
        <f>SUM(AM48:AM55)</f>
        <v>47870627</v>
      </c>
    </row>
    <row r="57" spans="1:39" s="45" customFormat="1">
      <c r="A57" s="586"/>
      <c r="B57" s="771"/>
      <c r="C57" s="102"/>
      <c r="D57" s="772"/>
      <c r="E57" s="780"/>
      <c r="F57" s="587"/>
      <c r="G57" s="774"/>
      <c r="H57" s="588"/>
      <c r="I57" s="587"/>
      <c r="J57" s="587"/>
      <c r="K57" s="587"/>
      <c r="L57" s="589"/>
      <c r="M57" s="590"/>
      <c r="N57" s="591"/>
      <c r="O57" s="95"/>
      <c r="P57" s="579"/>
      <c r="Q57" s="580"/>
      <c r="R57" s="580"/>
      <c r="S57" s="581"/>
      <c r="T57" s="582"/>
      <c r="U57" s="79"/>
      <c r="V57" s="621"/>
      <c r="Y57" s="44"/>
      <c r="Z57" s="44"/>
      <c r="AA57" s="102"/>
      <c r="AB57" s="772"/>
      <c r="AC57" s="771"/>
      <c r="AD57" s="102"/>
      <c r="AE57" s="772"/>
      <c r="AF57" s="1222"/>
      <c r="AG57" s="587"/>
      <c r="AH57" s="774"/>
      <c r="AI57" s="102"/>
      <c r="AJ57" s="772"/>
      <c r="AK57" s="1193"/>
      <c r="AL57" s="587"/>
      <c r="AM57" s="774"/>
    </row>
    <row r="58" spans="1:39" s="45" customFormat="1">
      <c r="A58" s="586"/>
      <c r="B58" s="771"/>
      <c r="C58" s="787" t="s">
        <v>948</v>
      </c>
      <c r="D58" s="772"/>
      <c r="E58" s="780"/>
      <c r="F58" s="587"/>
      <c r="G58" s="774">
        <f>+E58*F59</f>
        <v>0</v>
      </c>
      <c r="H58" s="588"/>
      <c r="I58" s="587"/>
      <c r="J58" s="587"/>
      <c r="K58" s="587"/>
      <c r="L58" s="589"/>
      <c r="M58" s="590"/>
      <c r="N58" s="591"/>
      <c r="O58" s="95"/>
      <c r="P58" s="579"/>
      <c r="Q58" s="580"/>
      <c r="R58" s="580"/>
      <c r="S58" s="581"/>
      <c r="T58" s="582"/>
      <c r="U58" s="79"/>
      <c r="V58" s="621"/>
      <c r="Y58" s="44"/>
      <c r="Z58" s="44"/>
      <c r="AA58" s="787" t="s">
        <v>948</v>
      </c>
      <c r="AB58" s="772"/>
      <c r="AC58" s="771"/>
      <c r="AD58" s="787" t="s">
        <v>948</v>
      </c>
      <c r="AE58" s="772"/>
      <c r="AF58" s="1222"/>
      <c r="AG58" s="587"/>
      <c r="AH58" s="774">
        <f>+AF58*AG59</f>
        <v>0</v>
      </c>
      <c r="AI58" s="787" t="s">
        <v>948</v>
      </c>
      <c r="AJ58" s="772"/>
      <c r="AK58" s="1193"/>
      <c r="AL58" s="587"/>
      <c r="AM58" s="774">
        <f>+AK58*AL59</f>
        <v>0</v>
      </c>
    </row>
    <row r="59" spans="1:39" s="45" customFormat="1" ht="63.75">
      <c r="A59" s="586"/>
      <c r="B59" s="771">
        <v>3.8</v>
      </c>
      <c r="C59" s="102" t="s">
        <v>522</v>
      </c>
      <c r="D59" s="772" t="s">
        <v>142</v>
      </c>
      <c r="E59" s="780">
        <v>2400</v>
      </c>
      <c r="F59" s="773">
        <v>3100</v>
      </c>
      <c r="G59" s="774">
        <f>+F59*E59</f>
        <v>7440000</v>
      </c>
      <c r="H59" s="588"/>
      <c r="I59" s="587"/>
      <c r="J59" s="587"/>
      <c r="K59" s="587"/>
      <c r="L59" s="589"/>
      <c r="M59" s="590"/>
      <c r="N59" s="591"/>
      <c r="O59" s="95"/>
      <c r="P59" s="579"/>
      <c r="Q59" s="580"/>
      <c r="R59" s="580"/>
      <c r="S59" s="581"/>
      <c r="T59" s="582"/>
      <c r="U59" s="79"/>
      <c r="V59" s="621"/>
      <c r="Y59" s="44"/>
      <c r="Z59" s="44"/>
      <c r="AA59" s="102" t="s">
        <v>522</v>
      </c>
      <c r="AB59" s="772" t="s">
        <v>142</v>
      </c>
      <c r="AC59" s="771">
        <v>3.8</v>
      </c>
      <c r="AD59" s="102" t="s">
        <v>522</v>
      </c>
      <c r="AE59" s="772" t="s">
        <v>142</v>
      </c>
      <c r="AF59" s="1222">
        <v>2400</v>
      </c>
      <c r="AG59" s="773">
        <v>3100</v>
      </c>
      <c r="AH59" s="774">
        <f>+AF59*AG60</f>
        <v>10800000</v>
      </c>
      <c r="AI59" s="102" t="s">
        <v>522</v>
      </c>
      <c r="AJ59" s="772" t="s">
        <v>142</v>
      </c>
      <c r="AK59" s="1193">
        <v>2400</v>
      </c>
      <c r="AL59" s="773">
        <v>3100</v>
      </c>
      <c r="AM59" s="774">
        <f>+AK59*AL60</f>
        <v>10800000</v>
      </c>
    </row>
    <row r="60" spans="1:39" s="45" customFormat="1" ht="25.5">
      <c r="A60" s="586"/>
      <c r="B60" s="779">
        <v>3.1</v>
      </c>
      <c r="C60" s="102" t="s">
        <v>942</v>
      </c>
      <c r="D60" s="777" t="s">
        <v>56</v>
      </c>
      <c r="E60" s="780">
        <v>81</v>
      </c>
      <c r="F60" s="773">
        <v>4500</v>
      </c>
      <c r="G60" s="774">
        <f t="shared" ref="G60:G71" si="13">+F60*E60</f>
        <v>364500</v>
      </c>
      <c r="H60" s="588"/>
      <c r="I60" s="587"/>
      <c r="J60" s="587"/>
      <c r="K60" s="587"/>
      <c r="L60" s="589"/>
      <c r="M60" s="590"/>
      <c r="N60" s="591"/>
      <c r="O60" s="95"/>
      <c r="P60" s="579"/>
      <c r="Q60" s="580"/>
      <c r="R60" s="580"/>
      <c r="S60" s="581"/>
      <c r="T60" s="582"/>
      <c r="U60" s="79"/>
      <c r="V60" s="621"/>
      <c r="Y60" s="44"/>
      <c r="Z60" s="44"/>
      <c r="AA60" s="102" t="s">
        <v>942</v>
      </c>
      <c r="AB60" s="777" t="s">
        <v>56</v>
      </c>
      <c r="AC60" s="779">
        <v>3.1</v>
      </c>
      <c r="AD60" s="102" t="s">
        <v>942</v>
      </c>
      <c r="AE60" s="777" t="s">
        <v>56</v>
      </c>
      <c r="AF60" s="1222">
        <v>81</v>
      </c>
      <c r="AG60" s="773">
        <v>4500</v>
      </c>
      <c r="AH60" s="774">
        <f>+AF60*AG61</f>
        <v>5107050</v>
      </c>
      <c r="AI60" s="102" t="s">
        <v>942</v>
      </c>
      <c r="AJ60" s="777" t="s">
        <v>56</v>
      </c>
      <c r="AK60" s="1193">
        <v>81</v>
      </c>
      <c r="AL60" s="773">
        <v>4500</v>
      </c>
      <c r="AM60" s="774">
        <f>+AK60*AL61</f>
        <v>5107050</v>
      </c>
    </row>
    <row r="61" spans="1:39" s="45" customFormat="1" ht="38.25">
      <c r="A61" s="586"/>
      <c r="B61" s="779">
        <f>+B60+0.01</f>
        <v>3.11</v>
      </c>
      <c r="C61" s="102" t="s">
        <v>945</v>
      </c>
      <c r="D61" s="772" t="s">
        <v>139</v>
      </c>
      <c r="E61" s="780">
        <v>12</v>
      </c>
      <c r="F61" s="778">
        <v>63050</v>
      </c>
      <c r="G61" s="774">
        <f t="shared" si="13"/>
        <v>756600</v>
      </c>
      <c r="H61" s="588"/>
      <c r="I61" s="587"/>
      <c r="J61" s="587"/>
      <c r="K61" s="587"/>
      <c r="L61" s="589"/>
      <c r="M61" s="590"/>
      <c r="N61" s="591"/>
      <c r="O61" s="95"/>
      <c r="P61" s="579"/>
      <c r="Q61" s="580"/>
      <c r="R61" s="580"/>
      <c r="S61" s="581"/>
      <c r="T61" s="582"/>
      <c r="U61" s="79"/>
      <c r="V61" s="621"/>
      <c r="Y61" s="44"/>
      <c r="Z61" s="44"/>
      <c r="AA61" s="102" t="s">
        <v>945</v>
      </c>
      <c r="AB61" s="772" t="s">
        <v>139</v>
      </c>
      <c r="AC61" s="779">
        <f>+AC60+0.01</f>
        <v>3.11</v>
      </c>
      <c r="AD61" s="102" t="s">
        <v>945</v>
      </c>
      <c r="AE61" s="772" t="s">
        <v>139</v>
      </c>
      <c r="AF61" s="1222">
        <v>12</v>
      </c>
      <c r="AG61" s="778">
        <v>63050</v>
      </c>
      <c r="AH61" s="774">
        <f>+AF61*AG62</f>
        <v>351960</v>
      </c>
      <c r="AI61" s="102" t="s">
        <v>945</v>
      </c>
      <c r="AJ61" s="772" t="s">
        <v>139</v>
      </c>
      <c r="AK61" s="1193">
        <v>12</v>
      </c>
      <c r="AL61" s="778">
        <v>63050</v>
      </c>
      <c r="AM61" s="774">
        <f>+AK61*AL62</f>
        <v>351960</v>
      </c>
    </row>
    <row r="62" spans="1:39" s="45" customFormat="1" ht="25.5">
      <c r="A62" s="586"/>
      <c r="B62" s="779">
        <f t="shared" ref="B62:B80" si="14">+B61+0.01</f>
        <v>3.1199999999999997</v>
      </c>
      <c r="C62" s="102" t="s">
        <v>946</v>
      </c>
      <c r="D62" s="772" t="s">
        <v>540</v>
      </c>
      <c r="E62" s="780">
        <v>60</v>
      </c>
      <c r="F62" s="587">
        <v>29330</v>
      </c>
      <c r="G62" s="774">
        <f t="shared" si="13"/>
        <v>1759800</v>
      </c>
      <c r="H62" s="588"/>
      <c r="I62" s="587"/>
      <c r="J62" s="587"/>
      <c r="K62" s="587"/>
      <c r="L62" s="589"/>
      <c r="M62" s="590"/>
      <c r="N62" s="591"/>
      <c r="O62" s="95"/>
      <c r="P62" s="579"/>
      <c r="Q62" s="580"/>
      <c r="R62" s="580"/>
      <c r="S62" s="581"/>
      <c r="T62" s="582"/>
      <c r="U62" s="79"/>
      <c r="V62" s="621"/>
      <c r="Y62" s="44"/>
      <c r="Z62" s="44"/>
      <c r="AA62" s="102" t="s">
        <v>946</v>
      </c>
      <c r="AB62" s="772" t="s">
        <v>540</v>
      </c>
      <c r="AC62" s="779">
        <f t="shared" ref="AC62:AC80" si="15">+AC61+0.01</f>
        <v>3.1199999999999997</v>
      </c>
      <c r="AD62" s="102" t="s">
        <v>946</v>
      </c>
      <c r="AE62" s="772" t="s">
        <v>540</v>
      </c>
      <c r="AF62" s="1222">
        <v>60</v>
      </c>
      <c r="AG62" s="587">
        <v>29330</v>
      </c>
      <c r="AH62" s="774">
        <f>+AF62*AG63</f>
        <v>2924400</v>
      </c>
      <c r="AI62" s="102" t="s">
        <v>946</v>
      </c>
      <c r="AJ62" s="772" t="s">
        <v>540</v>
      </c>
      <c r="AK62" s="1193">
        <v>60</v>
      </c>
      <c r="AL62" s="587">
        <v>29330</v>
      </c>
      <c r="AM62" s="774">
        <f>+AK62*AL63</f>
        <v>2924400</v>
      </c>
    </row>
    <row r="63" spans="1:39" s="45" customFormat="1" ht="38.25">
      <c r="A63" s="586"/>
      <c r="B63" s="779">
        <f t="shared" si="14"/>
        <v>3.1299999999999994</v>
      </c>
      <c r="C63" s="102" t="s">
        <v>949</v>
      </c>
      <c r="D63" s="772" t="s">
        <v>540</v>
      </c>
      <c r="E63" s="773">
        <v>21</v>
      </c>
      <c r="F63" s="587">
        <v>48740</v>
      </c>
      <c r="G63" s="774">
        <f t="shared" si="13"/>
        <v>1023540</v>
      </c>
      <c r="H63" s="588"/>
      <c r="I63" s="587"/>
      <c r="J63" s="587"/>
      <c r="K63" s="587"/>
      <c r="L63" s="589"/>
      <c r="M63" s="590"/>
      <c r="N63" s="591"/>
      <c r="O63" s="95"/>
      <c r="P63" s="579"/>
      <c r="Q63" s="580"/>
      <c r="R63" s="580"/>
      <c r="S63" s="581"/>
      <c r="T63" s="582"/>
      <c r="U63" s="79"/>
      <c r="V63" s="621"/>
      <c r="Y63" s="44"/>
      <c r="Z63" s="44"/>
      <c r="AA63" s="102" t="s">
        <v>949</v>
      </c>
      <c r="AB63" s="772" t="s">
        <v>540</v>
      </c>
      <c r="AC63" s="779">
        <f t="shared" si="15"/>
        <v>3.1299999999999994</v>
      </c>
      <c r="AD63" s="102" t="s">
        <v>949</v>
      </c>
      <c r="AE63" s="772" t="s">
        <v>540</v>
      </c>
      <c r="AF63" s="1222">
        <v>21</v>
      </c>
      <c r="AG63" s="587">
        <v>48740</v>
      </c>
      <c r="AH63" s="774">
        <f>+AF63*AG65</f>
        <v>886200</v>
      </c>
      <c r="AI63" s="102" t="s">
        <v>949</v>
      </c>
      <c r="AJ63" s="772" t="s">
        <v>540</v>
      </c>
      <c r="AK63" s="1193">
        <v>21</v>
      </c>
      <c r="AL63" s="587">
        <v>48740</v>
      </c>
      <c r="AM63" s="774">
        <f>+AK63*AL65</f>
        <v>886200</v>
      </c>
    </row>
    <row r="64" spans="1:39" s="45" customFormat="1" ht="25.5">
      <c r="A64" s="586"/>
      <c r="B64" s="779">
        <f t="shared" si="14"/>
        <v>3.1399999999999992</v>
      </c>
      <c r="C64" s="782" t="s">
        <v>950</v>
      </c>
      <c r="D64" s="772" t="s">
        <v>540</v>
      </c>
      <c r="E64" s="773">
        <v>87</v>
      </c>
      <c r="F64" s="587">
        <v>18420</v>
      </c>
      <c r="G64" s="774">
        <f t="shared" si="13"/>
        <v>1602540</v>
      </c>
      <c r="H64" s="588"/>
      <c r="I64" s="587"/>
      <c r="J64" s="587"/>
      <c r="K64" s="587"/>
      <c r="L64" s="589"/>
      <c r="M64" s="590"/>
      <c r="N64" s="591"/>
      <c r="O64" s="95"/>
      <c r="P64" s="579"/>
      <c r="Q64" s="580"/>
      <c r="R64" s="580"/>
      <c r="S64" s="581"/>
      <c r="T64" s="582"/>
      <c r="U64" s="79"/>
      <c r="V64" s="621"/>
      <c r="Y64" s="44"/>
      <c r="Z64" s="44"/>
      <c r="AA64" s="1062" t="s">
        <v>950</v>
      </c>
      <c r="AB64" s="772" t="s">
        <v>540</v>
      </c>
      <c r="AC64" s="779">
        <f t="shared" si="15"/>
        <v>3.1399999999999992</v>
      </c>
      <c r="AD64" s="1062" t="s">
        <v>950</v>
      </c>
      <c r="AE64" s="772" t="s">
        <v>540</v>
      </c>
      <c r="AF64" s="1222">
        <v>87</v>
      </c>
      <c r="AG64" s="587">
        <v>18420</v>
      </c>
      <c r="AH64" s="774">
        <f>+AF64*AG64</f>
        <v>1602540</v>
      </c>
      <c r="AI64" s="1062" t="s">
        <v>950</v>
      </c>
      <c r="AJ64" s="772" t="s">
        <v>540</v>
      </c>
      <c r="AK64" s="1193">
        <v>87</v>
      </c>
      <c r="AL64" s="587">
        <v>18420</v>
      </c>
      <c r="AM64" s="774">
        <f>+AK64*AL64</f>
        <v>1602540</v>
      </c>
    </row>
    <row r="65" spans="1:39" s="45" customFormat="1" ht="26.25" customHeight="1">
      <c r="A65" s="586"/>
      <c r="B65" s="779">
        <f t="shared" si="14"/>
        <v>3.149999999999999</v>
      </c>
      <c r="C65" s="988" t="s">
        <v>937</v>
      </c>
      <c r="D65" s="820" t="s">
        <v>22</v>
      </c>
      <c r="E65" s="969">
        <v>170</v>
      </c>
      <c r="F65" s="858">
        <v>42200</v>
      </c>
      <c r="G65" s="774">
        <f t="shared" si="13"/>
        <v>7174000</v>
      </c>
      <c r="H65" s="588"/>
      <c r="I65" s="587"/>
      <c r="J65" s="587"/>
      <c r="K65" s="587"/>
      <c r="L65" s="589"/>
      <c r="M65" s="590"/>
      <c r="N65" s="591"/>
      <c r="O65" s="95"/>
      <c r="P65" s="579"/>
      <c r="Q65" s="580"/>
      <c r="R65" s="580"/>
      <c r="S65" s="581"/>
      <c r="T65" s="582"/>
      <c r="U65" s="79"/>
      <c r="V65" s="621"/>
      <c r="W65" s="45">
        <f>29100*1.16*1.25</f>
        <v>42195</v>
      </c>
      <c r="Y65" s="44"/>
      <c r="Z65" s="44"/>
      <c r="AA65" s="988" t="s">
        <v>937</v>
      </c>
      <c r="AB65" s="820" t="s">
        <v>22</v>
      </c>
      <c r="AC65" s="779">
        <f t="shared" si="15"/>
        <v>3.149999999999999</v>
      </c>
      <c r="AD65" s="988" t="s">
        <v>937</v>
      </c>
      <c r="AE65" s="820" t="s">
        <v>22</v>
      </c>
      <c r="AF65" s="1222">
        <v>170</v>
      </c>
      <c r="AG65" s="858">
        <v>42200</v>
      </c>
      <c r="AH65" s="990">
        <f t="shared" ref="AH65:AH80" si="16">+AF65*AG65</f>
        <v>7174000</v>
      </c>
      <c r="AI65" s="988" t="s">
        <v>937</v>
      </c>
      <c r="AJ65" s="820" t="s">
        <v>22</v>
      </c>
      <c r="AK65" s="1193">
        <v>170</v>
      </c>
      <c r="AL65" s="858">
        <v>42200</v>
      </c>
      <c r="AM65" s="990">
        <f t="shared" ref="AM65:AM80" si="17">+AK65*AL65</f>
        <v>7174000</v>
      </c>
    </row>
    <row r="66" spans="1:39" s="45" customFormat="1" ht="38.25">
      <c r="A66" s="586"/>
      <c r="B66" s="1251">
        <f t="shared" si="14"/>
        <v>3.1599999999999988</v>
      </c>
      <c r="C66" s="988" t="s">
        <v>952</v>
      </c>
      <c r="D66" s="820" t="s">
        <v>22</v>
      </c>
      <c r="E66" s="969">
        <v>6</v>
      </c>
      <c r="F66" s="850">
        <v>612360</v>
      </c>
      <c r="G66" s="774">
        <f t="shared" si="13"/>
        <v>3674160</v>
      </c>
      <c r="H66" s="588"/>
      <c r="I66" s="587"/>
      <c r="J66" s="587"/>
      <c r="K66" s="587"/>
      <c r="L66" s="589"/>
      <c r="M66" s="590"/>
      <c r="N66" s="591"/>
      <c r="O66" s="95"/>
      <c r="P66" s="579"/>
      <c r="Q66" s="580"/>
      <c r="R66" s="580"/>
      <c r="S66" s="581"/>
      <c r="T66" s="582"/>
      <c r="U66" s="79"/>
      <c r="V66" s="621"/>
      <c r="W66" s="45">
        <f>245000*1.16*1.1</f>
        <v>312620</v>
      </c>
      <c r="Y66" s="44"/>
      <c r="Z66" s="44"/>
      <c r="AA66" s="988" t="s">
        <v>952</v>
      </c>
      <c r="AB66" s="820" t="s">
        <v>22</v>
      </c>
      <c r="AC66" s="779">
        <f t="shared" si="15"/>
        <v>3.1599999999999988</v>
      </c>
      <c r="AD66" s="988" t="s">
        <v>952</v>
      </c>
      <c r="AE66" s="820" t="s">
        <v>22</v>
      </c>
      <c r="AF66" s="1222">
        <v>6</v>
      </c>
      <c r="AG66" s="1068">
        <v>612360</v>
      </c>
      <c r="AH66" s="990">
        <f t="shared" si="16"/>
        <v>3674160</v>
      </c>
      <c r="AI66" s="988" t="s">
        <v>952</v>
      </c>
      <c r="AJ66" s="820" t="s">
        <v>22</v>
      </c>
      <c r="AK66" s="1193">
        <v>6</v>
      </c>
      <c r="AL66" s="791">
        <v>612360</v>
      </c>
      <c r="AM66" s="990">
        <f t="shared" si="17"/>
        <v>3674160</v>
      </c>
    </row>
    <row r="67" spans="1:39" s="45" customFormat="1" ht="25.5">
      <c r="A67" s="586"/>
      <c r="B67" s="779">
        <f t="shared" si="14"/>
        <v>3.1699999999999986</v>
      </c>
      <c r="C67" s="102" t="s">
        <v>510</v>
      </c>
      <c r="D67" s="772" t="s">
        <v>22</v>
      </c>
      <c r="E67" s="773">
        <v>6</v>
      </c>
      <c r="F67" s="587">
        <v>1070400</v>
      </c>
      <c r="G67" s="774">
        <f t="shared" si="13"/>
        <v>6422400</v>
      </c>
      <c r="H67" s="588"/>
      <c r="I67" s="587"/>
      <c r="J67" s="587"/>
      <c r="K67" s="587"/>
      <c r="L67" s="589"/>
      <c r="M67" s="590"/>
      <c r="N67" s="591"/>
      <c r="O67" s="95"/>
      <c r="P67" s="579"/>
      <c r="Q67" s="580"/>
      <c r="R67" s="580"/>
      <c r="S67" s="581"/>
      <c r="T67" s="582"/>
      <c r="U67" s="79"/>
      <c r="V67" s="621"/>
      <c r="Y67" s="44"/>
      <c r="Z67" s="44"/>
      <c r="AA67" s="102" t="s">
        <v>510</v>
      </c>
      <c r="AB67" s="772" t="s">
        <v>22</v>
      </c>
      <c r="AC67" s="779">
        <f t="shared" si="15"/>
        <v>3.1699999999999986</v>
      </c>
      <c r="AD67" s="102" t="s">
        <v>510</v>
      </c>
      <c r="AE67" s="772" t="s">
        <v>22</v>
      </c>
      <c r="AF67" s="1222">
        <v>6</v>
      </c>
      <c r="AG67" s="587">
        <v>1070400</v>
      </c>
      <c r="AH67" s="774">
        <f t="shared" si="16"/>
        <v>6422400</v>
      </c>
      <c r="AI67" s="102" t="s">
        <v>510</v>
      </c>
      <c r="AJ67" s="772" t="s">
        <v>22</v>
      </c>
      <c r="AK67" s="1193">
        <v>6</v>
      </c>
      <c r="AL67" s="587">
        <v>1070400</v>
      </c>
      <c r="AM67" s="774">
        <f t="shared" si="17"/>
        <v>6422400</v>
      </c>
    </row>
    <row r="68" spans="1:39" s="45" customFormat="1" ht="25.5">
      <c r="A68" s="586"/>
      <c r="B68" s="779">
        <f t="shared" si="14"/>
        <v>3.1799999999999984</v>
      </c>
      <c r="C68" s="102" t="s">
        <v>537</v>
      </c>
      <c r="D68" s="772" t="s">
        <v>22</v>
      </c>
      <c r="E68" s="773">
        <v>6</v>
      </c>
      <c r="F68" s="587">
        <v>1328000</v>
      </c>
      <c r="G68" s="774">
        <f t="shared" si="13"/>
        <v>7968000</v>
      </c>
      <c r="H68" s="588"/>
      <c r="I68" s="587"/>
      <c r="J68" s="587"/>
      <c r="K68" s="587"/>
      <c r="L68" s="589"/>
      <c r="M68" s="590"/>
      <c r="N68" s="591"/>
      <c r="O68" s="95"/>
      <c r="P68" s="579"/>
      <c r="Q68" s="580"/>
      <c r="R68" s="580"/>
      <c r="S68" s="581"/>
      <c r="T68" s="582"/>
      <c r="U68" s="79"/>
      <c r="V68" s="621"/>
      <c r="Y68" s="44"/>
      <c r="Z68" s="44"/>
      <c r="AA68" s="102" t="s">
        <v>537</v>
      </c>
      <c r="AB68" s="772" t="s">
        <v>22</v>
      </c>
      <c r="AC68" s="779">
        <f t="shared" si="15"/>
        <v>3.1799999999999984</v>
      </c>
      <c r="AD68" s="102" t="s">
        <v>537</v>
      </c>
      <c r="AE68" s="772" t="s">
        <v>22</v>
      </c>
      <c r="AF68" s="1222">
        <v>6</v>
      </c>
      <c r="AG68" s="587">
        <v>1328000</v>
      </c>
      <c r="AH68" s="774">
        <f t="shared" si="16"/>
        <v>7968000</v>
      </c>
      <c r="AI68" s="102" t="s">
        <v>537</v>
      </c>
      <c r="AJ68" s="772" t="s">
        <v>22</v>
      </c>
      <c r="AK68" s="1193">
        <v>6</v>
      </c>
      <c r="AL68" s="587">
        <v>1328000</v>
      </c>
      <c r="AM68" s="774">
        <f t="shared" si="17"/>
        <v>7968000</v>
      </c>
    </row>
    <row r="69" spans="1:39" s="45" customFormat="1" ht="25.5">
      <c r="A69" s="586"/>
      <c r="B69" s="779">
        <f t="shared" si="14"/>
        <v>3.1899999999999982</v>
      </c>
      <c r="C69" s="102" t="s">
        <v>1472</v>
      </c>
      <c r="D69" s="772" t="s">
        <v>500</v>
      </c>
      <c r="E69" s="773">
        <v>22</v>
      </c>
      <c r="F69" s="587">
        <v>80874</v>
      </c>
      <c r="G69" s="774">
        <f t="shared" si="13"/>
        <v>1779228</v>
      </c>
      <c r="H69" s="588"/>
      <c r="I69" s="587"/>
      <c r="J69" s="587"/>
      <c r="K69" s="587"/>
      <c r="L69" s="589"/>
      <c r="M69" s="590"/>
      <c r="N69" s="591"/>
      <c r="O69" s="95"/>
      <c r="P69" s="579"/>
      <c r="Q69" s="580"/>
      <c r="R69" s="580"/>
      <c r="S69" s="581"/>
      <c r="T69" s="582"/>
      <c r="U69" s="79"/>
      <c r="V69" s="621"/>
      <c r="Y69" s="44"/>
      <c r="Z69" s="44"/>
      <c r="AA69" s="102" t="s">
        <v>1472</v>
      </c>
      <c r="AB69" s="772" t="s">
        <v>500</v>
      </c>
      <c r="AC69" s="779">
        <f t="shared" si="15"/>
        <v>3.1899999999999982</v>
      </c>
      <c r="AD69" s="102" t="s">
        <v>1472</v>
      </c>
      <c r="AE69" s="772" t="s">
        <v>500</v>
      </c>
      <c r="AF69" s="1222">
        <v>22</v>
      </c>
      <c r="AG69" s="587">
        <v>80874</v>
      </c>
      <c r="AH69" s="774">
        <f t="shared" si="16"/>
        <v>1779228</v>
      </c>
      <c r="AI69" s="102" t="s">
        <v>1472</v>
      </c>
      <c r="AJ69" s="772" t="s">
        <v>500</v>
      </c>
      <c r="AK69" s="1193">
        <v>22</v>
      </c>
      <c r="AL69" s="587">
        <v>80874</v>
      </c>
      <c r="AM69" s="774">
        <f t="shared" si="17"/>
        <v>1779228</v>
      </c>
    </row>
    <row r="70" spans="1:39" s="45" customFormat="1" ht="25.5">
      <c r="A70" s="586"/>
      <c r="B70" s="779">
        <f t="shared" si="14"/>
        <v>3.199999999999998</v>
      </c>
      <c r="C70" s="102" t="s">
        <v>1473</v>
      </c>
      <c r="D70" s="772" t="s">
        <v>500</v>
      </c>
      <c r="E70" s="773">
        <v>22</v>
      </c>
      <c r="F70" s="587">
        <v>74874</v>
      </c>
      <c r="G70" s="774">
        <f t="shared" si="13"/>
        <v>1647228</v>
      </c>
      <c r="H70" s="588"/>
      <c r="I70" s="587"/>
      <c r="J70" s="587"/>
      <c r="K70" s="587"/>
      <c r="L70" s="589"/>
      <c r="M70" s="590"/>
      <c r="N70" s="591"/>
      <c r="O70" s="95"/>
      <c r="P70" s="579"/>
      <c r="Q70" s="580"/>
      <c r="R70" s="580"/>
      <c r="S70" s="581"/>
      <c r="T70" s="582"/>
      <c r="U70" s="79"/>
      <c r="V70" s="621"/>
      <c r="Y70" s="44"/>
      <c r="Z70" s="44"/>
      <c r="AA70" s="102" t="s">
        <v>1473</v>
      </c>
      <c r="AB70" s="772" t="s">
        <v>500</v>
      </c>
      <c r="AC70" s="779">
        <f t="shared" si="15"/>
        <v>3.199999999999998</v>
      </c>
      <c r="AD70" s="102" t="s">
        <v>1473</v>
      </c>
      <c r="AE70" s="772" t="s">
        <v>500</v>
      </c>
      <c r="AF70" s="1222">
        <v>22</v>
      </c>
      <c r="AG70" s="587">
        <v>74874</v>
      </c>
      <c r="AH70" s="774">
        <f t="shared" si="16"/>
        <v>1647228</v>
      </c>
      <c r="AI70" s="102" t="s">
        <v>1473</v>
      </c>
      <c r="AJ70" s="772" t="s">
        <v>500</v>
      </c>
      <c r="AK70" s="1193">
        <v>22</v>
      </c>
      <c r="AL70" s="587">
        <v>74874</v>
      </c>
      <c r="AM70" s="774">
        <f t="shared" si="17"/>
        <v>1647228</v>
      </c>
    </row>
    <row r="71" spans="1:39" s="45" customFormat="1" ht="15.75" customHeight="1">
      <c r="A71" s="586"/>
      <c r="B71" s="779">
        <f t="shared" si="14"/>
        <v>3.2099999999999977</v>
      </c>
      <c r="C71" s="102" t="s">
        <v>509</v>
      </c>
      <c r="D71" s="772" t="s">
        <v>56</v>
      </c>
      <c r="E71" s="773">
        <v>77</v>
      </c>
      <c r="F71" s="587">
        <v>150170</v>
      </c>
      <c r="G71" s="774">
        <f t="shared" si="13"/>
        <v>11563090</v>
      </c>
      <c r="H71" s="588"/>
      <c r="I71" s="587"/>
      <c r="J71" s="587"/>
      <c r="K71" s="587"/>
      <c r="L71" s="589"/>
      <c r="M71" s="590"/>
      <c r="N71" s="591"/>
      <c r="O71" s="95"/>
      <c r="P71" s="579"/>
      <c r="Q71" s="580"/>
      <c r="R71" s="580"/>
      <c r="S71" s="581"/>
      <c r="T71" s="582"/>
      <c r="U71" s="79"/>
      <c r="V71" s="621"/>
      <c r="W71" s="215"/>
      <c r="X71" s="830"/>
      <c r="Y71" s="829"/>
      <c r="Z71" s="95"/>
      <c r="AA71" s="102" t="s">
        <v>509</v>
      </c>
      <c r="AB71" s="772" t="s">
        <v>56</v>
      </c>
      <c r="AC71" s="779">
        <f t="shared" si="15"/>
        <v>3.2099999999999977</v>
      </c>
      <c r="AD71" s="102" t="s">
        <v>509</v>
      </c>
      <c r="AE71" s="772" t="s">
        <v>56</v>
      </c>
      <c r="AF71" s="1222">
        <v>77</v>
      </c>
      <c r="AG71" s="587">
        <v>150170</v>
      </c>
      <c r="AH71" s="774">
        <f t="shared" si="16"/>
        <v>11563090</v>
      </c>
      <c r="AI71" s="102" t="s">
        <v>509</v>
      </c>
      <c r="AJ71" s="772" t="s">
        <v>56</v>
      </c>
      <c r="AK71" s="1193">
        <v>77</v>
      </c>
      <c r="AL71" s="587">
        <v>150170</v>
      </c>
      <c r="AM71" s="774">
        <f t="shared" si="17"/>
        <v>11563090</v>
      </c>
    </row>
    <row r="72" spans="1:39" s="45" customFormat="1" ht="98.25" customHeight="1">
      <c r="A72" s="586"/>
      <c r="B72" s="779">
        <f t="shared" si="14"/>
        <v>3.2199999999999975</v>
      </c>
      <c r="C72" s="777" t="s">
        <v>953</v>
      </c>
      <c r="D72" s="772"/>
      <c r="E72" s="773"/>
      <c r="F72" s="587"/>
      <c r="G72" s="774">
        <f t="shared" ref="G72:G80" si="18">+E72*F72</f>
        <v>0</v>
      </c>
      <c r="H72" s="588"/>
      <c r="I72" s="587"/>
      <c r="J72" s="587"/>
      <c r="K72" s="587"/>
      <c r="L72" s="589"/>
      <c r="M72" s="590"/>
      <c r="N72" s="591"/>
      <c r="O72" s="95"/>
      <c r="P72" s="579"/>
      <c r="Q72" s="580"/>
      <c r="R72" s="580"/>
      <c r="S72" s="581"/>
      <c r="T72" s="582"/>
      <c r="U72" s="79"/>
      <c r="V72" s="621"/>
      <c r="Y72" s="44"/>
      <c r="Z72" s="44"/>
      <c r="AA72" s="102" t="s">
        <v>1474</v>
      </c>
      <c r="AB72" s="772"/>
      <c r="AC72" s="779">
        <f t="shared" si="15"/>
        <v>3.2199999999999975</v>
      </c>
      <c r="AD72" s="102" t="s">
        <v>1474</v>
      </c>
      <c r="AE72" s="772"/>
      <c r="AF72" s="1222"/>
      <c r="AG72" s="587"/>
      <c r="AH72" s="774">
        <f t="shared" si="16"/>
        <v>0</v>
      </c>
      <c r="AI72" s="102" t="s">
        <v>1474</v>
      </c>
      <c r="AJ72" s="772"/>
      <c r="AK72" s="1193"/>
      <c r="AL72" s="587"/>
      <c r="AM72" s="774">
        <f t="shared" si="17"/>
        <v>0</v>
      </c>
    </row>
    <row r="73" spans="1:39" s="45" customFormat="1" ht="38.25">
      <c r="A73" s="586"/>
      <c r="B73" s="857" t="s">
        <v>1032</v>
      </c>
      <c r="C73" s="988" t="s">
        <v>954</v>
      </c>
      <c r="D73" s="820" t="s">
        <v>22</v>
      </c>
      <c r="E73" s="969">
        <v>3</v>
      </c>
      <c r="F73" s="858">
        <v>8569935</v>
      </c>
      <c r="G73" s="990">
        <f t="shared" si="18"/>
        <v>25709805</v>
      </c>
      <c r="H73" s="588"/>
      <c r="I73" s="587"/>
      <c r="J73" s="587"/>
      <c r="K73" s="587"/>
      <c r="L73" s="589"/>
      <c r="M73" s="590"/>
      <c r="N73" s="591"/>
      <c r="O73" s="95"/>
      <c r="P73" s="579"/>
      <c r="Q73" s="580"/>
      <c r="R73" s="580"/>
      <c r="S73" s="581"/>
      <c r="T73" s="582"/>
      <c r="U73" s="79"/>
      <c r="V73" s="621"/>
      <c r="X73" s="45">
        <f>6716250*1.16*1.1</f>
        <v>8569935</v>
      </c>
      <c r="Y73" s="44"/>
      <c r="Z73" s="44"/>
      <c r="AA73" s="988" t="s">
        <v>1475</v>
      </c>
      <c r="AB73" s="820" t="s">
        <v>22</v>
      </c>
      <c r="AC73" s="857" t="s">
        <v>1032</v>
      </c>
      <c r="AD73" s="988" t="s">
        <v>1475</v>
      </c>
      <c r="AE73" s="820" t="s">
        <v>22</v>
      </c>
      <c r="AF73" s="1222">
        <v>3</v>
      </c>
      <c r="AG73" s="858">
        <v>8569935</v>
      </c>
      <c r="AH73" s="990">
        <f t="shared" si="16"/>
        <v>25709805</v>
      </c>
      <c r="AI73" s="988" t="s">
        <v>1475</v>
      </c>
      <c r="AJ73" s="820" t="s">
        <v>22</v>
      </c>
      <c r="AK73" s="1193">
        <v>3</v>
      </c>
      <c r="AL73" s="858">
        <v>8569935</v>
      </c>
      <c r="AM73" s="990">
        <f t="shared" si="17"/>
        <v>25709805</v>
      </c>
    </row>
    <row r="74" spans="1:39" s="45" customFormat="1" ht="38.25">
      <c r="A74" s="586"/>
      <c r="B74" s="857" t="s">
        <v>1033</v>
      </c>
      <c r="C74" s="988" t="s">
        <v>955</v>
      </c>
      <c r="D74" s="820" t="s">
        <v>22</v>
      </c>
      <c r="E74" s="969">
        <v>2</v>
      </c>
      <c r="F74" s="858">
        <v>8644083</v>
      </c>
      <c r="G74" s="990">
        <f t="shared" si="18"/>
        <v>17288166</v>
      </c>
      <c r="H74" s="588"/>
      <c r="I74" s="587"/>
      <c r="J74" s="587"/>
      <c r="K74" s="587"/>
      <c r="L74" s="589"/>
      <c r="M74" s="590"/>
      <c r="N74" s="591"/>
      <c r="O74" s="95"/>
      <c r="P74" s="579"/>
      <c r="Q74" s="580"/>
      <c r="R74" s="580"/>
      <c r="S74" s="581"/>
      <c r="T74" s="582"/>
      <c r="U74" s="79"/>
      <c r="V74" s="621"/>
      <c r="X74" s="45">
        <f>6774360*1.16*1.1</f>
        <v>8644083.3599999994</v>
      </c>
      <c r="Y74" s="44"/>
      <c r="Z74" s="44"/>
      <c r="AA74" s="988" t="s">
        <v>1476</v>
      </c>
      <c r="AB74" s="820" t="s">
        <v>22</v>
      </c>
      <c r="AC74" s="857" t="s">
        <v>1033</v>
      </c>
      <c r="AD74" s="988" t="s">
        <v>1476</v>
      </c>
      <c r="AE74" s="820" t="s">
        <v>22</v>
      </c>
      <c r="AF74" s="1222">
        <v>2</v>
      </c>
      <c r="AG74" s="858">
        <v>8644083</v>
      </c>
      <c r="AH74" s="990">
        <f t="shared" si="16"/>
        <v>17288166</v>
      </c>
      <c r="AI74" s="988" t="s">
        <v>1476</v>
      </c>
      <c r="AJ74" s="820" t="s">
        <v>22</v>
      </c>
      <c r="AK74" s="1193">
        <v>2</v>
      </c>
      <c r="AL74" s="858">
        <v>8644083</v>
      </c>
      <c r="AM74" s="990">
        <f t="shared" si="17"/>
        <v>17288166</v>
      </c>
    </row>
    <row r="75" spans="1:39" s="45" customFormat="1" ht="38.25">
      <c r="A75" s="586"/>
      <c r="B75" s="857" t="s">
        <v>1034</v>
      </c>
      <c r="C75" s="988" t="s">
        <v>511</v>
      </c>
      <c r="D75" s="820" t="s">
        <v>22</v>
      </c>
      <c r="E75" s="969">
        <v>6</v>
      </c>
      <c r="F75" s="858">
        <v>4053852</v>
      </c>
      <c r="G75" s="990">
        <f t="shared" si="18"/>
        <v>24323112</v>
      </c>
      <c r="H75" s="588"/>
      <c r="I75" s="587"/>
      <c r="J75" s="587"/>
      <c r="K75" s="587"/>
      <c r="L75" s="589"/>
      <c r="M75" s="590"/>
      <c r="N75" s="591"/>
      <c r="O75" s="95"/>
      <c r="P75" s="579"/>
      <c r="Q75" s="580"/>
      <c r="R75" s="580"/>
      <c r="S75" s="581"/>
      <c r="T75" s="582"/>
      <c r="U75" s="79"/>
      <c r="V75" s="621"/>
      <c r="W75" s="856"/>
      <c r="X75" s="45">
        <f>3177000*1.16*1.1</f>
        <v>4053852</v>
      </c>
      <c r="Y75" s="44"/>
      <c r="Z75" s="44"/>
      <c r="AA75" s="988" t="s">
        <v>511</v>
      </c>
      <c r="AB75" s="820" t="s">
        <v>22</v>
      </c>
      <c r="AC75" s="857" t="s">
        <v>1034</v>
      </c>
      <c r="AD75" s="988" t="s">
        <v>511</v>
      </c>
      <c r="AE75" s="820" t="s">
        <v>22</v>
      </c>
      <c r="AF75" s="1222">
        <v>6</v>
      </c>
      <c r="AG75" s="858">
        <v>4053852</v>
      </c>
      <c r="AH75" s="990">
        <f t="shared" si="16"/>
        <v>24323112</v>
      </c>
      <c r="AI75" s="988" t="s">
        <v>511</v>
      </c>
      <c r="AJ75" s="820" t="s">
        <v>22</v>
      </c>
      <c r="AK75" s="1193">
        <v>6</v>
      </c>
      <c r="AL75" s="858">
        <v>4053852</v>
      </c>
      <c r="AM75" s="990">
        <f t="shared" si="17"/>
        <v>24323112</v>
      </c>
    </row>
    <row r="76" spans="1:39" s="45" customFormat="1" ht="51">
      <c r="A76" s="586"/>
      <c r="B76" s="857" t="s">
        <v>1035</v>
      </c>
      <c r="C76" s="102" t="s">
        <v>503</v>
      </c>
      <c r="D76" s="772" t="s">
        <v>22</v>
      </c>
      <c r="E76" s="773">
        <v>3</v>
      </c>
      <c r="F76" s="858">
        <v>890000</v>
      </c>
      <c r="G76" s="990">
        <f t="shared" si="18"/>
        <v>2670000</v>
      </c>
      <c r="H76" s="588"/>
      <c r="I76" s="587"/>
      <c r="J76" s="587"/>
      <c r="K76" s="587"/>
      <c r="L76" s="589"/>
      <c r="M76" s="590"/>
      <c r="N76" s="591"/>
      <c r="O76" s="95"/>
      <c r="P76" s="579"/>
      <c r="Q76" s="580"/>
      <c r="R76" s="580"/>
      <c r="S76" s="581"/>
      <c r="T76" s="582"/>
      <c r="U76" s="79"/>
      <c r="V76" s="621"/>
      <c r="Y76" s="44"/>
      <c r="Z76" s="44"/>
      <c r="AA76" s="102" t="s">
        <v>503</v>
      </c>
      <c r="AB76" s="772" t="s">
        <v>22</v>
      </c>
      <c r="AC76" s="857" t="s">
        <v>1035</v>
      </c>
      <c r="AD76" s="102" t="s">
        <v>503</v>
      </c>
      <c r="AE76" s="772" t="s">
        <v>22</v>
      </c>
      <c r="AF76" s="1222">
        <v>3</v>
      </c>
      <c r="AG76" s="858">
        <v>890000</v>
      </c>
      <c r="AH76" s="774">
        <f t="shared" si="16"/>
        <v>2670000</v>
      </c>
      <c r="AI76" s="102" t="s">
        <v>503</v>
      </c>
      <c r="AJ76" s="772" t="s">
        <v>22</v>
      </c>
      <c r="AK76" s="1193">
        <v>3</v>
      </c>
      <c r="AL76" s="858">
        <v>890000</v>
      </c>
      <c r="AM76" s="774">
        <f t="shared" si="17"/>
        <v>2670000</v>
      </c>
    </row>
    <row r="77" spans="1:39" s="45" customFormat="1" ht="51">
      <c r="A77" s="586"/>
      <c r="B77" s="857" t="s">
        <v>1036</v>
      </c>
      <c r="C77" s="102" t="s">
        <v>504</v>
      </c>
      <c r="D77" s="772" t="s">
        <v>22</v>
      </c>
      <c r="E77" s="773">
        <v>1</v>
      </c>
      <c r="F77" s="858">
        <v>182000</v>
      </c>
      <c r="G77" s="990">
        <f t="shared" si="18"/>
        <v>182000</v>
      </c>
      <c r="H77" s="588"/>
      <c r="I77" s="587"/>
      <c r="J77" s="587"/>
      <c r="K77" s="587"/>
      <c r="L77" s="589"/>
      <c r="M77" s="590"/>
      <c r="N77" s="591"/>
      <c r="O77" s="95"/>
      <c r="P77" s="579"/>
      <c r="Q77" s="580"/>
      <c r="R77" s="580"/>
      <c r="S77" s="581"/>
      <c r="T77" s="582"/>
      <c r="U77" s="79"/>
      <c r="V77" s="621"/>
      <c r="Y77" s="44"/>
      <c r="Z77" s="44"/>
      <c r="AA77" s="102" t="s">
        <v>504</v>
      </c>
      <c r="AB77" s="772" t="s">
        <v>22</v>
      </c>
      <c r="AC77" s="857" t="s">
        <v>1036</v>
      </c>
      <c r="AD77" s="102" t="s">
        <v>504</v>
      </c>
      <c r="AE77" s="772" t="s">
        <v>22</v>
      </c>
      <c r="AF77" s="1222">
        <v>1</v>
      </c>
      <c r="AG77" s="858">
        <v>182000</v>
      </c>
      <c r="AH77" s="774">
        <f t="shared" si="16"/>
        <v>182000</v>
      </c>
      <c r="AI77" s="102" t="s">
        <v>504</v>
      </c>
      <c r="AJ77" s="772" t="s">
        <v>22</v>
      </c>
      <c r="AK77" s="1193">
        <v>1</v>
      </c>
      <c r="AL77" s="858">
        <v>182000</v>
      </c>
      <c r="AM77" s="774">
        <f t="shared" si="17"/>
        <v>182000</v>
      </c>
    </row>
    <row r="78" spans="1:39" s="45" customFormat="1" ht="51">
      <c r="A78" s="586"/>
      <c r="B78" s="857" t="s">
        <v>1037</v>
      </c>
      <c r="C78" s="102" t="s">
        <v>505</v>
      </c>
      <c r="D78" s="772" t="s">
        <v>22</v>
      </c>
      <c r="E78" s="773">
        <v>1</v>
      </c>
      <c r="F78" s="858">
        <v>127500</v>
      </c>
      <c r="G78" s="990">
        <f t="shared" si="18"/>
        <v>127500</v>
      </c>
      <c r="H78" s="588"/>
      <c r="I78" s="587"/>
      <c r="J78" s="587"/>
      <c r="K78" s="587"/>
      <c r="L78" s="589"/>
      <c r="M78" s="590"/>
      <c r="N78" s="591"/>
      <c r="O78" s="95"/>
      <c r="P78" s="579"/>
      <c r="Q78" s="580"/>
      <c r="R78" s="580"/>
      <c r="S78" s="581"/>
      <c r="T78" s="582"/>
      <c r="U78" s="79"/>
      <c r="V78" s="621"/>
      <c r="Y78" s="44"/>
      <c r="Z78" s="44"/>
      <c r="AA78" s="102" t="s">
        <v>505</v>
      </c>
      <c r="AB78" s="772" t="s">
        <v>22</v>
      </c>
      <c r="AC78" s="857" t="s">
        <v>1037</v>
      </c>
      <c r="AD78" s="102" t="s">
        <v>505</v>
      </c>
      <c r="AE78" s="772" t="s">
        <v>22</v>
      </c>
      <c r="AF78" s="1222">
        <v>1</v>
      </c>
      <c r="AG78" s="858">
        <v>127500</v>
      </c>
      <c r="AH78" s="774">
        <f t="shared" si="16"/>
        <v>127500</v>
      </c>
      <c r="AI78" s="102" t="s">
        <v>505</v>
      </c>
      <c r="AJ78" s="772" t="s">
        <v>22</v>
      </c>
      <c r="AK78" s="1193">
        <v>1</v>
      </c>
      <c r="AL78" s="858">
        <v>127500</v>
      </c>
      <c r="AM78" s="774">
        <f t="shared" si="17"/>
        <v>127500</v>
      </c>
    </row>
    <row r="79" spans="1:39" s="45" customFormat="1" ht="318.75" hidden="1" customHeight="1">
      <c r="A79" s="586"/>
      <c r="B79" s="987">
        <v>3.23</v>
      </c>
      <c r="C79" s="1044" t="s">
        <v>978</v>
      </c>
      <c r="D79" s="1005" t="s">
        <v>22</v>
      </c>
      <c r="E79" s="1006"/>
      <c r="F79" s="1007">
        <v>16554593.799253464</v>
      </c>
      <c r="G79" s="1008">
        <f t="shared" si="18"/>
        <v>0</v>
      </c>
      <c r="H79" s="588"/>
      <c r="I79" s="587"/>
      <c r="J79" s="587"/>
      <c r="K79" s="587"/>
      <c r="L79" s="589"/>
      <c r="M79" s="590"/>
      <c r="N79" s="591"/>
      <c r="O79" s="95"/>
      <c r="P79" s="579"/>
      <c r="Q79" s="580"/>
      <c r="R79" s="580"/>
      <c r="S79" s="581"/>
      <c r="T79" s="582"/>
      <c r="U79" s="79"/>
      <c r="V79" s="621"/>
      <c r="W79" s="961" t="e">
        <f>+X531</f>
        <v>#REF!</v>
      </c>
      <c r="Y79" s="44"/>
      <c r="Z79" s="44"/>
      <c r="AA79" s="1044" t="s">
        <v>978</v>
      </c>
      <c r="AB79" s="1005" t="s">
        <v>22</v>
      </c>
      <c r="AC79" s="987">
        <v>3.23</v>
      </c>
      <c r="AD79" s="1044" t="s">
        <v>978</v>
      </c>
      <c r="AE79" s="1005" t="s">
        <v>22</v>
      </c>
      <c r="AF79" s="1228"/>
      <c r="AG79" s="1007">
        <v>16554593.799253464</v>
      </c>
      <c r="AH79" s="1008">
        <f t="shared" si="16"/>
        <v>0</v>
      </c>
      <c r="AI79" s="1044" t="s">
        <v>978</v>
      </c>
      <c r="AJ79" s="1005" t="s">
        <v>22</v>
      </c>
      <c r="AK79" s="1199"/>
      <c r="AL79" s="1007">
        <v>16554593.799253464</v>
      </c>
      <c r="AM79" s="1008">
        <f t="shared" si="17"/>
        <v>0</v>
      </c>
    </row>
    <row r="80" spans="1:39" s="45" customFormat="1" ht="22.5" hidden="1" customHeight="1">
      <c r="A80" s="586"/>
      <c r="B80" s="779">
        <f t="shared" si="14"/>
        <v>3.2399999999999998</v>
      </c>
      <c r="C80" s="781" t="s">
        <v>951</v>
      </c>
      <c r="D80" s="783" t="s">
        <v>22</v>
      </c>
      <c r="E80" s="784">
        <v>1</v>
      </c>
      <c r="F80" s="785"/>
      <c r="G80" s="786">
        <f t="shared" si="18"/>
        <v>0</v>
      </c>
      <c r="H80" s="588"/>
      <c r="I80" s="587"/>
      <c r="J80" s="587"/>
      <c r="K80" s="587"/>
      <c r="L80" s="589"/>
      <c r="M80" s="590"/>
      <c r="N80" s="591"/>
      <c r="O80" s="95"/>
      <c r="P80" s="579"/>
      <c r="Q80" s="580"/>
      <c r="R80" s="580"/>
      <c r="S80" s="581"/>
      <c r="T80" s="582"/>
      <c r="U80" s="79"/>
      <c r="V80" s="621"/>
      <c r="Y80" s="44"/>
      <c r="Z80" s="44"/>
      <c r="AA80" s="1069" t="s">
        <v>951</v>
      </c>
      <c r="AB80" s="1070" t="s">
        <v>22</v>
      </c>
      <c r="AC80" s="779">
        <f t="shared" si="15"/>
        <v>3.2399999999999998</v>
      </c>
      <c r="AD80" s="1069" t="s">
        <v>951</v>
      </c>
      <c r="AE80" s="1070" t="s">
        <v>22</v>
      </c>
      <c r="AF80" s="1222">
        <v>1</v>
      </c>
      <c r="AG80" s="1072"/>
      <c r="AH80" s="1118">
        <f t="shared" si="16"/>
        <v>0</v>
      </c>
      <c r="AI80" s="1069" t="s">
        <v>951</v>
      </c>
      <c r="AJ80" s="1070" t="s">
        <v>22</v>
      </c>
      <c r="AK80" s="1193">
        <v>1</v>
      </c>
      <c r="AL80" s="1072"/>
      <c r="AM80" s="1118">
        <f t="shared" si="17"/>
        <v>0</v>
      </c>
    </row>
    <row r="81" spans="1:39" s="45" customFormat="1">
      <c r="A81" s="586"/>
      <c r="B81" s="779"/>
      <c r="C81" s="781"/>
      <c r="D81" s="781"/>
      <c r="E81" s="781"/>
      <c r="F81" s="781"/>
      <c r="G81" s="786"/>
      <c r="H81" s="588"/>
      <c r="I81" s="587"/>
      <c r="J81" s="587"/>
      <c r="K81" s="587"/>
      <c r="L81" s="589"/>
      <c r="M81" s="590"/>
      <c r="N81" s="591"/>
      <c r="O81" s="95"/>
      <c r="P81" s="579"/>
      <c r="Q81" s="580"/>
      <c r="R81" s="580"/>
      <c r="S81" s="581"/>
      <c r="T81" s="582"/>
      <c r="U81" s="79"/>
      <c r="V81" s="621"/>
      <c r="Y81" s="44"/>
      <c r="Z81" s="44"/>
      <c r="AA81" s="1069"/>
      <c r="AB81" s="1069"/>
      <c r="AC81" s="779"/>
      <c r="AD81" s="1069"/>
      <c r="AE81" s="1069"/>
      <c r="AF81" s="1229"/>
      <c r="AG81" s="1069"/>
      <c r="AH81" s="1118"/>
      <c r="AI81" s="1069"/>
      <c r="AJ81" s="1069"/>
      <c r="AK81" s="1200"/>
      <c r="AL81" s="1069"/>
      <c r="AM81" s="1118"/>
    </row>
    <row r="82" spans="1:39" s="45" customFormat="1">
      <c r="A82" s="586"/>
      <c r="B82" s="771"/>
      <c r="C82" s="102"/>
      <c r="D82" s="772"/>
      <c r="E82" s="773"/>
      <c r="F82" s="587"/>
      <c r="G82" s="774"/>
      <c r="H82" s="588"/>
      <c r="I82" s="587"/>
      <c r="J82" s="587"/>
      <c r="K82" s="587"/>
      <c r="L82" s="589"/>
      <c r="M82" s="590"/>
      <c r="N82" s="591"/>
      <c r="O82" s="95"/>
      <c r="P82" s="579"/>
      <c r="Q82" s="580"/>
      <c r="R82" s="580"/>
      <c r="S82" s="581"/>
      <c r="T82" s="582"/>
      <c r="U82" s="79"/>
      <c r="V82" s="621"/>
      <c r="Y82" s="44"/>
      <c r="Z82" s="44"/>
      <c r="AA82" s="102"/>
      <c r="AB82" s="772"/>
      <c r="AC82" s="771"/>
      <c r="AD82" s="102"/>
      <c r="AE82" s="772"/>
      <c r="AF82" s="1222"/>
      <c r="AG82" s="587"/>
      <c r="AH82" s="774"/>
      <c r="AI82" s="102"/>
      <c r="AJ82" s="772"/>
      <c r="AK82" s="1193"/>
      <c r="AL82" s="587"/>
      <c r="AM82" s="774"/>
    </row>
    <row r="83" spans="1:39" s="45" customFormat="1" ht="15.75" thickBot="1">
      <c r="A83" s="586"/>
      <c r="B83" s="771"/>
      <c r="C83" s="114"/>
      <c r="D83" s="115"/>
      <c r="E83" s="116"/>
      <c r="F83" s="117" t="s">
        <v>957</v>
      </c>
      <c r="G83" s="118">
        <f>SUM(G58:G82)</f>
        <v>123475669</v>
      </c>
      <c r="H83" s="588"/>
      <c r="I83" s="587"/>
      <c r="J83" s="587"/>
      <c r="K83" s="587"/>
      <c r="L83" s="589"/>
      <c r="M83" s="590"/>
      <c r="N83" s="591"/>
      <c r="O83" s="95"/>
      <c r="P83" s="579"/>
      <c r="Q83" s="580"/>
      <c r="R83" s="580"/>
      <c r="S83" s="581"/>
      <c r="T83" s="582"/>
      <c r="U83" s="79"/>
      <c r="V83" s="621"/>
      <c r="Y83" s="44"/>
      <c r="Z83" s="44"/>
      <c r="AA83" s="1064"/>
      <c r="AB83" s="1065"/>
      <c r="AC83" s="771"/>
      <c r="AD83" s="1064"/>
      <c r="AE83" s="1065"/>
      <c r="AF83" s="1227"/>
      <c r="AG83" s="1073" t="s">
        <v>957</v>
      </c>
      <c r="AH83" s="1117">
        <f>SUM(AH58:AH82)</f>
        <v>132200839</v>
      </c>
      <c r="AI83" s="1064"/>
      <c r="AJ83" s="1065"/>
      <c r="AK83" s="1198"/>
      <c r="AL83" s="1073" t="s">
        <v>957</v>
      </c>
      <c r="AM83" s="1117">
        <f>SUM(AM58:AM82)</f>
        <v>132200839</v>
      </c>
    </row>
    <row r="84" spans="1:39" s="45" customFormat="1">
      <c r="A84" s="586"/>
      <c r="B84" s="771"/>
      <c r="C84" s="102"/>
      <c r="D84" s="772"/>
      <c r="E84" s="773"/>
      <c r="F84" s="587"/>
      <c r="G84" s="774"/>
      <c r="H84" s="588"/>
      <c r="I84" s="587"/>
      <c r="J84" s="587"/>
      <c r="K84" s="587"/>
      <c r="L84" s="589"/>
      <c r="M84" s="590"/>
      <c r="N84" s="591"/>
      <c r="O84" s="95"/>
      <c r="P84" s="579"/>
      <c r="Q84" s="580"/>
      <c r="R84" s="580"/>
      <c r="S84" s="581"/>
      <c r="T84" s="582"/>
      <c r="U84" s="79"/>
      <c r="V84" s="621"/>
      <c r="Y84" s="44"/>
      <c r="Z84" s="44"/>
      <c r="AA84" s="102"/>
      <c r="AB84" s="772"/>
      <c r="AC84" s="771"/>
      <c r="AD84" s="102"/>
      <c r="AE84" s="772"/>
      <c r="AF84" s="1222"/>
      <c r="AG84" s="587"/>
      <c r="AH84" s="774"/>
      <c r="AI84" s="102"/>
      <c r="AJ84" s="772"/>
      <c r="AK84" s="1193"/>
      <c r="AL84" s="587"/>
      <c r="AM84" s="774"/>
    </row>
    <row r="85" spans="1:39" s="45" customFormat="1" ht="15.75" thickBot="1">
      <c r="A85" s="586"/>
      <c r="B85" s="771"/>
      <c r="C85" s="871"/>
      <c r="D85" s="873"/>
      <c r="E85" s="874"/>
      <c r="F85" s="1180" t="s">
        <v>958</v>
      </c>
      <c r="G85" s="1004">
        <f>+G56+G83</f>
        <v>171346296</v>
      </c>
      <c r="H85" s="588"/>
      <c r="I85" s="587"/>
      <c r="J85" s="587"/>
      <c r="K85" s="587"/>
      <c r="L85" s="589"/>
      <c r="M85" s="590"/>
      <c r="N85" s="591"/>
      <c r="O85" s="95"/>
      <c r="P85" s="579"/>
      <c r="Q85" s="580"/>
      <c r="R85" s="580"/>
      <c r="S85" s="581"/>
      <c r="T85" s="582"/>
      <c r="U85" s="79"/>
      <c r="V85" s="621"/>
      <c r="Y85" s="44"/>
      <c r="Z85" s="44"/>
      <c r="AA85" s="1074"/>
      <c r="AB85" s="1075"/>
      <c r="AC85" s="771"/>
      <c r="AD85" s="1074"/>
      <c r="AE85" s="1075"/>
      <c r="AF85" s="1227"/>
      <c r="AG85" s="1181" t="s">
        <v>958</v>
      </c>
      <c r="AH85" s="1115">
        <f>+AH56+AH83</f>
        <v>180071466</v>
      </c>
      <c r="AI85" s="1074"/>
      <c r="AJ85" s="1075"/>
      <c r="AK85" s="1198"/>
      <c r="AL85" s="1181" t="s">
        <v>958</v>
      </c>
      <c r="AM85" s="1115">
        <f>+AM56+AM83</f>
        <v>180071466</v>
      </c>
    </row>
    <row r="86" spans="1:39" s="45" customFormat="1" ht="15.75" thickBot="1">
      <c r="A86" s="586"/>
      <c r="B86" s="823"/>
      <c r="C86" s="824"/>
      <c r="D86" s="821"/>
      <c r="E86" s="825"/>
      <c r="F86" s="43"/>
      <c r="G86" s="826"/>
      <c r="H86" s="588"/>
      <c r="I86" s="587"/>
      <c r="J86" s="587"/>
      <c r="K86" s="587"/>
      <c r="L86" s="589"/>
      <c r="M86" s="590"/>
      <c r="N86" s="591"/>
      <c r="O86" s="95"/>
      <c r="P86" s="579"/>
      <c r="Q86" s="580"/>
      <c r="R86" s="580"/>
      <c r="S86" s="581"/>
      <c r="T86" s="582"/>
      <c r="U86" s="79"/>
      <c r="V86" s="621"/>
      <c r="Y86" s="44"/>
      <c r="Z86" s="44"/>
      <c r="AA86" s="824"/>
      <c r="AB86" s="821"/>
      <c r="AC86" s="823"/>
      <c r="AD86" s="824"/>
      <c r="AE86" s="821"/>
      <c r="AF86" s="1224"/>
      <c r="AG86" s="43"/>
      <c r="AH86" s="826"/>
      <c r="AI86" s="824"/>
      <c r="AJ86" s="821"/>
      <c r="AK86" s="1195"/>
      <c r="AL86" s="43"/>
      <c r="AM86" s="826"/>
    </row>
    <row r="87" spans="1:39" s="45" customFormat="1">
      <c r="A87" s="586"/>
      <c r="B87" s="74">
        <v>4</v>
      </c>
      <c r="C87" s="75" t="s">
        <v>475</v>
      </c>
      <c r="D87" s="76"/>
      <c r="E87" s="76"/>
      <c r="F87" s="76"/>
      <c r="G87" s="126"/>
      <c r="H87" s="588"/>
      <c r="I87" s="587"/>
      <c r="J87" s="587"/>
      <c r="K87" s="587"/>
      <c r="L87" s="589"/>
      <c r="M87" s="590"/>
      <c r="N87" s="591"/>
      <c r="O87" s="95"/>
      <c r="P87" s="579"/>
      <c r="Q87" s="580"/>
      <c r="R87" s="580"/>
      <c r="S87" s="581"/>
      <c r="T87" s="582"/>
      <c r="U87" s="79"/>
      <c r="V87" s="621"/>
      <c r="Y87" s="44"/>
      <c r="Z87" s="44"/>
      <c r="AA87" s="1060" t="s">
        <v>475</v>
      </c>
      <c r="AB87" s="1061"/>
      <c r="AC87" s="1111">
        <v>4</v>
      </c>
      <c r="AD87" s="1060" t="s">
        <v>475</v>
      </c>
      <c r="AE87" s="1061"/>
      <c r="AF87" s="1221"/>
      <c r="AG87" s="1061"/>
      <c r="AH87" s="1113"/>
      <c r="AI87" s="1060" t="s">
        <v>475</v>
      </c>
      <c r="AJ87" s="1061"/>
      <c r="AK87" s="1192"/>
      <c r="AL87" s="1061"/>
      <c r="AM87" s="1113"/>
    </row>
    <row r="88" spans="1:39" s="45" customFormat="1">
      <c r="A88" s="586"/>
      <c r="B88" s="771"/>
      <c r="C88" s="788" t="s">
        <v>947</v>
      </c>
      <c r="D88" s="772"/>
      <c r="E88" s="773"/>
      <c r="F88" s="587"/>
      <c r="G88" s="774"/>
      <c r="H88" s="588"/>
      <c r="I88" s="587"/>
      <c r="J88" s="587"/>
      <c r="K88" s="587"/>
      <c r="L88" s="589"/>
      <c r="M88" s="590"/>
      <c r="N88" s="591"/>
      <c r="O88" s="95"/>
      <c r="P88" s="579"/>
      <c r="Q88" s="580"/>
      <c r="R88" s="580"/>
      <c r="S88" s="581"/>
      <c r="T88" s="582"/>
      <c r="U88" s="79"/>
      <c r="V88" s="621"/>
      <c r="Y88" s="44"/>
      <c r="Z88" s="44"/>
      <c r="AA88" s="788" t="s">
        <v>947</v>
      </c>
      <c r="AB88" s="772"/>
      <c r="AC88" s="771"/>
      <c r="AD88" s="788" t="s">
        <v>947</v>
      </c>
      <c r="AE88" s="772"/>
      <c r="AF88" s="1222"/>
      <c r="AG88" s="587"/>
      <c r="AH88" s="774"/>
      <c r="AI88" s="788" t="s">
        <v>947</v>
      </c>
      <c r="AJ88" s="772"/>
      <c r="AK88" s="1193"/>
      <c r="AL88" s="587"/>
      <c r="AM88" s="774"/>
    </row>
    <row r="89" spans="1:39" s="45" customFormat="1" ht="38.25">
      <c r="A89" s="586"/>
      <c r="B89" s="771">
        <v>4.0999999999999996</v>
      </c>
      <c r="C89" s="102" t="s">
        <v>943</v>
      </c>
      <c r="D89" s="772" t="s">
        <v>139</v>
      </c>
      <c r="E89" s="587">
        <v>182</v>
      </c>
      <c r="F89" s="587">
        <v>2610</v>
      </c>
      <c r="G89" s="774">
        <f>+E89*F89</f>
        <v>475020</v>
      </c>
      <c r="H89" s="588"/>
      <c r="I89" s="587"/>
      <c r="J89" s="587"/>
      <c r="K89" s="587"/>
      <c r="L89" s="589"/>
      <c r="M89" s="590"/>
      <c r="N89" s="591"/>
      <c r="O89" s="95"/>
      <c r="P89" s="579"/>
      <c r="Q89" s="580"/>
      <c r="R89" s="580"/>
      <c r="S89" s="581"/>
      <c r="T89" s="582"/>
      <c r="U89" s="79"/>
      <c r="V89" s="621"/>
      <c r="AA89" s="102" t="s">
        <v>943</v>
      </c>
      <c r="AB89" s="772" t="s">
        <v>139</v>
      </c>
      <c r="AC89" s="771">
        <v>4.0999999999999996</v>
      </c>
      <c r="AD89" s="102" t="s">
        <v>943</v>
      </c>
      <c r="AE89" s="772" t="s">
        <v>139</v>
      </c>
      <c r="AF89" s="1230">
        <v>182</v>
      </c>
      <c r="AG89" s="587">
        <v>2610</v>
      </c>
      <c r="AH89" s="774">
        <f>+AF89*AG89</f>
        <v>475020</v>
      </c>
      <c r="AI89" s="102" t="s">
        <v>943</v>
      </c>
      <c r="AJ89" s="772" t="s">
        <v>139</v>
      </c>
      <c r="AK89" s="1201">
        <v>182</v>
      </c>
      <c r="AL89" s="587">
        <v>2610</v>
      </c>
      <c r="AM89" s="774">
        <f>+AK89*AL89</f>
        <v>475020</v>
      </c>
    </row>
    <row r="90" spans="1:39" s="45" customFormat="1" ht="38.25">
      <c r="A90" s="586"/>
      <c r="B90" s="771">
        <f>+B89+0.1</f>
        <v>4.1999999999999993</v>
      </c>
      <c r="C90" s="102" t="s">
        <v>1101</v>
      </c>
      <c r="D90" s="772" t="s">
        <v>139</v>
      </c>
      <c r="E90" s="780">
        <v>27</v>
      </c>
      <c r="F90" s="587">
        <v>5190</v>
      </c>
      <c r="G90" s="774">
        <f t="shared" ref="G90:G95" si="19">+E90*F90</f>
        <v>140130</v>
      </c>
      <c r="H90" s="588"/>
      <c r="I90" s="587"/>
      <c r="J90" s="587"/>
      <c r="K90" s="587"/>
      <c r="L90" s="589"/>
      <c r="M90" s="590"/>
      <c r="N90" s="591"/>
      <c r="O90" s="95"/>
      <c r="P90" s="579"/>
      <c r="Q90" s="580"/>
      <c r="R90" s="580"/>
      <c r="S90" s="581"/>
      <c r="T90" s="582"/>
      <c r="U90" s="79"/>
      <c r="V90" s="621"/>
      <c r="AA90" s="102" t="s">
        <v>1101</v>
      </c>
      <c r="AB90" s="772" t="s">
        <v>139</v>
      </c>
      <c r="AC90" s="771">
        <f t="shared" ref="AC90:AC95" si="20">+AC89+0.1</f>
        <v>4.1999999999999993</v>
      </c>
      <c r="AD90" s="102" t="s">
        <v>1101</v>
      </c>
      <c r="AE90" s="772" t="s">
        <v>139</v>
      </c>
      <c r="AF90" s="1222">
        <v>27</v>
      </c>
      <c r="AG90" s="587">
        <v>5190</v>
      </c>
      <c r="AH90" s="774">
        <f t="shared" ref="AH90:AH95" si="21">+AF90*AG90</f>
        <v>140130</v>
      </c>
      <c r="AI90" s="102" t="s">
        <v>1101</v>
      </c>
      <c r="AJ90" s="772" t="s">
        <v>139</v>
      </c>
      <c r="AK90" s="1193">
        <v>27</v>
      </c>
      <c r="AL90" s="587">
        <v>5190</v>
      </c>
      <c r="AM90" s="774">
        <f t="shared" ref="AM90:AM95" si="22">+AK90*AL90</f>
        <v>140130</v>
      </c>
    </row>
    <row r="91" spans="1:39" s="45" customFormat="1" ht="63.75">
      <c r="A91" s="586"/>
      <c r="B91" s="771">
        <f>+B90+0.1</f>
        <v>4.2999999999999989</v>
      </c>
      <c r="C91" s="102" t="s">
        <v>941</v>
      </c>
      <c r="D91" s="777" t="s">
        <v>139</v>
      </c>
      <c r="E91" s="587">
        <v>98</v>
      </c>
      <c r="F91" s="587">
        <v>10240</v>
      </c>
      <c r="G91" s="774">
        <f t="shared" si="19"/>
        <v>1003520</v>
      </c>
      <c r="H91" s="588"/>
      <c r="I91" s="587"/>
      <c r="J91" s="587"/>
      <c r="K91" s="587"/>
      <c r="L91" s="589"/>
      <c r="M91" s="590"/>
      <c r="N91" s="591"/>
      <c r="O91" s="95"/>
      <c r="P91" s="579"/>
      <c r="Q91" s="580"/>
      <c r="R91" s="580"/>
      <c r="S91" s="581"/>
      <c r="T91" s="582"/>
      <c r="U91" s="79"/>
      <c r="V91" s="621"/>
      <c r="AA91" s="102" t="s">
        <v>941</v>
      </c>
      <c r="AB91" s="777" t="s">
        <v>139</v>
      </c>
      <c r="AC91" s="771">
        <f t="shared" si="20"/>
        <v>4.2999999999999989</v>
      </c>
      <c r="AD91" s="102" t="s">
        <v>941</v>
      </c>
      <c r="AE91" s="777" t="s">
        <v>139</v>
      </c>
      <c r="AF91" s="1230">
        <v>98</v>
      </c>
      <c r="AG91" s="587">
        <v>10240</v>
      </c>
      <c r="AH91" s="774">
        <f t="shared" si="21"/>
        <v>1003520</v>
      </c>
      <c r="AI91" s="102" t="s">
        <v>941</v>
      </c>
      <c r="AJ91" s="777" t="s">
        <v>139</v>
      </c>
      <c r="AK91" s="1201">
        <v>98</v>
      </c>
      <c r="AL91" s="587">
        <v>10240</v>
      </c>
      <c r="AM91" s="774">
        <f t="shared" si="22"/>
        <v>1003520</v>
      </c>
    </row>
    <row r="92" spans="1:39" s="45" customFormat="1" ht="51">
      <c r="A92" s="586"/>
      <c r="B92" s="771">
        <f t="shared" ref="B92:B94" si="23">+B91+0.1</f>
        <v>4.3999999999999986</v>
      </c>
      <c r="C92" s="102" t="s">
        <v>497</v>
      </c>
      <c r="D92" s="777" t="s">
        <v>56</v>
      </c>
      <c r="E92" s="587">
        <v>48</v>
      </c>
      <c r="F92" s="587">
        <v>17220</v>
      </c>
      <c r="G92" s="774">
        <f t="shared" si="19"/>
        <v>826560</v>
      </c>
      <c r="H92" s="588"/>
      <c r="I92" s="587"/>
      <c r="J92" s="587"/>
      <c r="K92" s="587"/>
      <c r="L92" s="589"/>
      <c r="M92" s="590"/>
      <c r="N92" s="591"/>
      <c r="O92" s="95"/>
      <c r="P92" s="579"/>
      <c r="Q92" s="580"/>
      <c r="R92" s="580"/>
      <c r="S92" s="581"/>
      <c r="T92" s="582"/>
      <c r="U92" s="79"/>
      <c r="V92" s="621"/>
      <c r="AA92" s="102" t="s">
        <v>497</v>
      </c>
      <c r="AB92" s="777" t="s">
        <v>56</v>
      </c>
      <c r="AC92" s="771">
        <f t="shared" si="20"/>
        <v>4.3999999999999986</v>
      </c>
      <c r="AD92" s="102" t="s">
        <v>497</v>
      </c>
      <c r="AE92" s="777" t="s">
        <v>56</v>
      </c>
      <c r="AF92" s="1230">
        <v>48</v>
      </c>
      <c r="AG92" s="587">
        <v>17220</v>
      </c>
      <c r="AH92" s="774">
        <f t="shared" si="21"/>
        <v>826560</v>
      </c>
      <c r="AI92" s="102" t="s">
        <v>497</v>
      </c>
      <c r="AJ92" s="777" t="s">
        <v>56</v>
      </c>
      <c r="AK92" s="1201">
        <v>48</v>
      </c>
      <c r="AL92" s="587">
        <v>17220</v>
      </c>
      <c r="AM92" s="774">
        <f t="shared" si="22"/>
        <v>826560</v>
      </c>
    </row>
    <row r="93" spans="1:39" s="45" customFormat="1" ht="63.75">
      <c r="A93" s="586"/>
      <c r="B93" s="771">
        <f t="shared" si="23"/>
        <v>4.4999999999999982</v>
      </c>
      <c r="C93" s="782" t="s">
        <v>979</v>
      </c>
      <c r="D93" s="772" t="s">
        <v>139</v>
      </c>
      <c r="E93" s="587">
        <v>14</v>
      </c>
      <c r="F93" s="587">
        <v>573533</v>
      </c>
      <c r="G93" s="774">
        <f t="shared" si="19"/>
        <v>8029462</v>
      </c>
      <c r="H93" s="588"/>
      <c r="I93" s="587"/>
      <c r="J93" s="587"/>
      <c r="K93" s="587"/>
      <c r="L93" s="589"/>
      <c r="M93" s="590"/>
      <c r="N93" s="591"/>
      <c r="O93" s="95"/>
      <c r="P93" s="579"/>
      <c r="Q93" s="580"/>
      <c r="R93" s="580"/>
      <c r="S93" s="581"/>
      <c r="T93" s="582"/>
      <c r="U93" s="79"/>
      <c r="V93" s="621"/>
      <c r="AA93" s="1062" t="s">
        <v>979</v>
      </c>
      <c r="AB93" s="772" t="s">
        <v>139</v>
      </c>
      <c r="AC93" s="771">
        <f t="shared" si="20"/>
        <v>4.4999999999999982</v>
      </c>
      <c r="AD93" s="1062" t="s">
        <v>979</v>
      </c>
      <c r="AE93" s="772" t="s">
        <v>139</v>
      </c>
      <c r="AF93" s="1230">
        <v>14</v>
      </c>
      <c r="AG93" s="587">
        <v>573533</v>
      </c>
      <c r="AH93" s="774">
        <f t="shared" si="21"/>
        <v>8029462</v>
      </c>
      <c r="AI93" s="1062" t="s">
        <v>979</v>
      </c>
      <c r="AJ93" s="772" t="s">
        <v>139</v>
      </c>
      <c r="AK93" s="1201">
        <v>14</v>
      </c>
      <c r="AL93" s="587">
        <v>573533</v>
      </c>
      <c r="AM93" s="774">
        <f t="shared" si="22"/>
        <v>8029462</v>
      </c>
    </row>
    <row r="94" spans="1:39" s="45" customFormat="1" ht="63.75">
      <c r="A94" s="586"/>
      <c r="B94" s="771">
        <f t="shared" si="23"/>
        <v>4.5999999999999979</v>
      </c>
      <c r="C94" s="102" t="s">
        <v>976</v>
      </c>
      <c r="D94" s="772" t="s">
        <v>139</v>
      </c>
      <c r="E94" s="587">
        <v>65</v>
      </c>
      <c r="F94" s="587">
        <v>614040</v>
      </c>
      <c r="G94" s="774">
        <f t="shared" si="19"/>
        <v>39912600</v>
      </c>
      <c r="H94" s="588"/>
      <c r="I94" s="587"/>
      <c r="J94" s="587"/>
      <c r="K94" s="587"/>
      <c r="L94" s="589"/>
      <c r="M94" s="590"/>
      <c r="N94" s="591"/>
      <c r="O94" s="95"/>
      <c r="P94" s="579"/>
      <c r="Q94" s="580"/>
      <c r="R94" s="580"/>
      <c r="S94" s="581"/>
      <c r="T94" s="582"/>
      <c r="U94" s="79"/>
      <c r="V94" s="621"/>
      <c r="AA94" s="102" t="s">
        <v>976</v>
      </c>
      <c r="AB94" s="772" t="s">
        <v>139</v>
      </c>
      <c r="AC94" s="771">
        <f t="shared" si="20"/>
        <v>4.5999999999999979</v>
      </c>
      <c r="AD94" s="102" t="s">
        <v>976</v>
      </c>
      <c r="AE94" s="772" t="s">
        <v>139</v>
      </c>
      <c r="AF94" s="1230">
        <v>65</v>
      </c>
      <c r="AG94" s="587">
        <v>614040</v>
      </c>
      <c r="AH94" s="774">
        <f t="shared" si="21"/>
        <v>39912600</v>
      </c>
      <c r="AI94" s="102" t="s">
        <v>976</v>
      </c>
      <c r="AJ94" s="772" t="s">
        <v>139</v>
      </c>
      <c r="AK94" s="1201">
        <v>65</v>
      </c>
      <c r="AL94" s="587">
        <v>614040</v>
      </c>
      <c r="AM94" s="774">
        <f t="shared" si="22"/>
        <v>39912600</v>
      </c>
    </row>
    <row r="95" spans="1:39" s="45" customFormat="1" ht="51">
      <c r="A95" s="586"/>
      <c r="B95" s="771">
        <f>+B94+0.1</f>
        <v>4.6999999999999975</v>
      </c>
      <c r="C95" s="102" t="s">
        <v>939</v>
      </c>
      <c r="D95" s="772" t="s">
        <v>139</v>
      </c>
      <c r="E95" s="587">
        <v>3</v>
      </c>
      <c r="F95" s="587">
        <f>+F54</f>
        <v>594610</v>
      </c>
      <c r="G95" s="774">
        <f t="shared" si="19"/>
        <v>1783830</v>
      </c>
      <c r="H95" s="588"/>
      <c r="I95" s="587"/>
      <c r="J95" s="587"/>
      <c r="K95" s="587"/>
      <c r="L95" s="589"/>
      <c r="M95" s="590"/>
      <c r="N95" s="591"/>
      <c r="O95" s="95"/>
      <c r="P95" s="579"/>
      <c r="Q95" s="580"/>
      <c r="R95" s="580"/>
      <c r="S95" s="581"/>
      <c r="T95" s="582"/>
      <c r="U95" s="79"/>
      <c r="V95" s="621"/>
      <c r="AA95" s="102" t="s">
        <v>939</v>
      </c>
      <c r="AB95" s="772" t="s">
        <v>139</v>
      </c>
      <c r="AC95" s="771">
        <f t="shared" si="20"/>
        <v>4.6999999999999975</v>
      </c>
      <c r="AD95" s="102" t="s">
        <v>939</v>
      </c>
      <c r="AE95" s="772" t="s">
        <v>139</v>
      </c>
      <c r="AF95" s="1230">
        <v>3</v>
      </c>
      <c r="AG95" s="587">
        <f>+AG54</f>
        <v>594610</v>
      </c>
      <c r="AH95" s="774">
        <f t="shared" si="21"/>
        <v>1783830</v>
      </c>
      <c r="AI95" s="102" t="s">
        <v>939</v>
      </c>
      <c r="AJ95" s="772" t="s">
        <v>139</v>
      </c>
      <c r="AK95" s="1201">
        <v>3</v>
      </c>
      <c r="AL95" s="587">
        <f>+AL54</f>
        <v>594610</v>
      </c>
      <c r="AM95" s="774">
        <f t="shared" si="22"/>
        <v>1783830</v>
      </c>
    </row>
    <row r="96" spans="1:39" s="45" customFormat="1">
      <c r="A96" s="586"/>
      <c r="B96" s="823"/>
      <c r="C96" s="215"/>
      <c r="D96" s="216"/>
      <c r="E96" s="95"/>
      <c r="F96" s="95"/>
      <c r="G96" s="774"/>
      <c r="H96" s="588"/>
      <c r="I96" s="587"/>
      <c r="J96" s="587"/>
      <c r="K96" s="587"/>
      <c r="L96" s="589"/>
      <c r="M96" s="590"/>
      <c r="N96" s="591"/>
      <c r="O96" s="95"/>
      <c r="P96" s="579"/>
      <c r="Q96" s="580"/>
      <c r="R96" s="580"/>
      <c r="S96" s="581"/>
      <c r="T96" s="582"/>
      <c r="U96" s="79"/>
      <c r="V96" s="621"/>
      <c r="AA96" s="215"/>
      <c r="AB96" s="216"/>
      <c r="AC96" s="823"/>
      <c r="AD96" s="215"/>
      <c r="AE96" s="216"/>
      <c r="AF96" s="1231"/>
      <c r="AG96" s="95"/>
      <c r="AH96" s="774"/>
      <c r="AI96" s="215"/>
      <c r="AJ96" s="216"/>
      <c r="AK96" s="1202"/>
      <c r="AL96" s="95"/>
      <c r="AM96" s="774"/>
    </row>
    <row r="97" spans="1:39" s="45" customFormat="1" ht="15.75" thickBot="1">
      <c r="A97" s="586"/>
      <c r="B97" s="114"/>
      <c r="C97" s="114"/>
      <c r="D97" s="115"/>
      <c r="E97" s="116"/>
      <c r="F97" s="117" t="s">
        <v>966</v>
      </c>
      <c r="G97" s="118">
        <f>SUM(G89:G95)</f>
        <v>52171122</v>
      </c>
      <c r="H97" s="588"/>
      <c r="I97" s="587"/>
      <c r="J97" s="587"/>
      <c r="K97" s="587"/>
      <c r="L97" s="589"/>
      <c r="M97" s="590"/>
      <c r="N97" s="591"/>
      <c r="O97" s="95"/>
      <c r="P97" s="579"/>
      <c r="Q97" s="580"/>
      <c r="R97" s="580"/>
      <c r="S97" s="581"/>
      <c r="T97" s="582"/>
      <c r="U97" s="79"/>
      <c r="V97" s="621"/>
      <c r="AA97" s="1064"/>
      <c r="AB97" s="1065"/>
      <c r="AC97" s="1064"/>
      <c r="AD97" s="1064"/>
      <c r="AE97" s="1065"/>
      <c r="AF97" s="1227"/>
      <c r="AG97" s="1073" t="s">
        <v>966</v>
      </c>
      <c r="AH97" s="1117">
        <f>SUM(AH89:AH95)</f>
        <v>52171122</v>
      </c>
      <c r="AI97" s="1064"/>
      <c r="AJ97" s="1065"/>
      <c r="AK97" s="1198"/>
      <c r="AL97" s="1073" t="s">
        <v>966</v>
      </c>
      <c r="AM97" s="1117">
        <f>SUM(AM89:AM96)</f>
        <v>52171122</v>
      </c>
    </row>
    <row r="98" spans="1:39" s="45" customFormat="1">
      <c r="A98" s="586"/>
      <c r="B98" s="771"/>
      <c r="C98" s="102"/>
      <c r="D98" s="772"/>
      <c r="E98" s="773"/>
      <c r="F98" s="587"/>
      <c r="G98" s="774"/>
      <c r="H98" s="588"/>
      <c r="I98" s="587"/>
      <c r="J98" s="587"/>
      <c r="K98" s="587"/>
      <c r="L98" s="589"/>
      <c r="M98" s="590"/>
      <c r="N98" s="591"/>
      <c r="O98" s="95"/>
      <c r="P98" s="579"/>
      <c r="Q98" s="580"/>
      <c r="R98" s="580"/>
      <c r="S98" s="581"/>
      <c r="T98" s="582"/>
      <c r="U98" s="79"/>
      <c r="V98" s="621"/>
      <c r="Y98" s="44"/>
      <c r="Z98" s="44"/>
      <c r="AA98" s="102"/>
      <c r="AB98" s="772"/>
      <c r="AC98" s="771"/>
      <c r="AD98" s="102"/>
      <c r="AE98" s="772"/>
      <c r="AF98" s="1222"/>
      <c r="AG98" s="587"/>
      <c r="AH98" s="774"/>
      <c r="AI98" s="102"/>
      <c r="AJ98" s="772"/>
      <c r="AK98" s="1193"/>
      <c r="AL98" s="587"/>
      <c r="AM98" s="774"/>
    </row>
    <row r="99" spans="1:39" s="45" customFormat="1">
      <c r="A99" s="586"/>
      <c r="B99" s="771"/>
      <c r="C99" s="787" t="s">
        <v>948</v>
      </c>
      <c r="D99" s="772"/>
      <c r="E99" s="773"/>
      <c r="F99" s="587"/>
      <c r="G99" s="774"/>
      <c r="H99" s="588"/>
      <c r="I99" s="587"/>
      <c r="J99" s="587"/>
      <c r="K99" s="587"/>
      <c r="L99" s="589"/>
      <c r="M99" s="590"/>
      <c r="N99" s="591"/>
      <c r="O99" s="95"/>
      <c r="P99" s="579"/>
      <c r="Q99" s="580"/>
      <c r="R99" s="580"/>
      <c r="S99" s="581"/>
      <c r="T99" s="582"/>
      <c r="U99" s="79"/>
      <c r="V99" s="621"/>
      <c r="Y99" s="44"/>
      <c r="Z99" s="44"/>
      <c r="AA99" s="787" t="s">
        <v>948</v>
      </c>
      <c r="AB99" s="772"/>
      <c r="AC99" s="771"/>
      <c r="AD99" s="787" t="s">
        <v>948</v>
      </c>
      <c r="AE99" s="772"/>
      <c r="AF99" s="1222"/>
      <c r="AG99" s="587"/>
      <c r="AH99" s="774"/>
      <c r="AI99" s="787" t="s">
        <v>948</v>
      </c>
      <c r="AJ99" s="772"/>
      <c r="AK99" s="1193"/>
      <c r="AL99" s="587"/>
      <c r="AM99" s="774"/>
    </row>
    <row r="100" spans="1:39" s="45" customFormat="1" ht="78.75" customHeight="1">
      <c r="A100" s="586"/>
      <c r="B100" s="844">
        <v>4.8</v>
      </c>
      <c r="C100" s="102" t="s">
        <v>1025</v>
      </c>
      <c r="D100" s="772"/>
      <c r="E100" s="780"/>
      <c r="F100" s="587"/>
      <c r="G100" s="774"/>
      <c r="H100" s="588"/>
      <c r="I100" s="587"/>
      <c r="J100" s="587"/>
      <c r="K100" s="587"/>
      <c r="L100" s="589"/>
      <c r="M100" s="590"/>
      <c r="N100" s="591"/>
      <c r="O100" s="95"/>
      <c r="P100" s="579"/>
      <c r="Q100" s="580"/>
      <c r="R100" s="580"/>
      <c r="S100" s="581"/>
      <c r="T100" s="582"/>
      <c r="U100" s="79"/>
      <c r="V100" s="621"/>
      <c r="Y100" s="44"/>
      <c r="Z100" s="44"/>
      <c r="AA100" s="102" t="s">
        <v>1477</v>
      </c>
      <c r="AB100" s="772"/>
      <c r="AC100" s="844">
        <v>4.8</v>
      </c>
      <c r="AD100" s="102" t="s">
        <v>1477</v>
      </c>
      <c r="AE100" s="772"/>
      <c r="AF100" s="1222"/>
      <c r="AG100" s="587"/>
      <c r="AH100" s="774"/>
      <c r="AI100" s="1248" t="s">
        <v>1477</v>
      </c>
      <c r="AJ100" s="772"/>
      <c r="AK100" s="1193"/>
      <c r="AL100" s="587"/>
      <c r="AM100" s="774"/>
    </row>
    <row r="101" spans="1:39" s="45" customFormat="1" ht="25.5">
      <c r="A101" s="586"/>
      <c r="B101" s="779">
        <f>+B100+0.1</f>
        <v>4.8999999999999995</v>
      </c>
      <c r="C101" s="102" t="s">
        <v>1471</v>
      </c>
      <c r="D101" s="777" t="s">
        <v>22</v>
      </c>
      <c r="E101" s="587">
        <v>2</v>
      </c>
      <c r="F101" s="587">
        <v>18361768</v>
      </c>
      <c r="G101" s="774">
        <f t="shared" ref="G101:G125" si="24">E101*F101</f>
        <v>36723536</v>
      </c>
      <c r="H101" s="588"/>
      <c r="I101" s="587"/>
      <c r="J101" s="587"/>
      <c r="K101" s="587"/>
      <c r="L101" s="589"/>
      <c r="M101" s="590"/>
      <c r="N101" s="591"/>
      <c r="O101" s="95"/>
      <c r="P101" s="579"/>
      <c r="Q101" s="580"/>
      <c r="R101" s="580"/>
      <c r="S101" s="581"/>
      <c r="T101" s="582"/>
      <c r="U101" s="79"/>
      <c r="V101" s="621"/>
      <c r="X101" s="45">
        <f>14390100*1.16*1.1</f>
        <v>18361767.599999998</v>
      </c>
      <c r="Y101" s="44"/>
      <c r="Z101" s="44"/>
      <c r="AA101" s="102" t="s">
        <v>1478</v>
      </c>
      <c r="AB101" s="777" t="s">
        <v>22</v>
      </c>
      <c r="AC101" s="844">
        <f>+AC100+0.1</f>
        <v>4.8999999999999995</v>
      </c>
      <c r="AD101" s="102" t="s">
        <v>1478</v>
      </c>
      <c r="AE101" s="777" t="s">
        <v>22</v>
      </c>
      <c r="AF101" s="1230">
        <v>2</v>
      </c>
      <c r="AG101" s="587">
        <v>18361768</v>
      </c>
      <c r="AH101" s="774">
        <f t="shared" ref="AH101:AH125" si="25">AF101*AG101</f>
        <v>36723536</v>
      </c>
      <c r="AI101" s="102" t="s">
        <v>1478</v>
      </c>
      <c r="AJ101" s="777" t="s">
        <v>22</v>
      </c>
      <c r="AK101" s="1201">
        <v>2</v>
      </c>
      <c r="AL101" s="587">
        <v>18361768</v>
      </c>
      <c r="AM101" s="774">
        <f t="shared" ref="AM101:AM125" si="26">AK101*AL101</f>
        <v>36723536</v>
      </c>
    </row>
    <row r="102" spans="1:39" s="45" customFormat="1" ht="25.5">
      <c r="A102" s="586"/>
      <c r="B102" s="779">
        <v>4.0999999999999996</v>
      </c>
      <c r="C102" s="102" t="s">
        <v>962</v>
      </c>
      <c r="D102" s="777" t="s">
        <v>22</v>
      </c>
      <c r="E102" s="587">
        <v>2</v>
      </c>
      <c r="F102" s="587">
        <v>5712397</v>
      </c>
      <c r="G102" s="774">
        <f t="shared" si="24"/>
        <v>11424794</v>
      </c>
      <c r="H102" s="588"/>
      <c r="I102" s="587"/>
      <c r="J102" s="587"/>
      <c r="K102" s="587"/>
      <c r="L102" s="589"/>
      <c r="M102" s="590"/>
      <c r="N102" s="591"/>
      <c r="O102" s="95"/>
      <c r="P102" s="579"/>
      <c r="Q102" s="580"/>
      <c r="R102" s="580"/>
      <c r="S102" s="581"/>
      <c r="T102" s="582"/>
      <c r="U102" s="79"/>
      <c r="V102" s="621"/>
      <c r="X102" s="45">
        <f>4476800*1.16*1.1</f>
        <v>5712396.8000000007</v>
      </c>
      <c r="Y102" s="44"/>
      <c r="Z102" s="44"/>
      <c r="AA102" s="102" t="s">
        <v>962</v>
      </c>
      <c r="AB102" s="777" t="s">
        <v>22</v>
      </c>
      <c r="AC102" s="779">
        <v>4.0999999999999996</v>
      </c>
      <c r="AD102" s="102" t="s">
        <v>962</v>
      </c>
      <c r="AE102" s="777" t="s">
        <v>22</v>
      </c>
      <c r="AF102" s="1230">
        <v>2</v>
      </c>
      <c r="AG102" s="587">
        <v>5712397</v>
      </c>
      <c r="AH102" s="774">
        <f t="shared" si="25"/>
        <v>11424794</v>
      </c>
      <c r="AI102" s="102" t="s">
        <v>962</v>
      </c>
      <c r="AJ102" s="777" t="s">
        <v>22</v>
      </c>
      <c r="AK102" s="1201">
        <v>2</v>
      </c>
      <c r="AL102" s="587">
        <v>5712397</v>
      </c>
      <c r="AM102" s="774">
        <f t="shared" si="26"/>
        <v>11424794</v>
      </c>
    </row>
    <row r="103" spans="1:39" s="45" customFormat="1" ht="25.5">
      <c r="A103" s="586"/>
      <c r="B103" s="779">
        <f>+B102+0.01</f>
        <v>4.1099999999999994</v>
      </c>
      <c r="C103" s="102" t="s">
        <v>963</v>
      </c>
      <c r="D103" s="772" t="s">
        <v>22</v>
      </c>
      <c r="E103" s="587">
        <v>2</v>
      </c>
      <c r="F103" s="587">
        <v>7484123</v>
      </c>
      <c r="G103" s="774">
        <f t="shared" si="24"/>
        <v>14968246</v>
      </c>
      <c r="H103" s="588"/>
      <c r="I103" s="587"/>
      <c r="J103" s="587"/>
      <c r="K103" s="587"/>
      <c r="L103" s="589"/>
      <c r="M103" s="590"/>
      <c r="N103" s="591"/>
      <c r="O103" s="95"/>
      <c r="P103" s="579"/>
      <c r="Q103" s="580"/>
      <c r="R103" s="580"/>
      <c r="S103" s="581"/>
      <c r="T103" s="582"/>
      <c r="U103" s="79"/>
      <c r="V103" s="621"/>
      <c r="X103" s="45">
        <f>5865300*1.16*1.1</f>
        <v>7484122.7999999998</v>
      </c>
      <c r="Y103" s="44"/>
      <c r="Z103" s="44"/>
      <c r="AA103" s="102" t="s">
        <v>963</v>
      </c>
      <c r="AB103" s="772" t="s">
        <v>22</v>
      </c>
      <c r="AC103" s="779">
        <f>+AC102+0.01</f>
        <v>4.1099999999999994</v>
      </c>
      <c r="AD103" s="102" t="s">
        <v>963</v>
      </c>
      <c r="AE103" s="772" t="s">
        <v>22</v>
      </c>
      <c r="AF103" s="1230">
        <v>2</v>
      </c>
      <c r="AG103" s="587">
        <v>7484123</v>
      </c>
      <c r="AH103" s="774">
        <f t="shared" si="25"/>
        <v>14968246</v>
      </c>
      <c r="AI103" s="102" t="s">
        <v>963</v>
      </c>
      <c r="AJ103" s="772" t="s">
        <v>22</v>
      </c>
      <c r="AK103" s="1201">
        <v>2</v>
      </c>
      <c r="AL103" s="587">
        <v>7484123</v>
      </c>
      <c r="AM103" s="774">
        <f t="shared" si="26"/>
        <v>14968246</v>
      </c>
    </row>
    <row r="104" spans="1:39" s="45" customFormat="1" ht="76.5">
      <c r="A104" s="586"/>
      <c r="B104" s="779">
        <f t="shared" ref="B104:B124" si="27">+B103+0.01</f>
        <v>4.1199999999999992</v>
      </c>
      <c r="C104" s="102" t="s">
        <v>1019</v>
      </c>
      <c r="D104" s="777" t="s">
        <v>512</v>
      </c>
      <c r="E104" s="587">
        <v>4</v>
      </c>
      <c r="F104" s="587">
        <v>931480</v>
      </c>
      <c r="G104" s="774">
        <f t="shared" si="24"/>
        <v>3725920</v>
      </c>
      <c r="H104" s="588"/>
      <c r="I104" s="587"/>
      <c r="J104" s="587"/>
      <c r="K104" s="587"/>
      <c r="L104" s="589"/>
      <c r="M104" s="590"/>
      <c r="N104" s="591"/>
      <c r="O104" s="95"/>
      <c r="P104" s="579"/>
      <c r="Q104" s="580"/>
      <c r="R104" s="580"/>
      <c r="S104" s="581"/>
      <c r="T104" s="582"/>
      <c r="U104" s="79"/>
      <c r="V104" s="621"/>
      <c r="W104" s="859">
        <f>730000*1.16*1.1</f>
        <v>931480</v>
      </c>
      <c r="Y104" s="44"/>
      <c r="Z104" s="44"/>
      <c r="AA104" s="102" t="s">
        <v>1019</v>
      </c>
      <c r="AB104" s="777" t="s">
        <v>512</v>
      </c>
      <c r="AC104" s="779">
        <f t="shared" ref="AC104:AC124" si="28">+AC103+0.01</f>
        <v>4.1199999999999992</v>
      </c>
      <c r="AD104" s="102" t="s">
        <v>1019</v>
      </c>
      <c r="AE104" s="777" t="s">
        <v>512</v>
      </c>
      <c r="AF104" s="1230">
        <v>4</v>
      </c>
      <c r="AG104" s="587">
        <v>931480</v>
      </c>
      <c r="AH104" s="774">
        <f t="shared" si="25"/>
        <v>3725920</v>
      </c>
      <c r="AI104" s="102" t="s">
        <v>1019</v>
      </c>
      <c r="AJ104" s="777" t="s">
        <v>512</v>
      </c>
      <c r="AK104" s="1201">
        <v>4</v>
      </c>
      <c r="AL104" s="587">
        <v>931480</v>
      </c>
      <c r="AM104" s="774">
        <f t="shared" si="26"/>
        <v>3725920</v>
      </c>
    </row>
    <row r="105" spans="1:39" s="45" customFormat="1" ht="20.25" customHeight="1">
      <c r="A105" s="586"/>
      <c r="B105" s="779">
        <f t="shared" si="27"/>
        <v>4.129999999999999</v>
      </c>
      <c r="C105" s="102" t="s">
        <v>1020</v>
      </c>
      <c r="D105" s="777" t="s">
        <v>22</v>
      </c>
      <c r="E105" s="587">
        <v>4</v>
      </c>
      <c r="F105" s="587">
        <v>174812</v>
      </c>
      <c r="G105" s="774">
        <f t="shared" si="24"/>
        <v>699248</v>
      </c>
      <c r="H105" s="588"/>
      <c r="I105" s="587"/>
      <c r="J105" s="587"/>
      <c r="K105" s="587"/>
      <c r="L105" s="589"/>
      <c r="M105" s="590"/>
      <c r="N105" s="591"/>
      <c r="O105" s="95"/>
      <c r="P105" s="579"/>
      <c r="Q105" s="580"/>
      <c r="R105" s="580"/>
      <c r="S105" s="581"/>
      <c r="T105" s="582"/>
      <c r="U105" s="79"/>
      <c r="V105" s="621"/>
      <c r="W105" s="859">
        <f>137000*1.16*1.1</f>
        <v>174812</v>
      </c>
      <c r="Y105" s="44"/>
      <c r="Z105" s="44"/>
      <c r="AA105" s="102" t="s">
        <v>1020</v>
      </c>
      <c r="AB105" s="777" t="s">
        <v>22</v>
      </c>
      <c r="AC105" s="779">
        <f t="shared" si="28"/>
        <v>4.129999999999999</v>
      </c>
      <c r="AD105" s="102" t="s">
        <v>1020</v>
      </c>
      <c r="AE105" s="777" t="s">
        <v>22</v>
      </c>
      <c r="AF105" s="1230">
        <v>4</v>
      </c>
      <c r="AG105" s="587">
        <v>174812</v>
      </c>
      <c r="AH105" s="774">
        <f t="shared" si="25"/>
        <v>699248</v>
      </c>
      <c r="AI105" s="102" t="s">
        <v>1020</v>
      </c>
      <c r="AJ105" s="777" t="s">
        <v>22</v>
      </c>
      <c r="AK105" s="1201">
        <v>4</v>
      </c>
      <c r="AL105" s="587">
        <v>174812</v>
      </c>
      <c r="AM105" s="774">
        <f t="shared" si="26"/>
        <v>699248</v>
      </c>
    </row>
    <row r="106" spans="1:39" s="45" customFormat="1" ht="20.25" customHeight="1">
      <c r="A106" s="586"/>
      <c r="B106" s="779">
        <f t="shared" si="27"/>
        <v>4.1399999999999988</v>
      </c>
      <c r="C106" s="102" t="s">
        <v>1438</v>
      </c>
      <c r="D106" s="777" t="s">
        <v>512</v>
      </c>
      <c r="E106" s="587">
        <v>2</v>
      </c>
      <c r="F106" s="587">
        <v>536430</v>
      </c>
      <c r="G106" s="774">
        <f t="shared" si="24"/>
        <v>1072860</v>
      </c>
      <c r="H106" s="588"/>
      <c r="I106" s="587"/>
      <c r="J106" s="587"/>
      <c r="K106" s="587"/>
      <c r="L106" s="589"/>
      <c r="M106" s="590"/>
      <c r="N106" s="591"/>
      <c r="O106" s="95"/>
      <c r="P106" s="579"/>
      <c r="Q106" s="580"/>
      <c r="R106" s="580"/>
      <c r="S106" s="581"/>
      <c r="T106" s="582"/>
      <c r="U106" s="79"/>
      <c r="V106" s="621"/>
      <c r="W106" s="859"/>
      <c r="Y106" s="44"/>
      <c r="Z106" s="44"/>
      <c r="AA106" s="102" t="s">
        <v>1479</v>
      </c>
      <c r="AB106" s="777" t="s">
        <v>22</v>
      </c>
      <c r="AC106" s="779">
        <f t="shared" si="28"/>
        <v>4.1399999999999988</v>
      </c>
      <c r="AD106" s="102" t="s">
        <v>1479</v>
      </c>
      <c r="AE106" s="777" t="s">
        <v>22</v>
      </c>
      <c r="AF106" s="1230">
        <v>2</v>
      </c>
      <c r="AG106" s="587">
        <v>536440</v>
      </c>
      <c r="AH106" s="774">
        <f t="shared" si="25"/>
        <v>1072880</v>
      </c>
      <c r="AI106" s="102" t="s">
        <v>1479</v>
      </c>
      <c r="AJ106" s="777" t="s">
        <v>22</v>
      </c>
      <c r="AK106" s="1201">
        <v>2</v>
      </c>
      <c r="AL106" s="587">
        <v>536440</v>
      </c>
      <c r="AM106" s="774">
        <f t="shared" si="26"/>
        <v>1072880</v>
      </c>
    </row>
    <row r="107" spans="1:39" s="45" customFormat="1" ht="20.25" customHeight="1">
      <c r="A107" s="586"/>
      <c r="B107" s="1251">
        <f t="shared" si="27"/>
        <v>4.1499999999999986</v>
      </c>
      <c r="C107" s="865" t="s">
        <v>1439</v>
      </c>
      <c r="D107" s="1151" t="s">
        <v>512</v>
      </c>
      <c r="E107" s="850">
        <v>2</v>
      </c>
      <c r="F107" s="850">
        <v>4053852</v>
      </c>
      <c r="G107" s="774">
        <f>E107*F107</f>
        <v>8107704</v>
      </c>
      <c r="H107" s="588"/>
      <c r="I107" s="587"/>
      <c r="J107" s="587"/>
      <c r="K107" s="587"/>
      <c r="L107" s="589"/>
      <c r="M107" s="590"/>
      <c r="N107" s="591"/>
      <c r="O107" s="95"/>
      <c r="P107" s="579"/>
      <c r="Q107" s="580"/>
      <c r="R107" s="580"/>
      <c r="S107" s="581"/>
      <c r="T107" s="582"/>
      <c r="U107" s="79"/>
      <c r="V107" s="621"/>
      <c r="W107" s="859"/>
      <c r="Y107" s="44"/>
      <c r="Z107" s="44"/>
      <c r="AA107" s="102" t="s">
        <v>1480</v>
      </c>
      <c r="AB107" s="777" t="s">
        <v>22</v>
      </c>
      <c r="AC107" s="779">
        <f t="shared" si="28"/>
        <v>4.1499999999999986</v>
      </c>
      <c r="AD107" s="102" t="s">
        <v>1480</v>
      </c>
      <c r="AE107" s="777" t="s">
        <v>22</v>
      </c>
      <c r="AF107" s="1230">
        <v>2</v>
      </c>
      <c r="AG107" s="587">
        <v>4053852</v>
      </c>
      <c r="AH107" s="774">
        <f t="shared" si="25"/>
        <v>8107704</v>
      </c>
      <c r="AI107" s="102" t="s">
        <v>1480</v>
      </c>
      <c r="AJ107" s="777" t="s">
        <v>22</v>
      </c>
      <c r="AK107" s="1201">
        <v>2</v>
      </c>
      <c r="AL107" s="587">
        <v>4053852</v>
      </c>
      <c r="AM107" s="774">
        <f>AK107*AL107</f>
        <v>8107704</v>
      </c>
    </row>
    <row r="108" spans="1:39" s="45" customFormat="1" ht="63.75">
      <c r="A108" s="586"/>
      <c r="B108" s="779">
        <f t="shared" si="27"/>
        <v>4.1599999999999984</v>
      </c>
      <c r="C108" s="102" t="s">
        <v>522</v>
      </c>
      <c r="D108" s="772" t="s">
        <v>142</v>
      </c>
      <c r="E108" s="587">
        <v>4000</v>
      </c>
      <c r="F108" s="587">
        <v>3100</v>
      </c>
      <c r="G108" s="774">
        <f>E108*F108</f>
        <v>12400000</v>
      </c>
      <c r="H108" s="588"/>
      <c r="I108" s="587"/>
      <c r="J108" s="587"/>
      <c r="K108" s="587"/>
      <c r="L108" s="589"/>
      <c r="M108" s="590"/>
      <c r="N108" s="591"/>
      <c r="O108" s="95"/>
      <c r="P108" s="579"/>
      <c r="Q108" s="580"/>
      <c r="R108" s="580"/>
      <c r="S108" s="581"/>
      <c r="T108" s="582"/>
      <c r="U108" s="79"/>
      <c r="V108" s="621"/>
      <c r="Y108" s="44"/>
      <c r="Z108" s="44"/>
      <c r="AA108" s="102" t="s">
        <v>522</v>
      </c>
      <c r="AB108" s="772" t="s">
        <v>142</v>
      </c>
      <c r="AC108" s="779">
        <f t="shared" si="28"/>
        <v>4.1599999999999984</v>
      </c>
      <c r="AD108" s="102" t="s">
        <v>522</v>
      </c>
      <c r="AE108" s="772" t="s">
        <v>142</v>
      </c>
      <c r="AF108" s="1230">
        <v>4000</v>
      </c>
      <c r="AG108" s="587">
        <v>3100</v>
      </c>
      <c r="AH108" s="774">
        <f>+AF108*AG109</f>
        <v>18000000</v>
      </c>
      <c r="AI108" s="102" t="s">
        <v>522</v>
      </c>
      <c r="AJ108" s="772" t="s">
        <v>142</v>
      </c>
      <c r="AK108" s="1201">
        <v>4000</v>
      </c>
      <c r="AL108" s="587">
        <v>3100</v>
      </c>
      <c r="AM108" s="774">
        <f>+AK108*AL109</f>
        <v>18000000</v>
      </c>
    </row>
    <row r="109" spans="1:39" s="45" customFormat="1" ht="25.5">
      <c r="A109" s="586"/>
      <c r="B109" s="779">
        <f t="shared" si="27"/>
        <v>4.1699999999999982</v>
      </c>
      <c r="C109" s="102" t="s">
        <v>942</v>
      </c>
      <c r="D109" s="777" t="s">
        <v>56</v>
      </c>
      <c r="E109" s="587">
        <v>37</v>
      </c>
      <c r="F109" s="587">
        <v>4500</v>
      </c>
      <c r="G109" s="774">
        <f t="shared" ref="G109:G124" si="29">E109*F109</f>
        <v>166500</v>
      </c>
      <c r="H109" s="588"/>
      <c r="I109" s="587"/>
      <c r="J109" s="587"/>
      <c r="K109" s="587"/>
      <c r="L109" s="589"/>
      <c r="M109" s="590"/>
      <c r="N109" s="591"/>
      <c r="O109" s="95"/>
      <c r="P109" s="579"/>
      <c r="Q109" s="580"/>
      <c r="R109" s="580"/>
      <c r="S109" s="581"/>
      <c r="T109" s="582"/>
      <c r="U109" s="79"/>
      <c r="V109" s="621"/>
      <c r="Y109" s="44"/>
      <c r="Z109" s="44"/>
      <c r="AA109" s="102" t="s">
        <v>942</v>
      </c>
      <c r="AB109" s="777" t="s">
        <v>56</v>
      </c>
      <c r="AC109" s="779">
        <f t="shared" si="28"/>
        <v>4.1699999999999982</v>
      </c>
      <c r="AD109" s="102" t="s">
        <v>942</v>
      </c>
      <c r="AE109" s="777" t="s">
        <v>56</v>
      </c>
      <c r="AF109" s="1230">
        <v>37</v>
      </c>
      <c r="AG109" s="587">
        <v>4500</v>
      </c>
      <c r="AH109" s="774">
        <f>+AF109*AG110</f>
        <v>2332850</v>
      </c>
      <c r="AI109" s="102" t="s">
        <v>942</v>
      </c>
      <c r="AJ109" s="777" t="s">
        <v>56</v>
      </c>
      <c r="AK109" s="1201">
        <v>37</v>
      </c>
      <c r="AL109" s="587">
        <v>4500</v>
      </c>
      <c r="AM109" s="774">
        <f>+AK109*AL110</f>
        <v>2332850</v>
      </c>
    </row>
    <row r="110" spans="1:39" s="45" customFormat="1" ht="38.25">
      <c r="A110" s="586"/>
      <c r="B110" s="1251">
        <f t="shared" si="27"/>
        <v>4.1799999999999979</v>
      </c>
      <c r="C110" s="102" t="s">
        <v>945</v>
      </c>
      <c r="D110" s="772" t="s">
        <v>139</v>
      </c>
      <c r="E110" s="587">
        <v>7</v>
      </c>
      <c r="F110" s="587">
        <v>63050</v>
      </c>
      <c r="G110" s="774">
        <f t="shared" si="29"/>
        <v>441350</v>
      </c>
      <c r="H110" s="588"/>
      <c r="I110" s="587"/>
      <c r="J110" s="587"/>
      <c r="K110" s="587"/>
      <c r="L110" s="589"/>
      <c r="M110" s="590"/>
      <c r="N110" s="591"/>
      <c r="O110" s="95"/>
      <c r="P110" s="579"/>
      <c r="Q110" s="580"/>
      <c r="R110" s="580"/>
      <c r="S110" s="581"/>
      <c r="T110" s="582"/>
      <c r="U110" s="79"/>
      <c r="V110" s="621"/>
      <c r="Y110" s="44"/>
      <c r="Z110" s="44"/>
      <c r="AA110" s="102" t="s">
        <v>945</v>
      </c>
      <c r="AB110" s="772" t="s">
        <v>139</v>
      </c>
      <c r="AC110" s="779">
        <f t="shared" si="28"/>
        <v>4.1799999999999979</v>
      </c>
      <c r="AD110" s="102" t="s">
        <v>945</v>
      </c>
      <c r="AE110" s="772" t="s">
        <v>139</v>
      </c>
      <c r="AF110" s="1230">
        <v>53</v>
      </c>
      <c r="AG110" s="587">
        <v>63050</v>
      </c>
      <c r="AH110" s="774">
        <f>+AF110*AG111</f>
        <v>1554490</v>
      </c>
      <c r="AI110" s="102" t="s">
        <v>945</v>
      </c>
      <c r="AJ110" s="772" t="s">
        <v>139</v>
      </c>
      <c r="AK110" s="1201">
        <v>7</v>
      </c>
      <c r="AL110" s="587">
        <v>63050</v>
      </c>
      <c r="AM110" s="774">
        <f>+AK110*AL111</f>
        <v>205310</v>
      </c>
    </row>
    <row r="111" spans="1:39" s="45" customFormat="1" ht="25.5">
      <c r="A111" s="586"/>
      <c r="B111" s="779">
        <f t="shared" si="27"/>
        <v>4.1899999999999977</v>
      </c>
      <c r="C111" s="102" t="s">
        <v>946</v>
      </c>
      <c r="D111" s="772" t="s">
        <v>540</v>
      </c>
      <c r="E111" s="587">
        <v>30</v>
      </c>
      <c r="F111" s="587">
        <v>29330</v>
      </c>
      <c r="G111" s="774">
        <f t="shared" si="29"/>
        <v>879900</v>
      </c>
      <c r="H111" s="588"/>
      <c r="I111" s="587"/>
      <c r="J111" s="587"/>
      <c r="K111" s="587"/>
      <c r="L111" s="589"/>
      <c r="M111" s="590"/>
      <c r="N111" s="591"/>
      <c r="O111" s="95"/>
      <c r="P111" s="579"/>
      <c r="Q111" s="580"/>
      <c r="R111" s="580"/>
      <c r="S111" s="581"/>
      <c r="T111" s="582"/>
      <c r="U111" s="79"/>
      <c r="V111" s="621"/>
      <c r="Y111" s="44"/>
      <c r="Z111" s="44"/>
      <c r="AA111" s="102" t="s">
        <v>946</v>
      </c>
      <c r="AB111" s="772" t="s">
        <v>540</v>
      </c>
      <c r="AC111" s="779">
        <f t="shared" si="28"/>
        <v>4.1899999999999977</v>
      </c>
      <c r="AD111" s="102" t="s">
        <v>946</v>
      </c>
      <c r="AE111" s="772" t="s">
        <v>540</v>
      </c>
      <c r="AF111" s="1230">
        <v>30</v>
      </c>
      <c r="AG111" s="587">
        <v>29330</v>
      </c>
      <c r="AH111" s="774">
        <f t="shared" ref="AH111:AH116" si="30">+AF111*AG111</f>
        <v>879900</v>
      </c>
      <c r="AI111" s="102" t="s">
        <v>946</v>
      </c>
      <c r="AJ111" s="772" t="s">
        <v>540</v>
      </c>
      <c r="AK111" s="1201">
        <v>30</v>
      </c>
      <c r="AL111" s="587">
        <v>29330</v>
      </c>
      <c r="AM111" s="774">
        <f t="shared" ref="AM111:AM116" si="31">+AK111*AL111</f>
        <v>879900</v>
      </c>
    </row>
    <row r="112" spans="1:39" s="45" customFormat="1" ht="25.5">
      <c r="A112" s="586"/>
      <c r="B112" s="779">
        <f t="shared" si="27"/>
        <v>4.1999999999999975</v>
      </c>
      <c r="C112" s="782" t="s">
        <v>950</v>
      </c>
      <c r="D112" s="772" t="s">
        <v>540</v>
      </c>
      <c r="E112" s="587">
        <v>56</v>
      </c>
      <c r="F112" s="587">
        <v>18420</v>
      </c>
      <c r="G112" s="774">
        <f t="shared" si="29"/>
        <v>1031520</v>
      </c>
      <c r="H112" s="588"/>
      <c r="I112" s="587"/>
      <c r="J112" s="587"/>
      <c r="K112" s="587"/>
      <c r="L112" s="589"/>
      <c r="M112" s="590"/>
      <c r="N112" s="591"/>
      <c r="O112" s="95"/>
      <c r="P112" s="579"/>
      <c r="Q112" s="580"/>
      <c r="R112" s="580"/>
      <c r="S112" s="581"/>
      <c r="T112" s="582"/>
      <c r="U112" s="79"/>
      <c r="V112" s="621"/>
      <c r="Y112" s="44"/>
      <c r="Z112" s="44"/>
      <c r="AA112" s="1062" t="s">
        <v>950</v>
      </c>
      <c r="AB112" s="772" t="s">
        <v>540</v>
      </c>
      <c r="AC112" s="779">
        <f t="shared" si="28"/>
        <v>4.1999999999999975</v>
      </c>
      <c r="AD112" s="1062" t="s">
        <v>950</v>
      </c>
      <c r="AE112" s="772" t="s">
        <v>540</v>
      </c>
      <c r="AF112" s="1230">
        <v>56</v>
      </c>
      <c r="AG112" s="587">
        <v>18420</v>
      </c>
      <c r="AH112" s="774">
        <f t="shared" si="30"/>
        <v>1031520</v>
      </c>
      <c r="AI112" s="1062" t="s">
        <v>950</v>
      </c>
      <c r="AJ112" s="772" t="s">
        <v>540</v>
      </c>
      <c r="AK112" s="1201">
        <v>56</v>
      </c>
      <c r="AL112" s="587">
        <v>18420</v>
      </c>
      <c r="AM112" s="774">
        <f t="shared" si="31"/>
        <v>1031520</v>
      </c>
    </row>
    <row r="113" spans="1:40" s="45" customFormat="1" ht="24.75" customHeight="1">
      <c r="A113" s="586"/>
      <c r="B113" s="779">
        <f t="shared" si="27"/>
        <v>4.2099999999999973</v>
      </c>
      <c r="C113" s="782" t="s">
        <v>964</v>
      </c>
      <c r="D113" s="772" t="s">
        <v>22</v>
      </c>
      <c r="E113" s="587">
        <v>138</v>
      </c>
      <c r="F113" s="587">
        <v>49700</v>
      </c>
      <c r="G113" s="774">
        <f t="shared" si="29"/>
        <v>6858600</v>
      </c>
      <c r="H113" s="588"/>
      <c r="I113" s="587"/>
      <c r="J113" s="587"/>
      <c r="K113" s="587"/>
      <c r="L113" s="589"/>
      <c r="M113" s="590"/>
      <c r="N113" s="591"/>
      <c r="O113" s="95"/>
      <c r="P113" s="579"/>
      <c r="Q113" s="580"/>
      <c r="R113" s="580"/>
      <c r="S113" s="581"/>
      <c r="T113" s="582"/>
      <c r="U113" s="79"/>
      <c r="V113" s="621"/>
      <c r="Y113" s="44"/>
      <c r="Z113" s="44"/>
      <c r="AA113" s="1062" t="s">
        <v>964</v>
      </c>
      <c r="AB113" s="772" t="s">
        <v>22</v>
      </c>
      <c r="AC113" s="779">
        <f t="shared" si="28"/>
        <v>4.2099999999999973</v>
      </c>
      <c r="AD113" s="1062" t="s">
        <v>964</v>
      </c>
      <c r="AE113" s="772" t="s">
        <v>22</v>
      </c>
      <c r="AF113" s="1230">
        <v>138</v>
      </c>
      <c r="AG113" s="587">
        <v>49700</v>
      </c>
      <c r="AH113" s="774">
        <f t="shared" si="30"/>
        <v>6858600</v>
      </c>
      <c r="AI113" s="1062" t="s">
        <v>964</v>
      </c>
      <c r="AJ113" s="772" t="s">
        <v>22</v>
      </c>
      <c r="AK113" s="1201">
        <v>138</v>
      </c>
      <c r="AL113" s="587">
        <v>49700</v>
      </c>
      <c r="AM113" s="774">
        <f t="shared" si="31"/>
        <v>6858600</v>
      </c>
    </row>
    <row r="114" spans="1:40" s="45" customFormat="1" ht="15" customHeight="1">
      <c r="A114" s="586"/>
      <c r="B114" s="779">
        <f t="shared" si="27"/>
        <v>4.2199999999999971</v>
      </c>
      <c r="C114" s="102" t="s">
        <v>509</v>
      </c>
      <c r="D114" s="772" t="s">
        <v>56</v>
      </c>
      <c r="E114" s="587">
        <v>36</v>
      </c>
      <c r="F114" s="587">
        <v>150170</v>
      </c>
      <c r="G114" s="774">
        <f t="shared" si="29"/>
        <v>5406120</v>
      </c>
      <c r="H114" s="588"/>
      <c r="I114" s="587"/>
      <c r="J114" s="587"/>
      <c r="K114" s="587"/>
      <c r="L114" s="589"/>
      <c r="M114" s="590"/>
      <c r="N114" s="591"/>
      <c r="O114" s="95"/>
      <c r="P114" s="579"/>
      <c r="Q114" s="580"/>
      <c r="R114" s="580"/>
      <c r="S114" s="581"/>
      <c r="T114" s="582"/>
      <c r="U114" s="79"/>
      <c r="V114" s="621"/>
      <c r="W114" s="215"/>
      <c r="X114" s="830"/>
      <c r="Y114" s="829"/>
      <c r="Z114" s="95"/>
      <c r="AA114" s="102" t="s">
        <v>509</v>
      </c>
      <c r="AB114" s="772" t="s">
        <v>56</v>
      </c>
      <c r="AC114" s="779">
        <f t="shared" si="28"/>
        <v>4.2199999999999971</v>
      </c>
      <c r="AD114" s="102" t="s">
        <v>509</v>
      </c>
      <c r="AE114" s="772" t="s">
        <v>56</v>
      </c>
      <c r="AF114" s="1230">
        <v>36</v>
      </c>
      <c r="AG114" s="587">
        <v>150170</v>
      </c>
      <c r="AH114" s="774">
        <f t="shared" si="30"/>
        <v>5406120</v>
      </c>
      <c r="AI114" s="102" t="s">
        <v>509</v>
      </c>
      <c r="AJ114" s="772" t="s">
        <v>56</v>
      </c>
      <c r="AK114" s="1201">
        <v>36</v>
      </c>
      <c r="AL114" s="587">
        <v>150170</v>
      </c>
      <c r="AM114" s="774">
        <f t="shared" si="31"/>
        <v>5406120</v>
      </c>
    </row>
    <row r="115" spans="1:40" s="45" customFormat="1" ht="102">
      <c r="A115" s="586"/>
      <c r="B115" s="779">
        <f t="shared" si="27"/>
        <v>4.2299999999999969</v>
      </c>
      <c r="C115" s="102" t="s">
        <v>935</v>
      </c>
      <c r="D115" s="777" t="s">
        <v>22</v>
      </c>
      <c r="E115" s="587">
        <v>42</v>
      </c>
      <c r="F115" s="587">
        <v>59200</v>
      </c>
      <c r="G115" s="774">
        <f t="shared" si="29"/>
        <v>2486400</v>
      </c>
      <c r="H115" s="588"/>
      <c r="I115" s="587"/>
      <c r="J115" s="587"/>
      <c r="K115" s="587"/>
      <c r="L115" s="589"/>
      <c r="M115" s="590"/>
      <c r="N115" s="591"/>
      <c r="O115" s="95"/>
      <c r="P115" s="579"/>
      <c r="Q115" s="580"/>
      <c r="R115" s="580"/>
      <c r="S115" s="581"/>
      <c r="T115" s="582"/>
      <c r="U115" s="79"/>
      <c r="V115" s="621"/>
      <c r="Y115" s="44"/>
      <c r="Z115" s="44"/>
      <c r="AA115" s="102" t="s">
        <v>935</v>
      </c>
      <c r="AB115" s="777" t="s">
        <v>22</v>
      </c>
      <c r="AC115" s="779">
        <f t="shared" si="28"/>
        <v>4.2299999999999969</v>
      </c>
      <c r="AD115" s="102" t="s">
        <v>935</v>
      </c>
      <c r="AE115" s="777" t="s">
        <v>22</v>
      </c>
      <c r="AF115" s="1230">
        <v>42</v>
      </c>
      <c r="AG115" s="587">
        <v>59200</v>
      </c>
      <c r="AH115" s="774">
        <f t="shared" si="30"/>
        <v>2486400</v>
      </c>
      <c r="AI115" s="102" t="s">
        <v>935</v>
      </c>
      <c r="AJ115" s="777" t="s">
        <v>22</v>
      </c>
      <c r="AK115" s="1201">
        <v>42</v>
      </c>
      <c r="AL115" s="587">
        <v>59200</v>
      </c>
      <c r="AM115" s="774">
        <f t="shared" si="31"/>
        <v>2486400</v>
      </c>
    </row>
    <row r="116" spans="1:40" s="45" customFormat="1" ht="76.5">
      <c r="A116" s="586"/>
      <c r="B116" s="779">
        <f t="shared" si="27"/>
        <v>4.2399999999999967</v>
      </c>
      <c r="C116" s="102" t="s">
        <v>1018</v>
      </c>
      <c r="D116" s="777" t="s">
        <v>512</v>
      </c>
      <c r="E116" s="587">
        <v>30</v>
      </c>
      <c r="F116" s="587">
        <v>30550</v>
      </c>
      <c r="G116" s="774">
        <f t="shared" si="29"/>
        <v>916500</v>
      </c>
      <c r="H116" s="588"/>
      <c r="I116" s="587"/>
      <c r="J116" s="587"/>
      <c r="K116" s="587"/>
      <c r="L116" s="589"/>
      <c r="M116" s="590"/>
      <c r="N116" s="591"/>
      <c r="O116" s="95"/>
      <c r="P116" s="579"/>
      <c r="Q116" s="580"/>
      <c r="R116" s="580"/>
      <c r="S116" s="581"/>
      <c r="T116" s="582"/>
      <c r="U116" s="79"/>
      <c r="V116" s="621"/>
      <c r="Y116" s="44"/>
      <c r="Z116" s="44"/>
      <c r="AA116" s="102" t="s">
        <v>1018</v>
      </c>
      <c r="AB116" s="777" t="s">
        <v>512</v>
      </c>
      <c r="AC116" s="779">
        <f t="shared" si="28"/>
        <v>4.2399999999999967</v>
      </c>
      <c r="AD116" s="102" t="s">
        <v>1018</v>
      </c>
      <c r="AE116" s="777" t="s">
        <v>512</v>
      </c>
      <c r="AF116" s="1230">
        <v>30</v>
      </c>
      <c r="AG116" s="587">
        <v>30550</v>
      </c>
      <c r="AH116" s="774">
        <f t="shared" si="30"/>
        <v>916500</v>
      </c>
      <c r="AI116" s="102" t="s">
        <v>1018</v>
      </c>
      <c r="AJ116" s="777" t="s">
        <v>512</v>
      </c>
      <c r="AK116" s="1201">
        <v>30</v>
      </c>
      <c r="AL116" s="587">
        <v>30550</v>
      </c>
      <c r="AM116" s="774">
        <f t="shared" si="31"/>
        <v>916500</v>
      </c>
    </row>
    <row r="117" spans="1:40" s="45" customFormat="1" ht="38.25">
      <c r="A117" s="586"/>
      <c r="B117" s="779">
        <f t="shared" si="27"/>
        <v>4.2499999999999964</v>
      </c>
      <c r="C117" s="102" t="s">
        <v>543</v>
      </c>
      <c r="D117" s="777" t="s">
        <v>512</v>
      </c>
      <c r="E117" s="587">
        <v>32</v>
      </c>
      <c r="F117" s="587">
        <v>21450</v>
      </c>
      <c r="G117" s="774">
        <f t="shared" si="29"/>
        <v>686400</v>
      </c>
      <c r="H117" s="588"/>
      <c r="I117" s="587"/>
      <c r="J117" s="587"/>
      <c r="K117" s="587"/>
      <c r="L117" s="589"/>
      <c r="M117" s="590"/>
      <c r="N117" s="591"/>
      <c r="O117" s="95"/>
      <c r="P117" s="579"/>
      <c r="Q117" s="580"/>
      <c r="R117" s="580"/>
      <c r="S117" s="581"/>
      <c r="T117" s="582"/>
      <c r="U117" s="79"/>
      <c r="V117" s="621"/>
      <c r="Y117" s="44"/>
      <c r="Z117" s="44"/>
      <c r="AA117" s="102" t="s">
        <v>543</v>
      </c>
      <c r="AB117" s="777" t="s">
        <v>512</v>
      </c>
      <c r="AC117" s="779">
        <f t="shared" si="28"/>
        <v>4.2499999999999964</v>
      </c>
      <c r="AD117" s="102" t="s">
        <v>543</v>
      </c>
      <c r="AE117" s="777" t="s">
        <v>512</v>
      </c>
      <c r="AF117" s="1230">
        <v>32</v>
      </c>
      <c r="AG117" s="587">
        <v>21450</v>
      </c>
      <c r="AH117" s="774">
        <f t="shared" si="25"/>
        <v>686400</v>
      </c>
      <c r="AI117" s="102" t="s">
        <v>543</v>
      </c>
      <c r="AJ117" s="777" t="s">
        <v>512</v>
      </c>
      <c r="AK117" s="1201">
        <v>32</v>
      </c>
      <c r="AL117" s="587">
        <v>21450</v>
      </c>
      <c r="AM117" s="774">
        <f t="shared" si="26"/>
        <v>686400</v>
      </c>
    </row>
    <row r="118" spans="1:40" s="45" customFormat="1" ht="38.25">
      <c r="A118" s="586"/>
      <c r="B118" s="779">
        <f t="shared" si="27"/>
        <v>4.2599999999999962</v>
      </c>
      <c r="C118" s="102" t="s">
        <v>545</v>
      </c>
      <c r="D118" s="777" t="s">
        <v>500</v>
      </c>
      <c r="E118" s="587">
        <v>6</v>
      </c>
      <c r="F118" s="587">
        <v>18028</v>
      </c>
      <c r="G118" s="774">
        <f t="shared" si="29"/>
        <v>108168</v>
      </c>
      <c r="H118" s="588"/>
      <c r="I118" s="587"/>
      <c r="J118" s="587"/>
      <c r="K118" s="587"/>
      <c r="L118" s="589"/>
      <c r="M118" s="590"/>
      <c r="N118" s="591"/>
      <c r="O118" s="95"/>
      <c r="P118" s="579"/>
      <c r="Q118" s="580"/>
      <c r="R118" s="580"/>
      <c r="S118" s="581"/>
      <c r="T118" s="582"/>
      <c r="U118" s="79"/>
      <c r="V118" s="621"/>
      <c r="Y118" s="44"/>
      <c r="Z118" s="44"/>
      <c r="AA118" s="102" t="s">
        <v>545</v>
      </c>
      <c r="AB118" s="777" t="s">
        <v>500</v>
      </c>
      <c r="AC118" s="779">
        <f t="shared" si="28"/>
        <v>4.2599999999999962</v>
      </c>
      <c r="AD118" s="102" t="s">
        <v>545</v>
      </c>
      <c r="AE118" s="777" t="s">
        <v>500</v>
      </c>
      <c r="AF118" s="1230">
        <v>6</v>
      </c>
      <c r="AG118" s="587">
        <v>18028</v>
      </c>
      <c r="AH118" s="774">
        <f t="shared" si="25"/>
        <v>108168</v>
      </c>
      <c r="AI118" s="102" t="s">
        <v>545</v>
      </c>
      <c r="AJ118" s="777" t="s">
        <v>500</v>
      </c>
      <c r="AK118" s="1201">
        <v>6</v>
      </c>
      <c r="AL118" s="587">
        <v>18028</v>
      </c>
      <c r="AM118" s="774">
        <f t="shared" si="26"/>
        <v>108168</v>
      </c>
    </row>
    <row r="119" spans="1:40" s="45" customFormat="1" ht="38.25">
      <c r="A119" s="586"/>
      <c r="B119" s="779">
        <f t="shared" si="27"/>
        <v>4.269999999999996</v>
      </c>
      <c r="C119" s="102" t="s">
        <v>965</v>
      </c>
      <c r="D119" s="772" t="s">
        <v>512</v>
      </c>
      <c r="E119" s="587">
        <v>32</v>
      </c>
      <c r="F119" s="587">
        <v>3720</v>
      </c>
      <c r="G119" s="774">
        <f t="shared" si="29"/>
        <v>119040</v>
      </c>
      <c r="H119" s="588"/>
      <c r="I119" s="587"/>
      <c r="J119" s="587"/>
      <c r="K119" s="587"/>
      <c r="L119" s="589"/>
      <c r="M119" s="590"/>
      <c r="N119" s="591"/>
      <c r="O119" s="95"/>
      <c r="P119" s="579"/>
      <c r="Q119" s="580"/>
      <c r="R119" s="580"/>
      <c r="S119" s="581"/>
      <c r="T119" s="582"/>
      <c r="U119" s="79"/>
      <c r="V119" s="621"/>
      <c r="Y119" s="44"/>
      <c r="Z119" s="44"/>
      <c r="AA119" s="102" t="s">
        <v>965</v>
      </c>
      <c r="AB119" s="772" t="s">
        <v>512</v>
      </c>
      <c r="AC119" s="779">
        <f t="shared" si="28"/>
        <v>4.269999999999996</v>
      </c>
      <c r="AD119" s="102" t="s">
        <v>965</v>
      </c>
      <c r="AE119" s="772" t="s">
        <v>512</v>
      </c>
      <c r="AF119" s="1230">
        <v>32</v>
      </c>
      <c r="AG119" s="587">
        <v>3720</v>
      </c>
      <c r="AH119" s="774">
        <f t="shared" si="25"/>
        <v>119040</v>
      </c>
      <c r="AI119" s="102" t="s">
        <v>965</v>
      </c>
      <c r="AJ119" s="772" t="s">
        <v>512</v>
      </c>
      <c r="AK119" s="1201">
        <v>32</v>
      </c>
      <c r="AL119" s="587">
        <v>3720</v>
      </c>
      <c r="AM119" s="774">
        <f t="shared" si="26"/>
        <v>119040</v>
      </c>
    </row>
    <row r="120" spans="1:40" s="45" customFormat="1" ht="38.25">
      <c r="A120" s="586"/>
      <c r="B120" s="779">
        <f t="shared" si="27"/>
        <v>4.2799999999999958</v>
      </c>
      <c r="C120" s="102" t="s">
        <v>547</v>
      </c>
      <c r="D120" s="777" t="s">
        <v>22</v>
      </c>
      <c r="E120" s="587">
        <v>1</v>
      </c>
      <c r="F120" s="858">
        <v>115000</v>
      </c>
      <c r="G120" s="774">
        <f t="shared" si="29"/>
        <v>115000</v>
      </c>
      <c r="H120" s="588"/>
      <c r="I120" s="587"/>
      <c r="J120" s="587"/>
      <c r="K120" s="587"/>
      <c r="L120" s="589"/>
      <c r="M120" s="590"/>
      <c r="N120" s="591"/>
      <c r="O120" s="95"/>
      <c r="P120" s="579"/>
      <c r="Q120" s="580"/>
      <c r="R120" s="580"/>
      <c r="S120" s="581"/>
      <c r="T120" s="582"/>
      <c r="U120" s="79"/>
      <c r="V120" s="621"/>
      <c r="W120" s="45">
        <f>348000*1.16*1.1</f>
        <v>444048.00000000006</v>
      </c>
      <c r="Y120" s="44"/>
      <c r="Z120" s="44"/>
      <c r="AA120" s="102" t="s">
        <v>547</v>
      </c>
      <c r="AB120" s="777" t="s">
        <v>22</v>
      </c>
      <c r="AC120" s="779">
        <f t="shared" si="28"/>
        <v>4.2799999999999958</v>
      </c>
      <c r="AD120" s="102" t="s">
        <v>547</v>
      </c>
      <c r="AE120" s="777" t="s">
        <v>22</v>
      </c>
      <c r="AF120" s="1230">
        <v>1</v>
      </c>
      <c r="AG120" s="858">
        <v>115000</v>
      </c>
      <c r="AH120" s="774">
        <f t="shared" si="25"/>
        <v>115000</v>
      </c>
      <c r="AI120" s="102" t="s">
        <v>547</v>
      </c>
      <c r="AJ120" s="777" t="s">
        <v>22</v>
      </c>
      <c r="AK120" s="1201">
        <v>1</v>
      </c>
      <c r="AL120" s="858">
        <v>115000</v>
      </c>
      <c r="AM120" s="774">
        <f t="shared" si="26"/>
        <v>115000</v>
      </c>
    </row>
    <row r="121" spans="1:40" s="45" customFormat="1" ht="38.25">
      <c r="A121" s="586"/>
      <c r="B121" s="779">
        <f t="shared" si="27"/>
        <v>4.2899999999999956</v>
      </c>
      <c r="C121" s="102" t="s">
        <v>548</v>
      </c>
      <c r="D121" s="777" t="s">
        <v>22</v>
      </c>
      <c r="E121" s="587">
        <v>4</v>
      </c>
      <c r="F121" s="858">
        <v>469000</v>
      </c>
      <c r="G121" s="774">
        <f t="shared" si="29"/>
        <v>1876000</v>
      </c>
      <c r="H121" s="588"/>
      <c r="I121" s="587"/>
      <c r="J121" s="587"/>
      <c r="K121" s="587"/>
      <c r="L121" s="589"/>
      <c r="M121" s="590"/>
      <c r="N121" s="591"/>
      <c r="O121" s="95"/>
      <c r="P121" s="579"/>
      <c r="Q121" s="580"/>
      <c r="R121" s="580"/>
      <c r="S121" s="581"/>
      <c r="T121" s="582"/>
      <c r="U121" s="79"/>
      <c r="V121" s="621"/>
      <c r="W121" s="45">
        <f>348000*1.16*1.1</f>
        <v>444048.00000000006</v>
      </c>
      <c r="Y121" s="44"/>
      <c r="Z121" s="44"/>
      <c r="AA121" s="102" t="s">
        <v>548</v>
      </c>
      <c r="AB121" s="777" t="s">
        <v>22</v>
      </c>
      <c r="AC121" s="779">
        <f t="shared" si="28"/>
        <v>4.2899999999999956</v>
      </c>
      <c r="AD121" s="102" t="s">
        <v>548</v>
      </c>
      <c r="AE121" s="777" t="s">
        <v>22</v>
      </c>
      <c r="AF121" s="1230">
        <v>4</v>
      </c>
      <c r="AG121" s="858">
        <v>469000</v>
      </c>
      <c r="AH121" s="774">
        <f t="shared" si="25"/>
        <v>1876000</v>
      </c>
      <c r="AI121" s="102" t="s">
        <v>548</v>
      </c>
      <c r="AJ121" s="777" t="s">
        <v>22</v>
      </c>
      <c r="AK121" s="1201">
        <v>4</v>
      </c>
      <c r="AL121" s="858">
        <v>469000</v>
      </c>
      <c r="AM121" s="774">
        <f t="shared" si="26"/>
        <v>1876000</v>
      </c>
    </row>
    <row r="122" spans="1:40" s="45" customFormat="1" ht="25.5">
      <c r="A122" s="586"/>
      <c r="B122" s="779">
        <f t="shared" si="27"/>
        <v>4.2999999999999954</v>
      </c>
      <c r="C122" s="988" t="s">
        <v>513</v>
      </c>
      <c r="D122" s="989" t="s">
        <v>22</v>
      </c>
      <c r="E122" s="858">
        <v>676</v>
      </c>
      <c r="F122" s="858">
        <v>53000</v>
      </c>
      <c r="G122" s="774">
        <f t="shared" si="29"/>
        <v>35828000</v>
      </c>
      <c r="H122" s="588"/>
      <c r="I122" s="587"/>
      <c r="J122" s="587"/>
      <c r="K122" s="587"/>
      <c r="L122" s="589"/>
      <c r="M122" s="590"/>
      <c r="N122" s="591"/>
      <c r="O122" s="95"/>
      <c r="P122" s="579"/>
      <c r="Q122" s="580"/>
      <c r="R122" s="580"/>
      <c r="S122" s="581"/>
      <c r="T122" s="582"/>
      <c r="U122" s="79"/>
      <c r="V122" s="621"/>
      <c r="W122" s="878"/>
      <c r="Y122" s="44"/>
      <c r="Z122" s="44"/>
      <c r="AA122" s="988" t="s">
        <v>513</v>
      </c>
      <c r="AB122" s="989" t="s">
        <v>22</v>
      </c>
      <c r="AC122" s="779">
        <f t="shared" si="28"/>
        <v>4.2999999999999954</v>
      </c>
      <c r="AD122" s="988" t="s">
        <v>513</v>
      </c>
      <c r="AE122" s="989" t="s">
        <v>22</v>
      </c>
      <c r="AF122" s="1230">
        <v>676</v>
      </c>
      <c r="AG122" s="858">
        <v>53000</v>
      </c>
      <c r="AH122" s="990">
        <f t="shared" si="25"/>
        <v>35828000</v>
      </c>
      <c r="AI122" s="988" t="s">
        <v>513</v>
      </c>
      <c r="AJ122" s="989" t="s">
        <v>22</v>
      </c>
      <c r="AK122" s="1201">
        <v>676</v>
      </c>
      <c r="AL122" s="858">
        <v>53000</v>
      </c>
      <c r="AM122" s="990">
        <f t="shared" si="26"/>
        <v>35828000</v>
      </c>
    </row>
    <row r="123" spans="1:40" s="45" customFormat="1" ht="25.5">
      <c r="A123" s="586"/>
      <c r="B123" s="779">
        <f t="shared" si="27"/>
        <v>4.3099999999999952</v>
      </c>
      <c r="C123" s="102" t="s">
        <v>514</v>
      </c>
      <c r="D123" s="777" t="s">
        <v>22</v>
      </c>
      <c r="E123" s="587">
        <v>676</v>
      </c>
      <c r="F123" s="858">
        <v>14047</v>
      </c>
      <c r="G123" s="774">
        <f t="shared" si="29"/>
        <v>9495772</v>
      </c>
      <c r="H123" s="588"/>
      <c r="I123" s="587"/>
      <c r="J123" s="587"/>
      <c r="K123" s="587"/>
      <c r="L123" s="589"/>
      <c r="M123" s="590"/>
      <c r="N123" s="591"/>
      <c r="O123" s="95"/>
      <c r="P123" s="579"/>
      <c r="Q123" s="580"/>
      <c r="R123" s="580"/>
      <c r="S123" s="581"/>
      <c r="T123" s="582"/>
      <c r="U123" s="79"/>
      <c r="V123" s="621"/>
      <c r="W123" s="45">
        <v>14047</v>
      </c>
      <c r="Y123" s="44"/>
      <c r="Z123" s="44"/>
      <c r="AA123" s="102" t="s">
        <v>514</v>
      </c>
      <c r="AB123" s="777" t="s">
        <v>22</v>
      </c>
      <c r="AC123" s="779">
        <f t="shared" si="28"/>
        <v>4.3099999999999952</v>
      </c>
      <c r="AD123" s="102" t="s">
        <v>514</v>
      </c>
      <c r="AE123" s="777" t="s">
        <v>22</v>
      </c>
      <c r="AF123" s="1230">
        <v>676</v>
      </c>
      <c r="AG123" s="858">
        <v>14047</v>
      </c>
      <c r="AH123" s="774">
        <f>AF122*AG123</f>
        <v>9495772</v>
      </c>
      <c r="AI123" s="102" t="s">
        <v>514</v>
      </c>
      <c r="AJ123" s="777" t="s">
        <v>22</v>
      </c>
      <c r="AK123" s="1201">
        <v>676</v>
      </c>
      <c r="AL123" s="858">
        <v>14047</v>
      </c>
      <c r="AM123" s="774">
        <f>AK122*AL123</f>
        <v>9495772</v>
      </c>
    </row>
    <row r="124" spans="1:40" s="45" customFormat="1" ht="25.5">
      <c r="A124" s="586"/>
      <c r="B124" s="779">
        <f t="shared" si="27"/>
        <v>4.319999999999995</v>
      </c>
      <c r="C124" s="102" t="s">
        <v>515</v>
      </c>
      <c r="D124" s="772" t="s">
        <v>22</v>
      </c>
      <c r="E124" s="587">
        <v>1372</v>
      </c>
      <c r="F124" s="858">
        <v>2923</v>
      </c>
      <c r="G124" s="774">
        <f t="shared" si="29"/>
        <v>4010356</v>
      </c>
      <c r="H124" s="588"/>
      <c r="I124" s="587"/>
      <c r="J124" s="587"/>
      <c r="K124" s="587"/>
      <c r="L124" s="589"/>
      <c r="M124" s="590"/>
      <c r="N124" s="591"/>
      <c r="O124" s="95"/>
      <c r="P124" s="579"/>
      <c r="Q124" s="580"/>
      <c r="R124" s="580"/>
      <c r="S124" s="581"/>
      <c r="T124" s="582"/>
      <c r="U124" s="79"/>
      <c r="V124" s="621"/>
      <c r="Y124" s="44"/>
      <c r="Z124" s="44"/>
      <c r="AA124" s="102" t="s">
        <v>515</v>
      </c>
      <c r="AB124" s="772" t="s">
        <v>22</v>
      </c>
      <c r="AC124" s="779">
        <f t="shared" si="28"/>
        <v>4.319999999999995</v>
      </c>
      <c r="AD124" s="102" t="s">
        <v>515</v>
      </c>
      <c r="AE124" s="772" t="s">
        <v>22</v>
      </c>
      <c r="AF124" s="1230">
        <v>1372</v>
      </c>
      <c r="AG124" s="858">
        <v>2923</v>
      </c>
      <c r="AH124" s="774">
        <f>AF123*AG124</f>
        <v>1975948</v>
      </c>
      <c r="AI124" s="102" t="s">
        <v>515</v>
      </c>
      <c r="AJ124" s="772" t="s">
        <v>22</v>
      </c>
      <c r="AK124" s="1201">
        <v>1372</v>
      </c>
      <c r="AL124" s="858">
        <v>2923</v>
      </c>
      <c r="AM124" s="774">
        <f>AK123*AL124</f>
        <v>1975948</v>
      </c>
      <c r="AN124" s="1043">
        <f>+AG124*AF124</f>
        <v>4010356</v>
      </c>
    </row>
    <row r="125" spans="1:40" s="45" customFormat="1">
      <c r="A125" s="586"/>
      <c r="B125" s="779"/>
      <c r="C125" s="102"/>
      <c r="D125" s="777"/>
      <c r="E125" s="780"/>
      <c r="F125" s="776"/>
      <c r="G125" s="774">
        <f t="shared" si="24"/>
        <v>0</v>
      </c>
      <c r="H125" s="588"/>
      <c r="I125" s="587"/>
      <c r="J125" s="587"/>
      <c r="K125" s="587"/>
      <c r="L125" s="589"/>
      <c r="M125" s="590"/>
      <c r="N125" s="591"/>
      <c r="O125" s="95"/>
      <c r="P125" s="579"/>
      <c r="Q125" s="580"/>
      <c r="R125" s="580"/>
      <c r="S125" s="581"/>
      <c r="T125" s="582"/>
      <c r="U125" s="79"/>
      <c r="V125" s="621"/>
      <c r="Y125" s="44"/>
      <c r="Z125" s="44"/>
      <c r="AA125" s="102"/>
      <c r="AB125" s="777"/>
      <c r="AC125" s="779"/>
      <c r="AD125" s="102"/>
      <c r="AE125" s="777"/>
      <c r="AF125" s="1222"/>
      <c r="AG125" s="776"/>
      <c r="AH125" s="774">
        <f t="shared" si="25"/>
        <v>0</v>
      </c>
      <c r="AI125" s="102"/>
      <c r="AJ125" s="777"/>
      <c r="AK125" s="1193"/>
      <c r="AL125" s="776"/>
      <c r="AM125" s="774">
        <f t="shared" si="26"/>
        <v>0</v>
      </c>
    </row>
    <row r="126" spans="1:40" s="45" customFormat="1">
      <c r="A126" s="586"/>
      <c r="B126" s="771"/>
      <c r="C126" s="102"/>
      <c r="D126" s="777"/>
      <c r="E126" s="780"/>
      <c r="F126" s="587"/>
      <c r="G126" s="774"/>
      <c r="H126" s="588"/>
      <c r="I126" s="587"/>
      <c r="J126" s="587"/>
      <c r="K126" s="587"/>
      <c r="L126" s="589"/>
      <c r="M126" s="590"/>
      <c r="N126" s="591"/>
      <c r="O126" s="95"/>
      <c r="P126" s="579"/>
      <c r="Q126" s="580"/>
      <c r="R126" s="580"/>
      <c r="S126" s="581"/>
      <c r="T126" s="582"/>
      <c r="U126" s="79"/>
      <c r="V126" s="621"/>
      <c r="Y126" s="44"/>
      <c r="Z126" s="44"/>
      <c r="AA126" s="102"/>
      <c r="AB126" s="777"/>
      <c r="AC126" s="771"/>
      <c r="AD126" s="102"/>
      <c r="AE126" s="777"/>
      <c r="AF126" s="1222"/>
      <c r="AG126" s="587"/>
      <c r="AH126" s="774"/>
      <c r="AI126" s="102"/>
      <c r="AJ126" s="777"/>
      <c r="AK126" s="1193"/>
      <c r="AL126" s="587"/>
      <c r="AM126" s="774"/>
    </row>
    <row r="127" spans="1:40" s="45" customFormat="1" ht="15.75" thickBot="1">
      <c r="A127" s="586"/>
      <c r="B127" s="114"/>
      <c r="C127" s="114"/>
      <c r="D127" s="115"/>
      <c r="E127" s="116"/>
      <c r="F127" s="117" t="s">
        <v>959</v>
      </c>
      <c r="G127" s="1152">
        <f>SUM(G100:G125)</f>
        <v>159547934</v>
      </c>
      <c r="H127" s="588"/>
      <c r="I127" s="587"/>
      <c r="J127" s="587"/>
      <c r="K127" s="587"/>
      <c r="L127" s="589"/>
      <c r="M127" s="590"/>
      <c r="N127" s="591"/>
      <c r="O127" s="95"/>
      <c r="P127" s="579"/>
      <c r="Q127" s="580"/>
      <c r="R127" s="580"/>
      <c r="S127" s="581"/>
      <c r="T127" s="582"/>
      <c r="U127" s="79"/>
      <c r="V127" s="621"/>
      <c r="Y127" s="44"/>
      <c r="Z127" s="44"/>
      <c r="AA127" s="1064"/>
      <c r="AB127" s="1065"/>
      <c r="AC127" s="1064"/>
      <c r="AD127" s="1064"/>
      <c r="AE127" s="1065"/>
      <c r="AF127" s="1227"/>
      <c r="AG127" s="1073" t="s">
        <v>959</v>
      </c>
      <c r="AH127" s="1117">
        <f>SUM(AH100:AH125)</f>
        <v>166393036</v>
      </c>
      <c r="AI127" s="1064"/>
      <c r="AJ127" s="1065"/>
      <c r="AK127" s="1198"/>
      <c r="AL127" s="1073" t="s">
        <v>959</v>
      </c>
      <c r="AM127" s="1117">
        <f>SUM(AM101:AM126)</f>
        <v>165043856</v>
      </c>
    </row>
    <row r="128" spans="1:40" s="45" customFormat="1">
      <c r="A128" s="586"/>
      <c r="B128" s="771"/>
      <c r="C128" s="102"/>
      <c r="D128" s="772"/>
      <c r="E128" s="773"/>
      <c r="F128" s="587"/>
      <c r="G128" s="774"/>
      <c r="H128" s="588"/>
      <c r="I128" s="587"/>
      <c r="J128" s="587"/>
      <c r="K128" s="587"/>
      <c r="L128" s="589"/>
      <c r="M128" s="590"/>
      <c r="N128" s="591"/>
      <c r="O128" s="95"/>
      <c r="P128" s="579"/>
      <c r="Q128" s="580"/>
      <c r="R128" s="580"/>
      <c r="S128" s="581"/>
      <c r="T128" s="582"/>
      <c r="U128" s="79"/>
      <c r="V128" s="621"/>
      <c r="Y128" s="44"/>
      <c r="Z128" s="44"/>
      <c r="AA128" s="102"/>
      <c r="AB128" s="772"/>
      <c r="AC128" s="771"/>
      <c r="AD128" s="102"/>
      <c r="AE128" s="772"/>
      <c r="AF128" s="1222"/>
      <c r="AG128" s="587"/>
      <c r="AH128" s="774"/>
      <c r="AI128" s="102"/>
      <c r="AJ128" s="772"/>
      <c r="AK128" s="1193"/>
      <c r="AL128" s="587"/>
      <c r="AM128" s="774"/>
    </row>
    <row r="129" spans="1:39" s="45" customFormat="1" ht="15.75" thickBot="1">
      <c r="A129" s="586"/>
      <c r="B129" s="871"/>
      <c r="C129" s="871"/>
      <c r="D129" s="873"/>
      <c r="E129" s="874"/>
      <c r="F129" s="1180" t="s">
        <v>960</v>
      </c>
      <c r="G129" s="1004">
        <f>+G97+G127</f>
        <v>211719056</v>
      </c>
      <c r="H129" s="588"/>
      <c r="I129" s="587"/>
      <c r="J129" s="587"/>
      <c r="K129" s="587"/>
      <c r="L129" s="589"/>
      <c r="M129" s="590"/>
      <c r="N129" s="591"/>
      <c r="O129" s="95"/>
      <c r="P129" s="579"/>
      <c r="Q129" s="580"/>
      <c r="R129" s="580"/>
      <c r="S129" s="581"/>
      <c r="T129" s="582"/>
      <c r="U129" s="79"/>
      <c r="V129" s="621"/>
      <c r="Y129" s="44"/>
      <c r="Z129" s="44"/>
      <c r="AA129" s="1074"/>
      <c r="AB129" s="1075"/>
      <c r="AC129" s="1074"/>
      <c r="AD129" s="1074"/>
      <c r="AE129" s="1075"/>
      <c r="AF129" s="1227"/>
      <c r="AG129" s="1181" t="s">
        <v>960</v>
      </c>
      <c r="AH129" s="1115">
        <f>+AH97+AH127</f>
        <v>218564158</v>
      </c>
      <c r="AI129" s="1074"/>
      <c r="AJ129" s="1075"/>
      <c r="AK129" s="1198"/>
      <c r="AL129" s="1181" t="s">
        <v>960</v>
      </c>
      <c r="AM129" s="1115">
        <f>+AM97+AM127</f>
        <v>217214978</v>
      </c>
    </row>
    <row r="130" spans="1:39" s="45" customFormat="1" ht="15.75" thickBot="1">
      <c r="A130" s="586"/>
      <c r="B130" s="771"/>
      <c r="C130" s="102"/>
      <c r="D130" s="772"/>
      <c r="E130" s="773"/>
      <c r="F130" s="587"/>
      <c r="G130" s="774"/>
      <c r="H130" s="588"/>
      <c r="I130" s="587"/>
      <c r="J130" s="587"/>
      <c r="K130" s="587"/>
      <c r="L130" s="589"/>
      <c r="M130" s="590"/>
      <c r="N130" s="591"/>
      <c r="O130" s="95"/>
      <c r="P130" s="579"/>
      <c r="Q130" s="580"/>
      <c r="R130" s="580"/>
      <c r="S130" s="581"/>
      <c r="T130" s="582"/>
      <c r="U130" s="79"/>
      <c r="V130" s="621"/>
      <c r="Y130" s="44"/>
      <c r="Z130" s="44"/>
      <c r="AA130" s="102"/>
      <c r="AB130" s="772"/>
      <c r="AC130" s="771"/>
      <c r="AD130" s="102"/>
      <c r="AE130" s="772"/>
      <c r="AF130" s="1222"/>
      <c r="AG130" s="587"/>
      <c r="AH130" s="774"/>
      <c r="AI130" s="102"/>
      <c r="AJ130" s="772"/>
      <c r="AK130" s="1193"/>
      <c r="AL130" s="587"/>
      <c r="AM130" s="774"/>
    </row>
    <row r="131" spans="1:39" s="45" customFormat="1">
      <c r="A131" s="586"/>
      <c r="B131" s="74">
        <v>5</v>
      </c>
      <c r="C131" s="75" t="s">
        <v>476</v>
      </c>
      <c r="D131" s="76"/>
      <c r="E131" s="76"/>
      <c r="F131" s="76"/>
      <c r="G131" s="126"/>
      <c r="H131" s="588"/>
      <c r="I131" s="587"/>
      <c r="J131" s="587"/>
      <c r="K131" s="587"/>
      <c r="L131" s="589"/>
      <c r="M131" s="590"/>
      <c r="N131" s="591"/>
      <c r="O131" s="95"/>
      <c r="P131" s="579"/>
      <c r="Q131" s="580"/>
      <c r="R131" s="580"/>
      <c r="S131" s="581"/>
      <c r="T131" s="582"/>
      <c r="U131" s="79"/>
      <c r="V131" s="621"/>
      <c r="Y131" s="44"/>
      <c r="Z131" s="44"/>
      <c r="AA131" s="1060" t="s">
        <v>476</v>
      </c>
      <c r="AB131" s="1061"/>
      <c r="AC131" s="1111">
        <v>5</v>
      </c>
      <c r="AD131" s="1060" t="s">
        <v>476</v>
      </c>
      <c r="AE131" s="1061"/>
      <c r="AF131" s="1221"/>
      <c r="AG131" s="1061"/>
      <c r="AH131" s="1113"/>
      <c r="AI131" s="1060" t="s">
        <v>476</v>
      </c>
      <c r="AJ131" s="1061"/>
      <c r="AK131" s="1192"/>
      <c r="AL131" s="1061"/>
      <c r="AM131" s="1113"/>
    </row>
    <row r="132" spans="1:39" s="45" customFormat="1">
      <c r="A132" s="586"/>
      <c r="B132" s="771"/>
      <c r="C132" s="788" t="s">
        <v>947</v>
      </c>
      <c r="D132" s="772"/>
      <c r="E132" s="773"/>
      <c r="F132" s="587"/>
      <c r="G132" s="774"/>
      <c r="H132" s="588"/>
      <c r="I132" s="587"/>
      <c r="J132" s="587"/>
      <c r="K132" s="587"/>
      <c r="L132" s="589"/>
      <c r="M132" s="590"/>
      <c r="N132" s="591"/>
      <c r="O132" s="95"/>
      <c r="P132" s="579"/>
      <c r="Q132" s="580"/>
      <c r="R132" s="580"/>
      <c r="S132" s="581"/>
      <c r="T132" s="582"/>
      <c r="U132" s="79"/>
      <c r="V132" s="621"/>
      <c r="Y132" s="44"/>
      <c r="Z132" s="44"/>
      <c r="AA132" s="788" t="s">
        <v>947</v>
      </c>
      <c r="AB132" s="772"/>
      <c r="AC132" s="771"/>
      <c r="AD132" s="788" t="s">
        <v>947</v>
      </c>
      <c r="AE132" s="772"/>
      <c r="AF132" s="1222"/>
      <c r="AG132" s="587"/>
      <c r="AH132" s="774"/>
      <c r="AI132" s="788" t="s">
        <v>947</v>
      </c>
      <c r="AJ132" s="772"/>
      <c r="AK132" s="1193"/>
      <c r="AL132" s="587"/>
      <c r="AM132" s="774"/>
    </row>
    <row r="133" spans="1:39" s="45" customFormat="1" ht="38.25">
      <c r="A133" s="586"/>
      <c r="B133" s="771">
        <v>5.0999999999999996</v>
      </c>
      <c r="C133" s="102" t="s">
        <v>943</v>
      </c>
      <c r="D133" s="772" t="s">
        <v>139</v>
      </c>
      <c r="E133" s="587">
        <v>587</v>
      </c>
      <c r="F133" s="587">
        <v>2610</v>
      </c>
      <c r="G133" s="774">
        <f>+E133*F133</f>
        <v>1532070</v>
      </c>
      <c r="H133" s="588"/>
      <c r="I133" s="587"/>
      <c r="J133" s="587"/>
      <c r="K133" s="587"/>
      <c r="L133" s="589"/>
      <c r="M133" s="590"/>
      <c r="N133" s="591"/>
      <c r="O133" s="95"/>
      <c r="P133" s="579"/>
      <c r="Q133" s="580"/>
      <c r="R133" s="580"/>
      <c r="S133" s="581"/>
      <c r="T133" s="582"/>
      <c r="U133" s="79"/>
      <c r="V133" s="621"/>
      <c r="Y133" s="44"/>
      <c r="Z133" s="44"/>
      <c r="AA133" s="102" t="s">
        <v>943</v>
      </c>
      <c r="AB133" s="772" t="s">
        <v>139</v>
      </c>
      <c r="AC133" s="771">
        <v>5.0999999999999996</v>
      </c>
      <c r="AD133" s="102" t="s">
        <v>943</v>
      </c>
      <c r="AE133" s="772" t="s">
        <v>139</v>
      </c>
      <c r="AF133" s="1230">
        <v>587</v>
      </c>
      <c r="AG133" s="587">
        <v>2610</v>
      </c>
      <c r="AH133" s="774">
        <f>+AF133*AG133</f>
        <v>1532070</v>
      </c>
      <c r="AI133" s="102" t="s">
        <v>943</v>
      </c>
      <c r="AJ133" s="772" t="s">
        <v>139</v>
      </c>
      <c r="AK133" s="1201">
        <v>802</v>
      </c>
      <c r="AL133" s="587">
        <v>2610</v>
      </c>
      <c r="AM133" s="774">
        <f>+AK133*AL133</f>
        <v>2093220</v>
      </c>
    </row>
    <row r="134" spans="1:39" s="45" customFormat="1" ht="38.25">
      <c r="A134" s="586"/>
      <c r="B134" s="771">
        <f>+B133+0.1</f>
        <v>5.1999999999999993</v>
      </c>
      <c r="C134" s="102" t="s">
        <v>1101</v>
      </c>
      <c r="D134" s="772" t="s">
        <v>139</v>
      </c>
      <c r="E134" s="587">
        <v>337</v>
      </c>
      <c r="F134" s="587">
        <v>5190</v>
      </c>
      <c r="G134" s="774">
        <f t="shared" ref="G134:G140" si="32">+E134*F134</f>
        <v>1749030</v>
      </c>
      <c r="H134" s="588"/>
      <c r="I134" s="587"/>
      <c r="J134" s="587"/>
      <c r="K134" s="587"/>
      <c r="L134" s="589"/>
      <c r="M134" s="590"/>
      <c r="N134" s="591"/>
      <c r="O134" s="95"/>
      <c r="P134" s="579"/>
      <c r="Q134" s="580"/>
      <c r="R134" s="580"/>
      <c r="S134" s="581"/>
      <c r="T134" s="582"/>
      <c r="U134" s="79"/>
      <c r="V134" s="621"/>
      <c r="AA134" s="102" t="s">
        <v>1101</v>
      </c>
      <c r="AB134" s="772" t="s">
        <v>139</v>
      </c>
      <c r="AC134" s="771">
        <f>+AC133+0.1</f>
        <v>5.1999999999999993</v>
      </c>
      <c r="AD134" s="102" t="s">
        <v>1101</v>
      </c>
      <c r="AE134" s="772" t="s">
        <v>139</v>
      </c>
      <c r="AF134" s="1230">
        <v>337</v>
      </c>
      <c r="AG134" s="587">
        <v>5190</v>
      </c>
      <c r="AH134" s="774">
        <f t="shared" ref="AH134:AH139" si="33">+AF134*AG134</f>
        <v>1749030</v>
      </c>
      <c r="AI134" s="102" t="s">
        <v>1101</v>
      </c>
      <c r="AJ134" s="772" t="s">
        <v>139</v>
      </c>
      <c r="AK134" s="1201">
        <v>529</v>
      </c>
      <c r="AL134" s="587">
        <v>5190</v>
      </c>
      <c r="AM134" s="774">
        <f t="shared" ref="AM134:AM139" si="34">+AK134*AL134</f>
        <v>2745510</v>
      </c>
    </row>
    <row r="135" spans="1:39" s="45" customFormat="1" ht="63.75">
      <c r="A135" s="586"/>
      <c r="B135" s="771">
        <f t="shared" ref="B135:B140" si="35">+B134+0.1</f>
        <v>5.2999999999999989</v>
      </c>
      <c r="C135" s="102" t="s">
        <v>941</v>
      </c>
      <c r="D135" s="777" t="s">
        <v>139</v>
      </c>
      <c r="E135" s="863">
        <v>247</v>
      </c>
      <c r="F135" s="587">
        <v>10240</v>
      </c>
      <c r="G135" s="774">
        <f t="shared" si="32"/>
        <v>2529280</v>
      </c>
      <c r="H135" s="588"/>
      <c r="I135" s="587"/>
      <c r="J135" s="587"/>
      <c r="K135" s="587"/>
      <c r="L135" s="589"/>
      <c r="M135" s="590"/>
      <c r="N135" s="591"/>
      <c r="O135" s="95"/>
      <c r="P135" s="579"/>
      <c r="Q135" s="580"/>
      <c r="R135" s="580"/>
      <c r="S135" s="581"/>
      <c r="T135" s="582"/>
      <c r="U135" s="79"/>
      <c r="V135" s="621"/>
      <c r="AA135" s="102" t="s">
        <v>941</v>
      </c>
      <c r="AB135" s="777" t="s">
        <v>139</v>
      </c>
      <c r="AC135" s="771">
        <f t="shared" ref="AC135:AC140" si="36">+AC134+0.1</f>
        <v>5.2999999999999989</v>
      </c>
      <c r="AD135" s="102" t="s">
        <v>941</v>
      </c>
      <c r="AE135" s="777" t="s">
        <v>139</v>
      </c>
      <c r="AF135" s="1230">
        <v>247</v>
      </c>
      <c r="AG135" s="587">
        <v>10240</v>
      </c>
      <c r="AH135" s="774">
        <f t="shared" si="33"/>
        <v>2529280</v>
      </c>
      <c r="AI135" s="102" t="s">
        <v>941</v>
      </c>
      <c r="AJ135" s="777" t="s">
        <v>139</v>
      </c>
      <c r="AK135" s="1201">
        <v>2.73</v>
      </c>
      <c r="AL135" s="587">
        <v>10240</v>
      </c>
      <c r="AM135" s="774">
        <f t="shared" si="34"/>
        <v>27955.200000000001</v>
      </c>
    </row>
    <row r="136" spans="1:39" s="45" customFormat="1" ht="51">
      <c r="A136" s="586"/>
      <c r="B136" s="771">
        <f t="shared" si="35"/>
        <v>5.3999999999999986</v>
      </c>
      <c r="C136" s="102" t="s">
        <v>497</v>
      </c>
      <c r="D136" s="777" t="s">
        <v>56</v>
      </c>
      <c r="E136" s="587">
        <v>88</v>
      </c>
      <c r="F136" s="587">
        <v>17220</v>
      </c>
      <c r="G136" s="774">
        <f t="shared" si="32"/>
        <v>1515360</v>
      </c>
      <c r="H136" s="588"/>
      <c r="I136" s="587"/>
      <c r="J136" s="587"/>
      <c r="K136" s="587"/>
      <c r="L136" s="589"/>
      <c r="M136" s="590"/>
      <c r="N136" s="591"/>
      <c r="O136" s="95"/>
      <c r="P136" s="579"/>
      <c r="Q136" s="580"/>
      <c r="R136" s="580"/>
      <c r="S136" s="581"/>
      <c r="T136" s="582"/>
      <c r="U136" s="79"/>
      <c r="V136" s="621"/>
      <c r="AA136" s="102" t="s">
        <v>497</v>
      </c>
      <c r="AB136" s="777" t="s">
        <v>56</v>
      </c>
      <c r="AC136" s="771">
        <f t="shared" si="36"/>
        <v>5.3999999999999986</v>
      </c>
      <c r="AD136" s="102" t="s">
        <v>497</v>
      </c>
      <c r="AE136" s="777" t="s">
        <v>56</v>
      </c>
      <c r="AF136" s="1230">
        <v>88</v>
      </c>
      <c r="AG136" s="587">
        <v>17220</v>
      </c>
      <c r="AH136" s="774">
        <f t="shared" si="33"/>
        <v>1515360</v>
      </c>
      <c r="AI136" s="102" t="s">
        <v>497</v>
      </c>
      <c r="AJ136" s="777" t="s">
        <v>56</v>
      </c>
      <c r="AK136" s="1201">
        <v>89</v>
      </c>
      <c r="AL136" s="587">
        <v>17220</v>
      </c>
      <c r="AM136" s="774">
        <f t="shared" si="34"/>
        <v>1532580</v>
      </c>
    </row>
    <row r="137" spans="1:39" s="45" customFormat="1" ht="63.75">
      <c r="A137" s="586"/>
      <c r="B137" s="771">
        <f t="shared" si="35"/>
        <v>5.4999999999999982</v>
      </c>
      <c r="C137" s="782" t="s">
        <v>979</v>
      </c>
      <c r="D137" s="772" t="s">
        <v>139</v>
      </c>
      <c r="E137" s="587">
        <v>26</v>
      </c>
      <c r="F137" s="587">
        <v>573533</v>
      </c>
      <c r="G137" s="774">
        <f t="shared" si="32"/>
        <v>14911858</v>
      </c>
      <c r="H137" s="588"/>
      <c r="I137" s="587"/>
      <c r="J137" s="587"/>
      <c r="K137" s="587"/>
      <c r="L137" s="589"/>
      <c r="M137" s="590"/>
      <c r="N137" s="591"/>
      <c r="O137" s="95"/>
      <c r="P137" s="579"/>
      <c r="Q137" s="580"/>
      <c r="R137" s="580"/>
      <c r="S137" s="581"/>
      <c r="T137" s="582"/>
      <c r="U137" s="79"/>
      <c r="V137" s="621"/>
      <c r="AA137" s="1062" t="s">
        <v>979</v>
      </c>
      <c r="AB137" s="772" t="s">
        <v>139</v>
      </c>
      <c r="AC137" s="771">
        <f t="shared" si="36"/>
        <v>5.4999999999999982</v>
      </c>
      <c r="AD137" s="1062" t="s">
        <v>979</v>
      </c>
      <c r="AE137" s="772" t="s">
        <v>139</v>
      </c>
      <c r="AF137" s="1230">
        <v>26</v>
      </c>
      <c r="AG137" s="587">
        <v>573533</v>
      </c>
      <c r="AH137" s="774">
        <f t="shared" si="33"/>
        <v>14911858</v>
      </c>
      <c r="AI137" s="1062" t="s">
        <v>979</v>
      </c>
      <c r="AJ137" s="772" t="s">
        <v>139</v>
      </c>
      <c r="AK137" s="1201">
        <v>30</v>
      </c>
      <c r="AL137" s="587">
        <v>573533</v>
      </c>
      <c r="AM137" s="774">
        <f t="shared" si="34"/>
        <v>17205990</v>
      </c>
    </row>
    <row r="138" spans="1:39" s="45" customFormat="1" ht="63.75">
      <c r="A138" s="586"/>
      <c r="B138" s="771">
        <f t="shared" si="35"/>
        <v>5.5999999999999979</v>
      </c>
      <c r="C138" s="102" t="s">
        <v>976</v>
      </c>
      <c r="D138" s="772" t="s">
        <v>139</v>
      </c>
      <c r="E138" s="587">
        <v>174</v>
      </c>
      <c r="F138" s="587">
        <v>614040</v>
      </c>
      <c r="G138" s="774">
        <f t="shared" si="32"/>
        <v>106842960</v>
      </c>
      <c r="H138" s="588"/>
      <c r="I138" s="587"/>
      <c r="J138" s="587"/>
      <c r="K138" s="587"/>
      <c r="L138" s="589"/>
      <c r="M138" s="590"/>
      <c r="N138" s="591"/>
      <c r="O138" s="95"/>
      <c r="P138" s="579"/>
      <c r="Q138" s="580"/>
      <c r="R138" s="580"/>
      <c r="S138" s="581"/>
      <c r="T138" s="582"/>
      <c r="U138" s="79"/>
      <c r="V138" s="621"/>
      <c r="AA138" s="102" t="s">
        <v>976</v>
      </c>
      <c r="AB138" s="772" t="s">
        <v>139</v>
      </c>
      <c r="AC138" s="771">
        <f t="shared" si="36"/>
        <v>5.5999999999999979</v>
      </c>
      <c r="AD138" s="102" t="s">
        <v>976</v>
      </c>
      <c r="AE138" s="772" t="s">
        <v>139</v>
      </c>
      <c r="AF138" s="1230">
        <v>174</v>
      </c>
      <c r="AG138" s="587">
        <v>614040</v>
      </c>
      <c r="AH138" s="774">
        <f t="shared" si="33"/>
        <v>106842960</v>
      </c>
      <c r="AI138" s="102" t="s">
        <v>976</v>
      </c>
      <c r="AJ138" s="772" t="s">
        <v>139</v>
      </c>
      <c r="AK138" s="1201">
        <v>156</v>
      </c>
      <c r="AL138" s="587">
        <v>614040</v>
      </c>
      <c r="AM138" s="774">
        <f t="shared" si="34"/>
        <v>95790240</v>
      </c>
    </row>
    <row r="139" spans="1:39" s="45" customFormat="1" ht="38.25">
      <c r="A139" s="586"/>
      <c r="B139" s="771">
        <f t="shared" si="35"/>
        <v>5.6999999999999975</v>
      </c>
      <c r="C139" s="102" t="s">
        <v>944</v>
      </c>
      <c r="D139" s="772" t="s">
        <v>139</v>
      </c>
      <c r="E139" s="587">
        <v>16</v>
      </c>
      <c r="F139" s="587">
        <f>+F53</f>
        <v>614040</v>
      </c>
      <c r="G139" s="774">
        <f t="shared" si="32"/>
        <v>9824640</v>
      </c>
      <c r="H139" s="588"/>
      <c r="I139" s="587"/>
      <c r="J139" s="587"/>
      <c r="K139" s="587"/>
      <c r="L139" s="589"/>
      <c r="M139" s="590"/>
      <c r="N139" s="591"/>
      <c r="O139" s="95"/>
      <c r="P139" s="579"/>
      <c r="Q139" s="580"/>
      <c r="R139" s="580"/>
      <c r="S139" s="581"/>
      <c r="T139" s="582"/>
      <c r="U139" s="79"/>
      <c r="V139" s="621"/>
      <c r="AA139" s="102" t="s">
        <v>944</v>
      </c>
      <c r="AB139" s="772" t="s">
        <v>139</v>
      </c>
      <c r="AC139" s="771">
        <f t="shared" si="36"/>
        <v>5.6999999999999975</v>
      </c>
      <c r="AD139" s="102" t="s">
        <v>944</v>
      </c>
      <c r="AE139" s="772" t="s">
        <v>139</v>
      </c>
      <c r="AF139" s="1230">
        <v>16</v>
      </c>
      <c r="AG139" s="587">
        <f>+AG53</f>
        <v>614040</v>
      </c>
      <c r="AH139" s="774">
        <f t="shared" si="33"/>
        <v>9824640</v>
      </c>
      <c r="AI139" s="102" t="s">
        <v>944</v>
      </c>
      <c r="AJ139" s="772" t="s">
        <v>139</v>
      </c>
      <c r="AK139" s="1201">
        <v>1</v>
      </c>
      <c r="AL139" s="587">
        <f>+AL53</f>
        <v>614040</v>
      </c>
      <c r="AM139" s="774">
        <f t="shared" si="34"/>
        <v>614040</v>
      </c>
    </row>
    <row r="140" spans="1:39" s="45" customFormat="1" ht="51">
      <c r="A140" s="586"/>
      <c r="B140" s="771">
        <f t="shared" si="35"/>
        <v>5.7999999999999972</v>
      </c>
      <c r="C140" s="102" t="s">
        <v>939</v>
      </c>
      <c r="D140" s="772" t="s">
        <v>139</v>
      </c>
      <c r="E140" s="587">
        <v>17</v>
      </c>
      <c r="F140" s="587">
        <v>594610</v>
      </c>
      <c r="G140" s="774">
        <f t="shared" si="32"/>
        <v>10108370</v>
      </c>
      <c r="H140" s="588"/>
      <c r="I140" s="587"/>
      <c r="J140" s="587"/>
      <c r="K140" s="587"/>
      <c r="L140" s="589"/>
      <c r="M140" s="590"/>
      <c r="N140" s="591"/>
      <c r="O140" s="95"/>
      <c r="P140" s="579"/>
      <c r="Q140" s="580"/>
      <c r="R140" s="580"/>
      <c r="S140" s="581"/>
      <c r="T140" s="582"/>
      <c r="U140" s="79"/>
      <c r="V140" s="621"/>
      <c r="AA140" s="102" t="s">
        <v>939</v>
      </c>
      <c r="AB140" s="772" t="s">
        <v>139</v>
      </c>
      <c r="AC140" s="771">
        <f t="shared" si="36"/>
        <v>5.7999999999999972</v>
      </c>
      <c r="AD140" s="102" t="s">
        <v>939</v>
      </c>
      <c r="AE140" s="772" t="s">
        <v>139</v>
      </c>
      <c r="AF140" s="1230">
        <v>17</v>
      </c>
      <c r="AG140" s="587">
        <v>594610</v>
      </c>
      <c r="AH140" s="774">
        <f>+AF140*AG140</f>
        <v>10108370</v>
      </c>
      <c r="AI140" s="102" t="s">
        <v>939</v>
      </c>
      <c r="AJ140" s="772" t="s">
        <v>139</v>
      </c>
      <c r="AK140" s="1201">
        <v>13</v>
      </c>
      <c r="AL140" s="587">
        <v>594610</v>
      </c>
      <c r="AM140" s="774">
        <f>+AK140*AL140</f>
        <v>7729930</v>
      </c>
    </row>
    <row r="141" spans="1:39" s="45" customFormat="1">
      <c r="A141" s="586"/>
      <c r="B141" s="771"/>
      <c r="C141" s="215"/>
      <c r="D141" s="216"/>
      <c r="E141" s="95"/>
      <c r="F141" s="95"/>
      <c r="G141" s="774"/>
      <c r="H141" s="588"/>
      <c r="I141" s="587"/>
      <c r="J141" s="587"/>
      <c r="K141" s="587"/>
      <c r="L141" s="589"/>
      <c r="M141" s="590"/>
      <c r="N141" s="591"/>
      <c r="O141" s="95"/>
      <c r="P141" s="579"/>
      <c r="Q141" s="580"/>
      <c r="R141" s="580"/>
      <c r="S141" s="581"/>
      <c r="T141" s="582"/>
      <c r="U141" s="79"/>
      <c r="V141" s="621"/>
      <c r="AA141" s="215"/>
      <c r="AB141" s="216"/>
      <c r="AC141" s="771"/>
      <c r="AD141" s="215"/>
      <c r="AE141" s="216"/>
      <c r="AF141" s="1231"/>
      <c r="AG141" s="95"/>
      <c r="AH141" s="774"/>
      <c r="AI141" s="215"/>
      <c r="AJ141" s="216"/>
      <c r="AK141" s="1202"/>
      <c r="AL141" s="95"/>
      <c r="AM141" s="774"/>
    </row>
    <row r="142" spans="1:39" s="45" customFormat="1" ht="15.75" thickBot="1">
      <c r="A142" s="586"/>
      <c r="B142" s="114"/>
      <c r="C142" s="114"/>
      <c r="D142" s="115"/>
      <c r="E142" s="116"/>
      <c r="F142" s="117" t="s">
        <v>967</v>
      </c>
      <c r="G142" s="118">
        <f>SUM(G133:G140)</f>
        <v>149013568</v>
      </c>
      <c r="H142" s="588"/>
      <c r="I142" s="587"/>
      <c r="J142" s="587"/>
      <c r="K142" s="587"/>
      <c r="L142" s="589"/>
      <c r="M142" s="590"/>
      <c r="N142" s="591"/>
      <c r="O142" s="95"/>
      <c r="P142" s="579"/>
      <c r="Q142" s="580"/>
      <c r="R142" s="580"/>
      <c r="S142" s="581"/>
      <c r="T142" s="582"/>
      <c r="U142" s="79"/>
      <c r="V142" s="621"/>
      <c r="X142" s="819"/>
      <c r="Y142" s="44"/>
      <c r="Z142" s="44"/>
      <c r="AA142" s="1064"/>
      <c r="AB142" s="1065"/>
      <c r="AC142" s="1064"/>
      <c r="AD142" s="1064"/>
      <c r="AE142" s="1065"/>
      <c r="AF142" s="1227"/>
      <c r="AG142" s="1073" t="s">
        <v>967</v>
      </c>
      <c r="AH142" s="1117">
        <f>SUM(AH133:AH140)</f>
        <v>149013568</v>
      </c>
      <c r="AI142" s="1064"/>
      <c r="AJ142" s="1065"/>
      <c r="AK142" s="1198"/>
      <c r="AL142" s="1073" t="s">
        <v>967</v>
      </c>
      <c r="AM142" s="1117">
        <f>SUM(AM133:AM141)</f>
        <v>127739465.2</v>
      </c>
    </row>
    <row r="143" spans="1:39" s="45" customFormat="1">
      <c r="A143" s="586"/>
      <c r="B143" s="771"/>
      <c r="C143" s="102"/>
      <c r="D143" s="772"/>
      <c r="E143" s="773"/>
      <c r="F143" s="587"/>
      <c r="G143" s="774">
        <f>+E143*F207</f>
        <v>0</v>
      </c>
      <c r="H143" s="588"/>
      <c r="I143" s="587"/>
      <c r="J143" s="587"/>
      <c r="K143" s="587"/>
      <c r="L143" s="589"/>
      <c r="M143" s="590"/>
      <c r="N143" s="591"/>
      <c r="O143" s="95"/>
      <c r="P143" s="579"/>
      <c r="Q143" s="580"/>
      <c r="R143" s="580"/>
      <c r="S143" s="581"/>
      <c r="T143" s="582"/>
      <c r="U143" s="79"/>
      <c r="V143" s="621"/>
      <c r="Y143" s="44"/>
      <c r="Z143" s="44"/>
      <c r="AA143" s="102"/>
      <c r="AB143" s="772"/>
      <c r="AC143" s="771"/>
      <c r="AD143" s="102"/>
      <c r="AE143" s="772"/>
      <c r="AF143" s="1222"/>
      <c r="AG143" s="587"/>
      <c r="AH143" s="774">
        <f>+AF143*AG207</f>
        <v>0</v>
      </c>
      <c r="AI143" s="102"/>
      <c r="AJ143" s="772"/>
      <c r="AK143" s="1193"/>
      <c r="AL143" s="587"/>
      <c r="AM143" s="774">
        <f>+AK143*AL207</f>
        <v>0</v>
      </c>
    </row>
    <row r="144" spans="1:39" s="45" customFormat="1">
      <c r="A144" s="586"/>
      <c r="B144" s="771"/>
      <c r="C144" s="787" t="s">
        <v>948</v>
      </c>
      <c r="D144" s="772"/>
      <c r="E144" s="773"/>
      <c r="F144" s="587"/>
      <c r="G144" s="774"/>
      <c r="H144" s="588"/>
      <c r="I144" s="587"/>
      <c r="J144" s="587"/>
      <c r="K144" s="587"/>
      <c r="L144" s="589"/>
      <c r="M144" s="590"/>
      <c r="N144" s="591"/>
      <c r="O144" s="95"/>
      <c r="P144" s="579"/>
      <c r="Q144" s="580"/>
      <c r="R144" s="580"/>
      <c r="S144" s="581"/>
      <c r="T144" s="582"/>
      <c r="U144" s="79"/>
      <c r="V144" s="621"/>
      <c r="Y144" s="44"/>
      <c r="Z144" s="44"/>
      <c r="AA144" s="787" t="s">
        <v>948</v>
      </c>
      <c r="AB144" s="772"/>
      <c r="AC144" s="771"/>
      <c r="AD144" s="787" t="s">
        <v>948</v>
      </c>
      <c r="AE144" s="772"/>
      <c r="AF144" s="1222"/>
      <c r="AG144" s="587"/>
      <c r="AH144" s="774"/>
      <c r="AI144" s="787" t="s">
        <v>948</v>
      </c>
      <c r="AJ144" s="772"/>
      <c r="AK144" s="1193"/>
      <c r="AL144" s="587"/>
      <c r="AM144" s="774"/>
    </row>
    <row r="145" spans="1:39" s="45" customFormat="1" ht="105.75" customHeight="1">
      <c r="A145" s="586"/>
      <c r="B145" s="771">
        <v>5.9</v>
      </c>
      <c r="C145" s="102" t="s">
        <v>1008</v>
      </c>
      <c r="D145" s="772"/>
      <c r="E145" s="780"/>
      <c r="F145" s="587"/>
      <c r="G145" s="774">
        <f>E145*F145</f>
        <v>0</v>
      </c>
      <c r="H145" s="588"/>
      <c r="I145" s="587"/>
      <c r="J145" s="587"/>
      <c r="K145" s="587"/>
      <c r="L145" s="589"/>
      <c r="M145" s="590"/>
      <c r="N145" s="591"/>
      <c r="O145" s="95"/>
      <c r="P145" s="579"/>
      <c r="Q145" s="580"/>
      <c r="R145" s="580"/>
      <c r="S145" s="581"/>
      <c r="T145" s="582"/>
      <c r="U145" s="79"/>
      <c r="V145" s="621"/>
      <c r="Y145" s="44"/>
      <c r="Z145" s="44"/>
      <c r="AA145" s="102" t="s">
        <v>1008</v>
      </c>
      <c r="AB145" s="772"/>
      <c r="AC145" s="771">
        <v>5.9</v>
      </c>
      <c r="AD145" s="102" t="s">
        <v>1008</v>
      </c>
      <c r="AE145" s="772"/>
      <c r="AF145" s="1222"/>
      <c r="AG145" s="587"/>
      <c r="AH145" s="774">
        <f>AF145*AG145</f>
        <v>0</v>
      </c>
      <c r="AI145" s="1248" t="s">
        <v>1008</v>
      </c>
      <c r="AJ145" s="772"/>
      <c r="AK145" s="1193"/>
      <c r="AL145" s="587"/>
      <c r="AM145" s="774">
        <f>AK145*AL145</f>
        <v>0</v>
      </c>
    </row>
    <row r="146" spans="1:39" s="45" customFormat="1" ht="38.25">
      <c r="A146" s="586"/>
      <c r="B146" s="771" t="s">
        <v>988</v>
      </c>
      <c r="C146" s="102" t="s">
        <v>1009</v>
      </c>
      <c r="D146" s="772" t="s">
        <v>22</v>
      </c>
      <c r="E146" s="780">
        <v>4</v>
      </c>
      <c r="F146" s="587">
        <v>5658805</v>
      </c>
      <c r="G146" s="774">
        <f>+F146*E146</f>
        <v>22635220</v>
      </c>
      <c r="H146" s="588"/>
      <c r="I146" s="587"/>
      <c r="J146" s="587"/>
      <c r="K146" s="587"/>
      <c r="L146" s="589"/>
      <c r="M146" s="590"/>
      <c r="N146" s="591"/>
      <c r="O146" s="95"/>
      <c r="P146" s="579"/>
      <c r="Q146" s="580"/>
      <c r="R146" s="580"/>
      <c r="S146" s="581"/>
      <c r="T146" s="582"/>
      <c r="U146" s="79"/>
      <c r="V146" s="621"/>
      <c r="X146" s="45">
        <f>1.16*1.1</f>
        <v>1.276</v>
      </c>
      <c r="Y146" s="44">
        <v>4434800</v>
      </c>
      <c r="Z146" s="868">
        <f>+Y146*X146</f>
        <v>5658804.7999999998</v>
      </c>
      <c r="AA146" s="102" t="s">
        <v>1009</v>
      </c>
      <c r="AB146" s="772" t="s">
        <v>22</v>
      </c>
      <c r="AC146" s="771" t="s">
        <v>988</v>
      </c>
      <c r="AD146" s="102" t="s">
        <v>1009</v>
      </c>
      <c r="AE146" s="772" t="s">
        <v>22</v>
      </c>
      <c r="AF146" s="1222">
        <v>4</v>
      </c>
      <c r="AG146" s="587">
        <v>5658805</v>
      </c>
      <c r="AH146" s="774">
        <f>+AF146*AG146</f>
        <v>22635220</v>
      </c>
      <c r="AI146" s="102" t="s">
        <v>1506</v>
      </c>
      <c r="AJ146" s="772" t="s">
        <v>22</v>
      </c>
      <c r="AK146" s="1193">
        <v>4</v>
      </c>
      <c r="AL146" s="587">
        <v>5658805</v>
      </c>
      <c r="AM146" s="774">
        <f>+AK146*AL146</f>
        <v>22635220</v>
      </c>
    </row>
    <row r="147" spans="1:39" s="45" customFormat="1" ht="15" customHeight="1">
      <c r="A147" s="586"/>
      <c r="B147" s="771" t="s">
        <v>989</v>
      </c>
      <c r="C147" s="988" t="s">
        <v>1010</v>
      </c>
      <c r="D147" s="989" t="s">
        <v>22</v>
      </c>
      <c r="E147" s="969">
        <v>4</v>
      </c>
      <c r="F147" s="858">
        <v>25473554</v>
      </c>
      <c r="G147" s="774">
        <f t="shared" ref="G147:G165" si="37">+F147*E147</f>
        <v>101894216</v>
      </c>
      <c r="H147" s="588"/>
      <c r="I147" s="587"/>
      <c r="J147" s="587"/>
      <c r="K147" s="587"/>
      <c r="L147" s="589"/>
      <c r="M147" s="590"/>
      <c r="N147" s="591"/>
      <c r="O147" s="95"/>
      <c r="P147" s="579"/>
      <c r="Q147" s="580"/>
      <c r="R147" s="580"/>
      <c r="S147" s="581"/>
      <c r="T147" s="582"/>
      <c r="U147" s="79"/>
      <c r="V147" s="621"/>
      <c r="X147" s="45">
        <f t="shared" ref="X147:X151" si="38">1.16*1.1</f>
        <v>1.276</v>
      </c>
      <c r="Y147" s="44">
        <v>19963600</v>
      </c>
      <c r="Z147" s="868">
        <f t="shared" ref="Z147:Z151" si="39">+Y147*X147</f>
        <v>25473553.600000001</v>
      </c>
      <c r="AA147" s="988" t="s">
        <v>1010</v>
      </c>
      <c r="AB147" s="989" t="s">
        <v>22</v>
      </c>
      <c r="AC147" s="771" t="s">
        <v>989</v>
      </c>
      <c r="AD147" s="988" t="s">
        <v>1010</v>
      </c>
      <c r="AE147" s="989" t="s">
        <v>22</v>
      </c>
      <c r="AF147" s="1222">
        <v>4</v>
      </c>
      <c r="AG147" s="858">
        <v>25473554</v>
      </c>
      <c r="AH147" s="990">
        <f t="shared" ref="AH147:AH160" si="40">+AF147*AG147</f>
        <v>101894216</v>
      </c>
      <c r="AI147" s="988" t="s">
        <v>1507</v>
      </c>
      <c r="AJ147" s="989" t="s">
        <v>22</v>
      </c>
      <c r="AK147" s="1193">
        <v>4</v>
      </c>
      <c r="AL147" s="858">
        <v>25473554</v>
      </c>
      <c r="AM147" s="990">
        <f t="shared" ref="AM147:AM160" si="41">+AK147*AL147</f>
        <v>101894216</v>
      </c>
    </row>
    <row r="148" spans="1:39" s="45" customFormat="1" ht="38.25">
      <c r="A148" s="586"/>
      <c r="B148" s="771"/>
      <c r="C148" s="102" t="s">
        <v>1011</v>
      </c>
      <c r="D148" s="777" t="s">
        <v>22</v>
      </c>
      <c r="E148" s="780">
        <v>1</v>
      </c>
      <c r="F148" s="587">
        <v>10684548</v>
      </c>
      <c r="G148" s="774">
        <f t="shared" si="37"/>
        <v>10684548</v>
      </c>
      <c r="H148" s="588"/>
      <c r="I148" s="587"/>
      <c r="J148" s="587"/>
      <c r="K148" s="587"/>
      <c r="L148" s="589"/>
      <c r="M148" s="590"/>
      <c r="N148" s="591"/>
      <c r="O148" s="95"/>
      <c r="P148" s="579"/>
      <c r="Q148" s="580"/>
      <c r="R148" s="580"/>
      <c r="S148" s="581"/>
      <c r="T148" s="582"/>
      <c r="U148" s="79"/>
      <c r="V148" s="621"/>
      <c r="X148" s="45">
        <f t="shared" si="38"/>
        <v>1.276</v>
      </c>
      <c r="Y148" s="44">
        <v>8373470</v>
      </c>
      <c r="Z148" s="868">
        <f t="shared" si="39"/>
        <v>10684547.720000001</v>
      </c>
      <c r="AA148" s="102" t="s">
        <v>1011</v>
      </c>
      <c r="AB148" s="777" t="s">
        <v>22</v>
      </c>
      <c r="AC148" s="771"/>
      <c r="AD148" s="102" t="s">
        <v>1011</v>
      </c>
      <c r="AE148" s="777" t="s">
        <v>22</v>
      </c>
      <c r="AF148" s="1222">
        <v>1</v>
      </c>
      <c r="AG148" s="587">
        <v>10684548</v>
      </c>
      <c r="AH148" s="774">
        <f t="shared" si="40"/>
        <v>10684548</v>
      </c>
      <c r="AI148" s="102" t="s">
        <v>1508</v>
      </c>
      <c r="AJ148" s="777" t="s">
        <v>22</v>
      </c>
      <c r="AK148" s="1193">
        <v>1</v>
      </c>
      <c r="AL148" s="587">
        <v>10684548</v>
      </c>
      <c r="AM148" s="774">
        <f t="shared" si="41"/>
        <v>10684548</v>
      </c>
    </row>
    <row r="149" spans="1:39" s="45" customFormat="1" ht="38.25">
      <c r="A149" s="586"/>
      <c r="B149" s="771" t="s">
        <v>990</v>
      </c>
      <c r="C149" s="102" t="s">
        <v>1012</v>
      </c>
      <c r="D149" s="772" t="s">
        <v>22</v>
      </c>
      <c r="E149" s="780">
        <v>4</v>
      </c>
      <c r="F149" s="587">
        <v>14621008</v>
      </c>
      <c r="G149" s="774">
        <f t="shared" si="37"/>
        <v>58484032</v>
      </c>
      <c r="H149" s="588"/>
      <c r="I149" s="587"/>
      <c r="J149" s="587"/>
      <c r="K149" s="587"/>
      <c r="L149" s="589"/>
      <c r="M149" s="590"/>
      <c r="N149" s="591"/>
      <c r="O149" s="95"/>
      <c r="P149" s="579"/>
      <c r="Q149" s="580"/>
      <c r="R149" s="580"/>
      <c r="S149" s="581"/>
      <c r="T149" s="582"/>
      <c r="U149" s="79"/>
      <c r="V149" s="621"/>
      <c r="X149" s="45">
        <f t="shared" si="38"/>
        <v>1.276</v>
      </c>
      <c r="Y149" s="44">
        <v>11458470</v>
      </c>
      <c r="Z149" s="868">
        <f t="shared" si="39"/>
        <v>14621007.720000001</v>
      </c>
      <c r="AA149" s="102" t="s">
        <v>1012</v>
      </c>
      <c r="AB149" s="772" t="s">
        <v>22</v>
      </c>
      <c r="AC149" s="771" t="s">
        <v>990</v>
      </c>
      <c r="AD149" s="102" t="s">
        <v>1012</v>
      </c>
      <c r="AE149" s="772" t="s">
        <v>22</v>
      </c>
      <c r="AF149" s="1222">
        <v>4</v>
      </c>
      <c r="AG149" s="587">
        <v>14621008</v>
      </c>
      <c r="AH149" s="774">
        <f t="shared" si="40"/>
        <v>58484032</v>
      </c>
      <c r="AI149" s="102" t="s">
        <v>1509</v>
      </c>
      <c r="AJ149" s="772" t="s">
        <v>22</v>
      </c>
      <c r="AK149" s="1193">
        <v>4</v>
      </c>
      <c r="AL149" s="587">
        <v>14621008</v>
      </c>
      <c r="AM149" s="774">
        <f t="shared" si="41"/>
        <v>58484032</v>
      </c>
    </row>
    <row r="150" spans="1:39" s="45" customFormat="1" ht="38.25">
      <c r="A150" s="586"/>
      <c r="B150" s="771" t="s">
        <v>991</v>
      </c>
      <c r="C150" s="102" t="s">
        <v>1013</v>
      </c>
      <c r="D150" s="772" t="s">
        <v>22</v>
      </c>
      <c r="E150" s="780">
        <v>1</v>
      </c>
      <c r="F150" s="587">
        <v>7112807</v>
      </c>
      <c r="G150" s="774">
        <f t="shared" si="37"/>
        <v>7112807</v>
      </c>
      <c r="H150" s="588"/>
      <c r="I150" s="587"/>
      <c r="J150" s="587"/>
      <c r="K150" s="587"/>
      <c r="L150" s="589"/>
      <c r="M150" s="590"/>
      <c r="N150" s="591"/>
      <c r="O150" s="95"/>
      <c r="P150" s="579"/>
      <c r="Q150" s="580"/>
      <c r="R150" s="580"/>
      <c r="S150" s="581"/>
      <c r="T150" s="582"/>
      <c r="U150" s="79"/>
      <c r="V150" s="621"/>
      <c r="X150" s="45">
        <f t="shared" si="38"/>
        <v>1.276</v>
      </c>
      <c r="Y150" s="44">
        <v>5574300</v>
      </c>
      <c r="Z150" s="868">
        <f t="shared" si="39"/>
        <v>7112806.7999999998</v>
      </c>
      <c r="AA150" s="102" t="s">
        <v>1013</v>
      </c>
      <c r="AB150" s="772" t="s">
        <v>22</v>
      </c>
      <c r="AC150" s="771" t="s">
        <v>991</v>
      </c>
      <c r="AD150" s="102" t="s">
        <v>1013</v>
      </c>
      <c r="AE150" s="772" t="s">
        <v>22</v>
      </c>
      <c r="AF150" s="1222">
        <v>1</v>
      </c>
      <c r="AG150" s="587">
        <v>7112807</v>
      </c>
      <c r="AH150" s="774">
        <f t="shared" si="40"/>
        <v>7112807</v>
      </c>
      <c r="AI150" s="102" t="s">
        <v>1510</v>
      </c>
      <c r="AJ150" s="772" t="s">
        <v>22</v>
      </c>
      <c r="AK150" s="1193">
        <v>1</v>
      </c>
      <c r="AL150" s="587">
        <v>7112807</v>
      </c>
      <c r="AM150" s="774">
        <f t="shared" si="41"/>
        <v>7112807</v>
      </c>
    </row>
    <row r="151" spans="1:39" s="45" customFormat="1" ht="38.25">
      <c r="A151" s="586"/>
      <c r="B151" s="771" t="s">
        <v>992</v>
      </c>
      <c r="C151" s="988" t="s">
        <v>925</v>
      </c>
      <c r="D151" s="989" t="s">
        <v>22</v>
      </c>
      <c r="E151" s="969">
        <v>4</v>
      </c>
      <c r="F151" s="858">
        <v>468292</v>
      </c>
      <c r="G151" s="774">
        <f t="shared" si="37"/>
        <v>1873168</v>
      </c>
      <c r="H151" s="588"/>
      <c r="I151" s="587"/>
      <c r="J151" s="587"/>
      <c r="K151" s="587"/>
      <c r="L151" s="589"/>
      <c r="M151" s="590"/>
      <c r="N151" s="591"/>
      <c r="O151" s="95"/>
      <c r="P151" s="579"/>
      <c r="Q151" s="580"/>
      <c r="R151" s="580"/>
      <c r="S151" s="581"/>
      <c r="T151" s="582"/>
      <c r="U151" s="79"/>
      <c r="V151" s="621"/>
      <c r="W151" s="45" t="s">
        <v>1028</v>
      </c>
      <c r="X151" s="45">
        <f t="shared" si="38"/>
        <v>1.276</v>
      </c>
      <c r="Y151" s="44">
        <v>367000</v>
      </c>
      <c r="Z151" s="868">
        <f t="shared" si="39"/>
        <v>468292</v>
      </c>
      <c r="AA151" s="988" t="s">
        <v>925</v>
      </c>
      <c r="AB151" s="989" t="s">
        <v>22</v>
      </c>
      <c r="AC151" s="771" t="s">
        <v>992</v>
      </c>
      <c r="AD151" s="988" t="s">
        <v>925</v>
      </c>
      <c r="AE151" s="989" t="s">
        <v>22</v>
      </c>
      <c r="AF151" s="1222">
        <v>4</v>
      </c>
      <c r="AG151" s="858">
        <v>468292</v>
      </c>
      <c r="AH151" s="990">
        <f t="shared" si="40"/>
        <v>1873168</v>
      </c>
      <c r="AI151" s="988" t="s">
        <v>925</v>
      </c>
      <c r="AJ151" s="989" t="s">
        <v>22</v>
      </c>
      <c r="AK151" s="1193">
        <v>4</v>
      </c>
      <c r="AL151" s="858">
        <v>468292</v>
      </c>
      <c r="AM151" s="990">
        <f t="shared" si="41"/>
        <v>1873168</v>
      </c>
    </row>
    <row r="152" spans="1:39" s="45" customFormat="1" ht="51">
      <c r="A152" s="586"/>
      <c r="B152" s="779">
        <v>5.0999999999999996</v>
      </c>
      <c r="C152" s="102" t="s">
        <v>1014</v>
      </c>
      <c r="D152" s="777" t="s">
        <v>512</v>
      </c>
      <c r="E152" s="780">
        <v>4</v>
      </c>
      <c r="F152" s="587">
        <v>521884</v>
      </c>
      <c r="G152" s="774">
        <f t="shared" si="37"/>
        <v>2087536</v>
      </c>
      <c r="H152" s="588"/>
      <c r="I152" s="587"/>
      <c r="J152" s="587"/>
      <c r="K152" s="587"/>
      <c r="L152" s="589"/>
      <c r="M152" s="590"/>
      <c r="N152" s="591"/>
      <c r="O152" s="95"/>
      <c r="P152" s="579"/>
      <c r="Q152" s="580"/>
      <c r="R152" s="580"/>
      <c r="S152" s="581"/>
      <c r="T152" s="582"/>
      <c r="U152" s="79"/>
      <c r="V152" s="621"/>
      <c r="W152" s="45">
        <v>409000</v>
      </c>
      <c r="X152" s="45">
        <v>1.276</v>
      </c>
      <c r="Y152" s="44">
        <f>+X152*W152</f>
        <v>521884</v>
      </c>
      <c r="Z152" s="44"/>
      <c r="AA152" s="1078" t="s">
        <v>1014</v>
      </c>
      <c r="AB152" s="777" t="s">
        <v>512</v>
      </c>
      <c r="AC152" s="779">
        <v>5.0999999999999996</v>
      </c>
      <c r="AD152" s="1078" t="s">
        <v>1014</v>
      </c>
      <c r="AE152" s="777" t="s">
        <v>512</v>
      </c>
      <c r="AF152" s="1222">
        <v>4</v>
      </c>
      <c r="AG152" s="1068">
        <v>521884</v>
      </c>
      <c r="AH152" s="774">
        <f t="shared" si="40"/>
        <v>2087536</v>
      </c>
      <c r="AI152" s="1062" t="s">
        <v>1511</v>
      </c>
      <c r="AJ152" s="1086" t="s">
        <v>22</v>
      </c>
      <c r="AK152" s="1193">
        <v>1</v>
      </c>
      <c r="AL152" s="1047">
        <v>323400</v>
      </c>
      <c r="AM152" s="774">
        <f>+AK152*AL152</f>
        <v>323400</v>
      </c>
    </row>
    <row r="153" spans="1:39" s="45" customFormat="1" ht="51">
      <c r="A153" s="586"/>
      <c r="B153" s="779">
        <f t="shared" ref="B153:B165" si="42">+B152+0.01</f>
        <v>5.1099999999999994</v>
      </c>
      <c r="C153" s="102" t="s">
        <v>1015</v>
      </c>
      <c r="D153" s="772" t="s">
        <v>512</v>
      </c>
      <c r="E153" s="780">
        <v>1</v>
      </c>
      <c r="F153" s="587">
        <v>1087152</v>
      </c>
      <c r="G153" s="774">
        <f t="shared" si="37"/>
        <v>1087152</v>
      </c>
      <c r="H153" s="588"/>
      <c r="I153" s="587"/>
      <c r="J153" s="587"/>
      <c r="K153" s="587"/>
      <c r="L153" s="589"/>
      <c r="M153" s="590"/>
      <c r="N153" s="591"/>
      <c r="O153" s="95"/>
      <c r="P153" s="579"/>
      <c r="Q153" s="580"/>
      <c r="R153" s="580"/>
      <c r="S153" s="581"/>
      <c r="T153" s="582"/>
      <c r="U153" s="79"/>
      <c r="V153" s="621"/>
      <c r="W153" s="45">
        <v>852000</v>
      </c>
      <c r="X153" s="45">
        <v>1.276</v>
      </c>
      <c r="Y153" s="44">
        <f t="shared" ref="Y153:Y156" si="43">+X153*W153</f>
        <v>1087152</v>
      </c>
      <c r="Z153" s="44"/>
      <c r="AA153" s="1078" t="s">
        <v>1015</v>
      </c>
      <c r="AB153" s="772" t="s">
        <v>512</v>
      </c>
      <c r="AC153" s="779">
        <f t="shared" ref="AC153:AC165" si="44">+AC152+0.01</f>
        <v>5.1099999999999994</v>
      </c>
      <c r="AD153" s="1078" t="s">
        <v>1015</v>
      </c>
      <c r="AE153" s="772" t="s">
        <v>512</v>
      </c>
      <c r="AF153" s="1222">
        <v>1</v>
      </c>
      <c r="AG153" s="1068">
        <v>1087152</v>
      </c>
      <c r="AH153" s="774">
        <f t="shared" si="40"/>
        <v>1087152</v>
      </c>
      <c r="AI153" s="1062" t="s">
        <v>1512</v>
      </c>
      <c r="AJ153" s="1087" t="s">
        <v>512</v>
      </c>
      <c r="AK153" s="1193">
        <v>4</v>
      </c>
      <c r="AL153" s="1047">
        <v>521884</v>
      </c>
      <c r="AM153" s="774">
        <f>+AK153*AL153</f>
        <v>2087536</v>
      </c>
    </row>
    <row r="154" spans="1:39" s="45" customFormat="1" ht="51">
      <c r="A154" s="586"/>
      <c r="B154" s="1251">
        <f t="shared" si="42"/>
        <v>5.1199999999999992</v>
      </c>
      <c r="C154" s="102" t="s">
        <v>1016</v>
      </c>
      <c r="D154" s="772" t="s">
        <v>22</v>
      </c>
      <c r="E154" s="780">
        <v>1</v>
      </c>
      <c r="F154" s="850">
        <v>323400</v>
      </c>
      <c r="G154" s="774">
        <f t="shared" si="37"/>
        <v>323400</v>
      </c>
      <c r="H154" s="588"/>
      <c r="I154" s="587"/>
      <c r="J154" s="587"/>
      <c r="K154" s="587"/>
      <c r="L154" s="589"/>
      <c r="M154" s="590"/>
      <c r="N154" s="591"/>
      <c r="O154" s="95"/>
      <c r="P154" s="579"/>
      <c r="Q154" s="580"/>
      <c r="R154" s="580"/>
      <c r="S154" s="581"/>
      <c r="T154" s="582"/>
      <c r="U154" s="79"/>
      <c r="V154" s="621"/>
      <c r="W154" s="45">
        <v>317000</v>
      </c>
      <c r="X154" s="45">
        <v>1.276</v>
      </c>
      <c r="Y154" s="44">
        <f t="shared" si="43"/>
        <v>404492</v>
      </c>
      <c r="Z154" s="44"/>
      <c r="AA154" s="1078" t="s">
        <v>1016</v>
      </c>
      <c r="AB154" s="772" t="s">
        <v>22</v>
      </c>
      <c r="AC154" s="779">
        <f t="shared" si="44"/>
        <v>5.1199999999999992</v>
      </c>
      <c r="AD154" s="1078" t="s">
        <v>1016</v>
      </c>
      <c r="AE154" s="772" t="s">
        <v>22</v>
      </c>
      <c r="AF154" s="1222">
        <v>1</v>
      </c>
      <c r="AG154" s="1068">
        <v>323400</v>
      </c>
      <c r="AH154" s="774">
        <f t="shared" si="40"/>
        <v>323400</v>
      </c>
      <c r="AI154" s="1062" t="s">
        <v>1513</v>
      </c>
      <c r="AJ154" s="1086" t="s">
        <v>512</v>
      </c>
      <c r="AK154" s="1193">
        <v>1</v>
      </c>
      <c r="AL154" s="1047">
        <v>1087152</v>
      </c>
      <c r="AM154" s="774">
        <f>+AK154*AL154</f>
        <v>1087152</v>
      </c>
    </row>
    <row r="155" spans="1:39" s="45" customFormat="1" ht="38.25">
      <c r="A155" s="586"/>
      <c r="B155" s="779">
        <f t="shared" si="42"/>
        <v>5.129999999999999</v>
      </c>
      <c r="C155" s="102" t="s">
        <v>1017</v>
      </c>
      <c r="D155" s="777" t="s">
        <v>22</v>
      </c>
      <c r="E155" s="780">
        <v>4</v>
      </c>
      <c r="F155" s="587">
        <v>174812</v>
      </c>
      <c r="G155" s="774">
        <f t="shared" si="37"/>
        <v>699248</v>
      </c>
      <c r="H155" s="588"/>
      <c r="I155" s="587"/>
      <c r="J155" s="587"/>
      <c r="K155" s="587"/>
      <c r="L155" s="589"/>
      <c r="M155" s="590"/>
      <c r="N155" s="591"/>
      <c r="O155" s="95"/>
      <c r="P155" s="579"/>
      <c r="Q155" s="580"/>
      <c r="R155" s="580"/>
      <c r="S155" s="581"/>
      <c r="T155" s="582"/>
      <c r="U155" s="79"/>
      <c r="V155" s="621"/>
      <c r="W155" s="45">
        <v>137000</v>
      </c>
      <c r="X155" s="45">
        <v>1.276</v>
      </c>
      <c r="Y155" s="44">
        <f t="shared" si="43"/>
        <v>174812</v>
      </c>
      <c r="Z155" s="44"/>
      <c r="AA155" s="1078" t="s">
        <v>1017</v>
      </c>
      <c r="AB155" s="777" t="s">
        <v>22</v>
      </c>
      <c r="AC155" s="779">
        <f t="shared" si="44"/>
        <v>5.129999999999999</v>
      </c>
      <c r="AD155" s="1078" t="s">
        <v>1017</v>
      </c>
      <c r="AE155" s="777" t="s">
        <v>22</v>
      </c>
      <c r="AF155" s="1222">
        <v>4</v>
      </c>
      <c r="AG155" s="1068">
        <v>174812</v>
      </c>
      <c r="AH155" s="774">
        <f t="shared" si="40"/>
        <v>699248</v>
      </c>
      <c r="AI155" s="1062" t="s">
        <v>1514</v>
      </c>
      <c r="AJ155" s="1087" t="s">
        <v>22</v>
      </c>
      <c r="AK155" s="1193">
        <v>4</v>
      </c>
      <c r="AL155" s="1047">
        <v>174812</v>
      </c>
      <c r="AM155" s="774">
        <f>+AK155*AL155</f>
        <v>699248</v>
      </c>
    </row>
    <row r="156" spans="1:39" s="45" customFormat="1" ht="51">
      <c r="A156" s="586"/>
      <c r="B156" s="779">
        <f t="shared" si="42"/>
        <v>5.1399999999999988</v>
      </c>
      <c r="C156" s="102" t="s">
        <v>921</v>
      </c>
      <c r="D156" s="777" t="s">
        <v>512</v>
      </c>
      <c r="E156" s="780">
        <v>4</v>
      </c>
      <c r="F156" s="858">
        <v>524784</v>
      </c>
      <c r="G156" s="774">
        <f t="shared" si="37"/>
        <v>2099136</v>
      </c>
      <c r="H156" s="588"/>
      <c r="I156" s="587"/>
      <c r="J156" s="587"/>
      <c r="K156" s="587"/>
      <c r="L156" s="589"/>
      <c r="M156" s="590"/>
      <c r="N156" s="591"/>
      <c r="O156" s="95"/>
      <c r="P156" s="579"/>
      <c r="Q156" s="580"/>
      <c r="R156" s="580"/>
      <c r="S156" s="581"/>
      <c r="T156" s="582"/>
      <c r="U156" s="79"/>
      <c r="V156" s="621"/>
      <c r="W156" s="45">
        <f>390000*1.16*1.16</f>
        <v>524783.99999999988</v>
      </c>
      <c r="X156" s="45">
        <v>1.276</v>
      </c>
      <c r="Y156" s="44">
        <f t="shared" si="43"/>
        <v>669624.38399999985</v>
      </c>
      <c r="Z156" s="44"/>
      <c r="AA156" s="102" t="s">
        <v>921</v>
      </c>
      <c r="AB156" s="777" t="s">
        <v>512</v>
      </c>
      <c r="AC156" s="779">
        <f t="shared" si="44"/>
        <v>5.1399999999999988</v>
      </c>
      <c r="AD156" s="102" t="s">
        <v>921</v>
      </c>
      <c r="AE156" s="777" t="s">
        <v>512</v>
      </c>
      <c r="AF156" s="1222">
        <v>4</v>
      </c>
      <c r="AG156" s="858">
        <v>524784</v>
      </c>
      <c r="AH156" s="774">
        <f t="shared" si="40"/>
        <v>2099136</v>
      </c>
      <c r="AI156" s="102" t="s">
        <v>921</v>
      </c>
      <c r="AJ156" s="777" t="s">
        <v>512</v>
      </c>
      <c r="AK156" s="1193">
        <v>4</v>
      </c>
      <c r="AL156" s="858">
        <v>524784</v>
      </c>
      <c r="AM156" s="774">
        <f t="shared" si="41"/>
        <v>2099136</v>
      </c>
    </row>
    <row r="157" spans="1:39" s="45" customFormat="1" ht="51">
      <c r="A157" s="586"/>
      <c r="B157" s="779">
        <f t="shared" si="42"/>
        <v>5.1499999999999986</v>
      </c>
      <c r="C157" s="102" t="s">
        <v>922</v>
      </c>
      <c r="D157" s="772" t="s">
        <v>512</v>
      </c>
      <c r="E157" s="780">
        <v>4</v>
      </c>
      <c r="F157" s="858">
        <v>469000</v>
      </c>
      <c r="G157" s="774">
        <f t="shared" si="37"/>
        <v>1876000</v>
      </c>
      <c r="H157" s="588"/>
      <c r="I157" s="587"/>
      <c r="J157" s="587"/>
      <c r="K157" s="587"/>
      <c r="L157" s="589"/>
      <c r="M157" s="590"/>
      <c r="N157" s="591"/>
      <c r="O157" s="95"/>
      <c r="P157" s="579"/>
      <c r="Q157" s="580"/>
      <c r="R157" s="580"/>
      <c r="S157" s="581"/>
      <c r="T157" s="582"/>
      <c r="U157" s="79"/>
      <c r="V157" s="621"/>
      <c r="Y157" s="44"/>
      <c r="Z157" s="44"/>
      <c r="AA157" s="102" t="s">
        <v>922</v>
      </c>
      <c r="AB157" s="772" t="s">
        <v>512</v>
      </c>
      <c r="AC157" s="779">
        <f t="shared" si="44"/>
        <v>5.1499999999999986</v>
      </c>
      <c r="AD157" s="102" t="s">
        <v>922</v>
      </c>
      <c r="AE157" s="772" t="s">
        <v>512</v>
      </c>
      <c r="AF157" s="1222">
        <v>4</v>
      </c>
      <c r="AG157" s="858">
        <v>469000</v>
      </c>
      <c r="AH157" s="774">
        <f t="shared" si="40"/>
        <v>1876000</v>
      </c>
      <c r="AI157" s="102" t="s">
        <v>922</v>
      </c>
      <c r="AJ157" s="772" t="s">
        <v>512</v>
      </c>
      <c r="AK157" s="1193">
        <v>4</v>
      </c>
      <c r="AL157" s="858">
        <v>469000</v>
      </c>
      <c r="AM157" s="774">
        <f t="shared" si="41"/>
        <v>1876000</v>
      </c>
    </row>
    <row r="158" spans="1:39" s="45" customFormat="1" ht="76.5">
      <c r="A158" s="586"/>
      <c r="B158" s="779">
        <f t="shared" si="42"/>
        <v>5.1599999999999984</v>
      </c>
      <c r="C158" s="102" t="s">
        <v>1018</v>
      </c>
      <c r="D158" s="772" t="s">
        <v>22</v>
      </c>
      <c r="E158" s="780">
        <v>30</v>
      </c>
      <c r="F158" s="858">
        <v>30550</v>
      </c>
      <c r="G158" s="774">
        <f t="shared" si="37"/>
        <v>916500</v>
      </c>
      <c r="H158" s="588"/>
      <c r="I158" s="587"/>
      <c r="J158" s="587"/>
      <c r="K158" s="587"/>
      <c r="L158" s="589"/>
      <c r="M158" s="590"/>
      <c r="N158" s="591"/>
      <c r="O158" s="95"/>
      <c r="P158" s="579"/>
      <c r="Q158" s="580"/>
      <c r="R158" s="580"/>
      <c r="S158" s="581"/>
      <c r="T158" s="582"/>
      <c r="U158" s="79"/>
      <c r="V158" s="621"/>
      <c r="Y158" s="44"/>
      <c r="Z158" s="44"/>
      <c r="AA158" s="102" t="s">
        <v>1018</v>
      </c>
      <c r="AB158" s="772" t="s">
        <v>22</v>
      </c>
      <c r="AC158" s="779">
        <f t="shared" si="44"/>
        <v>5.1599999999999984</v>
      </c>
      <c r="AD158" s="102" t="s">
        <v>1018</v>
      </c>
      <c r="AE158" s="772" t="s">
        <v>22</v>
      </c>
      <c r="AF158" s="1222">
        <v>30</v>
      </c>
      <c r="AG158" s="858">
        <v>30550</v>
      </c>
      <c r="AH158" s="774">
        <f t="shared" si="40"/>
        <v>916500</v>
      </c>
      <c r="AI158" s="102" t="s">
        <v>1018</v>
      </c>
      <c r="AJ158" s="772" t="s">
        <v>22</v>
      </c>
      <c r="AK158" s="1193">
        <v>30</v>
      </c>
      <c r="AL158" s="858">
        <v>30550</v>
      </c>
      <c r="AM158" s="774">
        <f t="shared" si="41"/>
        <v>916500</v>
      </c>
    </row>
    <row r="159" spans="1:39" s="45" customFormat="1" ht="63.75">
      <c r="A159" s="586"/>
      <c r="B159" s="779">
        <f t="shared" si="42"/>
        <v>5.1699999999999982</v>
      </c>
      <c r="C159" s="102" t="s">
        <v>522</v>
      </c>
      <c r="D159" s="772" t="s">
        <v>142</v>
      </c>
      <c r="E159" s="587">
        <v>8700</v>
      </c>
      <c r="F159" s="587">
        <v>3100</v>
      </c>
      <c r="G159" s="774">
        <f t="shared" si="37"/>
        <v>26970000</v>
      </c>
      <c r="H159" s="588"/>
      <c r="I159" s="587"/>
      <c r="J159" s="587"/>
      <c r="K159" s="587"/>
      <c r="L159" s="589"/>
      <c r="M159" s="590"/>
      <c r="N159" s="591"/>
      <c r="O159" s="95"/>
      <c r="P159" s="579"/>
      <c r="Q159" s="580"/>
      <c r="R159" s="580"/>
      <c r="S159" s="581"/>
      <c r="T159" s="582"/>
      <c r="U159" s="79"/>
      <c r="V159" s="621"/>
      <c r="W159" s="877">
        <v>1261428000</v>
      </c>
      <c r="Y159" s="44"/>
      <c r="Z159" s="44"/>
      <c r="AA159" s="102" t="s">
        <v>522</v>
      </c>
      <c r="AB159" s="772" t="s">
        <v>142</v>
      </c>
      <c r="AC159" s="779">
        <f t="shared" si="44"/>
        <v>5.1699999999999982</v>
      </c>
      <c r="AD159" s="102" t="s">
        <v>522</v>
      </c>
      <c r="AE159" s="772" t="s">
        <v>142</v>
      </c>
      <c r="AF159" s="1230">
        <v>8700</v>
      </c>
      <c r="AG159" s="587">
        <v>3100</v>
      </c>
      <c r="AH159" s="774">
        <f t="shared" si="40"/>
        <v>26970000</v>
      </c>
      <c r="AI159" s="102" t="s">
        <v>522</v>
      </c>
      <c r="AJ159" s="772" t="s">
        <v>142</v>
      </c>
      <c r="AK159" s="1201">
        <v>8700</v>
      </c>
      <c r="AL159" s="587">
        <v>3100</v>
      </c>
      <c r="AM159" s="774">
        <f t="shared" si="41"/>
        <v>26970000</v>
      </c>
    </row>
    <row r="160" spans="1:39" s="45" customFormat="1" ht="51">
      <c r="A160" s="586"/>
      <c r="B160" s="779">
        <f t="shared" si="42"/>
        <v>5.1799999999999979</v>
      </c>
      <c r="C160" s="102" t="s">
        <v>509</v>
      </c>
      <c r="D160" s="777" t="s">
        <v>56</v>
      </c>
      <c r="E160" s="780">
        <v>45</v>
      </c>
      <c r="F160" s="587">
        <v>150170</v>
      </c>
      <c r="G160" s="774">
        <f t="shared" si="37"/>
        <v>6757650</v>
      </c>
      <c r="H160" s="588"/>
      <c r="I160" s="587"/>
      <c r="J160" s="587"/>
      <c r="K160" s="587"/>
      <c r="L160" s="589"/>
      <c r="M160" s="590"/>
      <c r="N160" s="591"/>
      <c r="O160" s="95"/>
      <c r="P160" s="579"/>
      <c r="Q160" s="580"/>
      <c r="R160" s="580"/>
      <c r="S160" s="581"/>
      <c r="T160" s="582"/>
      <c r="U160" s="79"/>
      <c r="V160" s="621"/>
      <c r="Y160" s="44"/>
      <c r="Z160" s="44"/>
      <c r="AA160" s="102" t="s">
        <v>509</v>
      </c>
      <c r="AB160" s="777" t="s">
        <v>56</v>
      </c>
      <c r="AC160" s="779">
        <f t="shared" si="44"/>
        <v>5.1799999999999979</v>
      </c>
      <c r="AD160" s="102" t="s">
        <v>509</v>
      </c>
      <c r="AE160" s="777" t="s">
        <v>56</v>
      </c>
      <c r="AF160" s="1222">
        <v>45</v>
      </c>
      <c r="AG160" s="587">
        <v>150170</v>
      </c>
      <c r="AH160" s="774">
        <f t="shared" si="40"/>
        <v>6757650</v>
      </c>
      <c r="AI160" s="102" t="s">
        <v>509</v>
      </c>
      <c r="AJ160" s="777" t="s">
        <v>56</v>
      </c>
      <c r="AK160" s="1193">
        <v>45</v>
      </c>
      <c r="AL160" s="587">
        <v>150170</v>
      </c>
      <c r="AM160" s="774">
        <f t="shared" si="41"/>
        <v>6757650</v>
      </c>
    </row>
    <row r="161" spans="1:39" s="45" customFormat="1" ht="25.5">
      <c r="A161" s="586"/>
      <c r="B161" s="779">
        <f t="shared" si="42"/>
        <v>5.1899999999999977</v>
      </c>
      <c r="C161" s="102" t="s">
        <v>508</v>
      </c>
      <c r="D161" s="777" t="s">
        <v>500</v>
      </c>
      <c r="E161" s="780">
        <v>53</v>
      </c>
      <c r="F161" s="587">
        <v>18420</v>
      </c>
      <c r="G161" s="774">
        <f t="shared" si="37"/>
        <v>976260</v>
      </c>
      <c r="H161" s="588"/>
      <c r="I161" s="587"/>
      <c r="J161" s="587"/>
      <c r="K161" s="587"/>
      <c r="L161" s="589"/>
      <c r="M161" s="590"/>
      <c r="N161" s="591"/>
      <c r="O161" s="95"/>
      <c r="P161" s="579"/>
      <c r="Q161" s="580"/>
      <c r="R161" s="580"/>
      <c r="S161" s="581"/>
      <c r="T161" s="582"/>
      <c r="U161" s="79"/>
      <c r="V161" s="621"/>
      <c r="Y161" s="44"/>
      <c r="Z161" s="44"/>
      <c r="AA161" s="102" t="s">
        <v>508</v>
      </c>
      <c r="AB161" s="777" t="s">
        <v>500</v>
      </c>
      <c r="AC161" s="779">
        <f t="shared" si="44"/>
        <v>5.1899999999999977</v>
      </c>
      <c r="AD161" s="102" t="s">
        <v>508</v>
      </c>
      <c r="AE161" s="777" t="s">
        <v>500</v>
      </c>
      <c r="AF161" s="1222">
        <v>53</v>
      </c>
      <c r="AG161" s="587">
        <v>18420</v>
      </c>
      <c r="AH161" s="774">
        <f>AF160*AG161</f>
        <v>828900</v>
      </c>
      <c r="AI161" s="102" t="s">
        <v>508</v>
      </c>
      <c r="AJ161" s="777" t="s">
        <v>500</v>
      </c>
      <c r="AK161" s="1193">
        <v>97</v>
      </c>
      <c r="AL161" s="587">
        <v>18420</v>
      </c>
      <c r="AM161" s="774">
        <f>AK160*AL161</f>
        <v>828900</v>
      </c>
    </row>
    <row r="162" spans="1:39" s="45" customFormat="1" ht="79.5" customHeight="1">
      <c r="A162" s="586"/>
      <c r="B162" s="779">
        <f t="shared" si="42"/>
        <v>5.1999999999999975</v>
      </c>
      <c r="C162" s="102" t="s">
        <v>928</v>
      </c>
      <c r="D162" s="847" t="s">
        <v>22</v>
      </c>
      <c r="E162" s="841">
        <v>19</v>
      </c>
      <c r="F162" s="848">
        <v>271502</v>
      </c>
      <c r="G162" s="774">
        <f t="shared" si="37"/>
        <v>5158538</v>
      </c>
      <c r="H162" s="588"/>
      <c r="I162" s="587"/>
      <c r="J162" s="587"/>
      <c r="K162" s="587"/>
      <c r="L162" s="589"/>
      <c r="M162" s="590"/>
      <c r="N162" s="591"/>
      <c r="O162" s="95"/>
      <c r="P162" s="579"/>
      <c r="Q162" s="580"/>
      <c r="R162" s="580"/>
      <c r="S162" s="581"/>
      <c r="T162" s="582"/>
      <c r="U162" s="79"/>
      <c r="V162" s="621"/>
      <c r="Y162" s="44"/>
      <c r="Z162" s="44"/>
      <c r="AA162" s="102" t="s">
        <v>1481</v>
      </c>
      <c r="AB162" s="847" t="s">
        <v>22</v>
      </c>
      <c r="AC162" s="779">
        <f t="shared" si="44"/>
        <v>5.1999999999999975</v>
      </c>
      <c r="AD162" s="102" t="s">
        <v>1481</v>
      </c>
      <c r="AE162" s="847" t="s">
        <v>22</v>
      </c>
      <c r="AF162" s="1228">
        <v>19</v>
      </c>
      <c r="AG162" s="848">
        <v>271502</v>
      </c>
      <c r="AH162" s="849">
        <f>AF161*AG162</f>
        <v>14389606</v>
      </c>
      <c r="AI162" s="102" t="s">
        <v>1481</v>
      </c>
      <c r="AJ162" s="847" t="s">
        <v>22</v>
      </c>
      <c r="AK162" s="1199">
        <v>19</v>
      </c>
      <c r="AL162" s="848">
        <v>271502</v>
      </c>
      <c r="AM162" s="849">
        <f>AK161*AL162</f>
        <v>26335694</v>
      </c>
    </row>
    <row r="163" spans="1:39" s="45" customFormat="1" ht="76.5">
      <c r="A163" s="586"/>
      <c r="B163" s="779">
        <f t="shared" si="42"/>
        <v>5.2099999999999973</v>
      </c>
      <c r="C163" s="102" t="s">
        <v>930</v>
      </c>
      <c r="D163" s="772" t="s">
        <v>139</v>
      </c>
      <c r="E163" s="780">
        <v>14.26</v>
      </c>
      <c r="F163" s="858">
        <f>405000*1.16*1.15</f>
        <v>540269.99999999988</v>
      </c>
      <c r="G163" s="774">
        <f t="shared" si="37"/>
        <v>7704250.1999999983</v>
      </c>
      <c r="H163" s="588"/>
      <c r="I163" s="587"/>
      <c r="J163" s="587"/>
      <c r="K163" s="587"/>
      <c r="L163" s="589"/>
      <c r="M163" s="590"/>
      <c r="N163" s="591"/>
      <c r="O163" s="95"/>
      <c r="P163" s="579"/>
      <c r="Q163" s="580"/>
      <c r="R163" s="580"/>
      <c r="S163" s="581"/>
      <c r="T163" s="582"/>
      <c r="U163" s="79"/>
      <c r="V163" s="621"/>
      <c r="X163" s="45">
        <f>0.75*100000</f>
        <v>75000</v>
      </c>
      <c r="Y163" s="44"/>
      <c r="Z163" s="44"/>
      <c r="AA163" s="102" t="s">
        <v>930</v>
      </c>
      <c r="AB163" s="772" t="s">
        <v>139</v>
      </c>
      <c r="AC163" s="779">
        <f t="shared" si="44"/>
        <v>5.2099999999999973</v>
      </c>
      <c r="AD163" s="102" t="s">
        <v>930</v>
      </c>
      <c r="AE163" s="772" t="s">
        <v>139</v>
      </c>
      <c r="AF163" s="1222">
        <v>14.26</v>
      </c>
      <c r="AG163" s="858">
        <f>405000*1.16*1.15</f>
        <v>540269.99999999988</v>
      </c>
      <c r="AH163" s="849">
        <f>AF162*AG163</f>
        <v>10265129.999999998</v>
      </c>
      <c r="AI163" s="102" t="s">
        <v>930</v>
      </c>
      <c r="AJ163" s="772" t="s">
        <v>139</v>
      </c>
      <c r="AK163" s="1193">
        <v>14.16</v>
      </c>
      <c r="AL163" s="858">
        <f>405000*1.16*1.15</f>
        <v>540269.99999999988</v>
      </c>
      <c r="AM163" s="849">
        <f>AK162*AL163</f>
        <v>10265129.999999998</v>
      </c>
    </row>
    <row r="164" spans="1:39" s="45" customFormat="1" ht="63.75">
      <c r="A164" s="586"/>
      <c r="B164" s="779">
        <f t="shared" si="42"/>
        <v>5.2199999999999971</v>
      </c>
      <c r="C164" s="102" t="s">
        <v>931</v>
      </c>
      <c r="D164" s="777" t="s">
        <v>139</v>
      </c>
      <c r="E164" s="780">
        <v>9.5</v>
      </c>
      <c r="F164" s="858">
        <v>105259</v>
      </c>
      <c r="G164" s="774">
        <f t="shared" si="37"/>
        <v>999960.5</v>
      </c>
      <c r="H164" s="588"/>
      <c r="I164" s="587"/>
      <c r="J164" s="587"/>
      <c r="K164" s="587"/>
      <c r="L164" s="589"/>
      <c r="M164" s="590"/>
      <c r="N164" s="591"/>
      <c r="O164" s="95"/>
      <c r="P164" s="579"/>
      <c r="Q164" s="580"/>
      <c r="R164" s="580"/>
      <c r="S164" s="581"/>
      <c r="T164" s="582"/>
      <c r="U164" s="79"/>
      <c r="V164" s="621"/>
      <c r="Y164" s="44"/>
      <c r="Z164" s="44"/>
      <c r="AA164" s="102" t="s">
        <v>931</v>
      </c>
      <c r="AB164" s="777" t="s">
        <v>139</v>
      </c>
      <c r="AC164" s="779">
        <f t="shared" si="44"/>
        <v>5.2199999999999971</v>
      </c>
      <c r="AD164" s="102" t="s">
        <v>931</v>
      </c>
      <c r="AE164" s="777" t="s">
        <v>139</v>
      </c>
      <c r="AF164" s="1222">
        <v>9.5</v>
      </c>
      <c r="AG164" s="858">
        <v>105259</v>
      </c>
      <c r="AH164" s="849">
        <f>AF163*AG164</f>
        <v>1500993.34</v>
      </c>
      <c r="AI164" s="102" t="s">
        <v>931</v>
      </c>
      <c r="AJ164" s="777" t="s">
        <v>139</v>
      </c>
      <c r="AK164" s="1193">
        <v>9.44</v>
      </c>
      <c r="AL164" s="858">
        <v>105259</v>
      </c>
      <c r="AM164" s="849">
        <f>AK163*AL164</f>
        <v>1490467.44</v>
      </c>
    </row>
    <row r="165" spans="1:39" s="45" customFormat="1" ht="51">
      <c r="A165" s="586"/>
      <c r="B165" s="779">
        <f t="shared" si="42"/>
        <v>5.2299999999999969</v>
      </c>
      <c r="C165" s="102" t="s">
        <v>932</v>
      </c>
      <c r="D165" s="777" t="s">
        <v>139</v>
      </c>
      <c r="E165" s="780">
        <v>13.6</v>
      </c>
      <c r="F165" s="964">
        <v>63050</v>
      </c>
      <c r="G165" s="774">
        <f t="shared" si="37"/>
        <v>857480</v>
      </c>
      <c r="H165" s="588"/>
      <c r="I165" s="587"/>
      <c r="J165" s="587"/>
      <c r="K165" s="587"/>
      <c r="L165" s="589"/>
      <c r="M165" s="590"/>
      <c r="N165" s="591"/>
      <c r="O165" s="95"/>
      <c r="P165" s="579"/>
      <c r="Q165" s="580"/>
      <c r="R165" s="580"/>
      <c r="S165" s="581"/>
      <c r="T165" s="582"/>
      <c r="U165" s="79"/>
      <c r="V165" s="621"/>
      <c r="X165" s="45">
        <v>95690</v>
      </c>
      <c r="Y165" s="44">
        <f>+X165*1.1</f>
        <v>105259.00000000001</v>
      </c>
      <c r="Z165" s="44"/>
      <c r="AA165" s="102" t="s">
        <v>932</v>
      </c>
      <c r="AB165" s="777" t="s">
        <v>139</v>
      </c>
      <c r="AC165" s="779">
        <f t="shared" si="44"/>
        <v>5.2299999999999969</v>
      </c>
      <c r="AD165" s="102" t="s">
        <v>932</v>
      </c>
      <c r="AE165" s="777" t="s">
        <v>139</v>
      </c>
      <c r="AF165" s="1222">
        <v>13.6</v>
      </c>
      <c r="AG165" s="1080">
        <v>63050</v>
      </c>
      <c r="AH165" s="849">
        <f>AF164*AG165</f>
        <v>598975</v>
      </c>
      <c r="AI165" s="102" t="s">
        <v>932</v>
      </c>
      <c r="AJ165" s="777" t="s">
        <v>139</v>
      </c>
      <c r="AK165" s="1193">
        <v>14.71</v>
      </c>
      <c r="AL165" s="1080">
        <v>63050</v>
      </c>
      <c r="AM165" s="849">
        <f>AK164*AL165</f>
        <v>595192</v>
      </c>
    </row>
    <row r="166" spans="1:39" s="45" customFormat="1">
      <c r="A166" s="138">
        <v>200314</v>
      </c>
      <c r="B166" s="771"/>
      <c r="C166" s="102"/>
      <c r="D166" s="777"/>
      <c r="E166" s="780"/>
      <c r="F166" s="776"/>
      <c r="G166" s="774"/>
      <c r="H166" s="576">
        <v>44727</v>
      </c>
      <c r="I166" s="25">
        <v>59389</v>
      </c>
      <c r="J166" s="25">
        <v>1</v>
      </c>
      <c r="K166" s="25">
        <v>1</v>
      </c>
      <c r="L166" s="28">
        <v>3563340</v>
      </c>
      <c r="M166" s="29">
        <v>2683620</v>
      </c>
      <c r="N166" s="29">
        <v>2683620</v>
      </c>
      <c r="O166" s="95"/>
      <c r="P166" s="96"/>
      <c r="Q166" s="97">
        <v>52319</v>
      </c>
      <c r="R166" s="97">
        <v>890394</v>
      </c>
      <c r="S166" s="98">
        <v>1740900</v>
      </c>
      <c r="T166" s="99"/>
      <c r="U166" s="79"/>
      <c r="V166" s="621">
        <v>33</v>
      </c>
      <c r="W166" s="808"/>
      <c r="X166" s="44"/>
      <c r="Y166" s="44"/>
      <c r="Z166" s="44"/>
      <c r="AA166" s="102"/>
      <c r="AB166" s="777"/>
      <c r="AC166" s="771"/>
      <c r="AD166" s="102"/>
      <c r="AE166" s="777"/>
      <c r="AF166" s="1222"/>
      <c r="AG166" s="776"/>
      <c r="AH166" s="774"/>
      <c r="AI166" s="102"/>
      <c r="AJ166" s="777"/>
      <c r="AK166" s="1193"/>
      <c r="AL166" s="776"/>
      <c r="AM166" s="774"/>
    </row>
    <row r="167" spans="1:39" s="45" customFormat="1" ht="15.75" thickBot="1">
      <c r="A167" s="143">
        <v>140404</v>
      </c>
      <c r="B167" s="114"/>
      <c r="C167" s="114"/>
      <c r="D167" s="115"/>
      <c r="E167" s="116"/>
      <c r="F167" s="117" t="s">
        <v>987</v>
      </c>
      <c r="G167" s="1152">
        <f>SUM(G145:G166)</f>
        <v>261197101.69999999</v>
      </c>
      <c r="H167" s="576">
        <v>90513</v>
      </c>
      <c r="I167" s="25">
        <v>120183</v>
      </c>
      <c r="J167" s="25">
        <v>1</v>
      </c>
      <c r="K167" s="25">
        <v>1</v>
      </c>
      <c r="L167" s="28">
        <v>2163294</v>
      </c>
      <c r="M167" s="29">
        <v>1629234</v>
      </c>
      <c r="N167" s="29">
        <v>1629234</v>
      </c>
      <c r="O167" s="95"/>
      <c r="P167" s="96"/>
      <c r="Q167" s="97">
        <v>48580</v>
      </c>
      <c r="R167" s="97">
        <v>593604</v>
      </c>
      <c r="S167" s="98">
        <v>987055</v>
      </c>
      <c r="T167" s="99"/>
      <c r="U167" s="79"/>
      <c r="V167" s="621">
        <v>34</v>
      </c>
      <c r="W167" s="808"/>
      <c r="X167" s="44"/>
      <c r="Y167" s="44"/>
      <c r="Z167" s="44"/>
      <c r="AA167" s="1064"/>
      <c r="AB167" s="1065"/>
      <c r="AC167" s="1064"/>
      <c r="AD167" s="1064"/>
      <c r="AE167" s="1065"/>
      <c r="AF167" s="1227"/>
      <c r="AG167" s="1073" t="s">
        <v>987</v>
      </c>
      <c r="AH167" s="1117">
        <f>SUM(AH145:AH166)</f>
        <v>273084217.33999997</v>
      </c>
      <c r="AI167" s="1064"/>
      <c r="AJ167" s="1065"/>
      <c r="AK167" s="1198"/>
      <c r="AL167" s="1073" t="s">
        <v>987</v>
      </c>
      <c r="AM167" s="1117">
        <f>SUM(AM145:AM166)</f>
        <v>285015996.44</v>
      </c>
    </row>
    <row r="168" spans="1:39" s="45" customFormat="1">
      <c r="A168" s="105"/>
      <c r="B168" s="139"/>
      <c r="C168" s="140"/>
      <c r="D168" s="23"/>
      <c r="E168" s="107"/>
      <c r="F168" s="25"/>
      <c r="G168" s="795"/>
      <c r="H168" s="576"/>
      <c r="I168" s="25"/>
      <c r="J168" s="25"/>
      <c r="K168" s="25"/>
      <c r="L168" s="109"/>
      <c r="M168" s="110"/>
      <c r="N168" s="111"/>
      <c r="O168" s="95"/>
      <c r="P168" s="96"/>
      <c r="Q168" s="97"/>
      <c r="R168" s="97"/>
      <c r="S168" s="98"/>
      <c r="T168" s="99"/>
      <c r="U168" s="79"/>
      <c r="V168" s="621"/>
      <c r="W168" s="807"/>
      <c r="X168" s="44"/>
      <c r="Y168" s="44"/>
      <c r="Z168" s="44"/>
      <c r="AA168" s="593"/>
      <c r="AB168" s="999"/>
      <c r="AC168" s="592"/>
      <c r="AD168" s="593"/>
      <c r="AE168" s="999"/>
      <c r="AF168" s="1232"/>
      <c r="AG168" s="575"/>
      <c r="AH168" s="795"/>
      <c r="AI168" s="593"/>
      <c r="AJ168" s="999"/>
      <c r="AK168" s="1203"/>
      <c r="AL168" s="575"/>
      <c r="AM168" s="795"/>
    </row>
    <row r="169" spans="1:39" s="45" customFormat="1" ht="23.1" customHeight="1" thickBot="1">
      <c r="A169" s="124"/>
      <c r="B169" s="876"/>
      <c r="C169" s="871"/>
      <c r="D169" s="873"/>
      <c r="E169" s="874"/>
      <c r="F169" s="1180" t="s">
        <v>972</v>
      </c>
      <c r="G169" s="1152">
        <f>+G142+G167</f>
        <v>410210669.69999999</v>
      </c>
      <c r="H169" s="917"/>
      <c r="I169" s="917"/>
      <c r="J169" s="917"/>
      <c r="K169" s="917"/>
      <c r="L169" s="917"/>
      <c r="M169" s="917"/>
      <c r="N169" s="917"/>
      <c r="O169" s="917"/>
      <c r="P169" s="917"/>
      <c r="Q169" s="917"/>
      <c r="R169" s="917"/>
      <c r="S169" s="917"/>
      <c r="T169" s="917"/>
      <c r="U169" s="917"/>
      <c r="V169" s="621"/>
      <c r="W169" s="807"/>
      <c r="X169" s="44"/>
      <c r="Y169" s="44"/>
      <c r="Z169" s="44"/>
      <c r="AA169" s="1074"/>
      <c r="AB169" s="1075"/>
      <c r="AC169" s="1119"/>
      <c r="AD169" s="1074"/>
      <c r="AE169" s="1075"/>
      <c r="AF169" s="1227"/>
      <c r="AG169" s="1181" t="s">
        <v>972</v>
      </c>
      <c r="AH169" s="1115">
        <f>+AH142+AH167</f>
        <v>422097785.33999997</v>
      </c>
      <c r="AI169" s="1074"/>
      <c r="AJ169" s="1075"/>
      <c r="AK169" s="1198"/>
      <c r="AL169" s="1181" t="s">
        <v>972</v>
      </c>
      <c r="AM169" s="1115">
        <f>+AM142+AM167</f>
        <v>412755461.63999999</v>
      </c>
    </row>
    <row r="170" spans="1:39" s="45" customFormat="1" ht="15" hidden="1" customHeight="1">
      <c r="A170" s="84" t="s">
        <v>40</v>
      </c>
      <c r="B170" s="74"/>
      <c r="C170" s="75" t="s">
        <v>477</v>
      </c>
      <c r="D170" s="811"/>
      <c r="E170" s="812"/>
      <c r="F170" s="813"/>
      <c r="G170" s="814"/>
      <c r="H170" s="91"/>
      <c r="I170" s="89"/>
      <c r="J170" s="89"/>
      <c r="K170" s="89"/>
      <c r="L170" s="92"/>
      <c r="M170" s="93"/>
      <c r="N170" s="94"/>
      <c r="O170" s="95"/>
      <c r="P170" s="96"/>
      <c r="Q170" s="97"/>
      <c r="R170" s="97"/>
      <c r="S170" s="98"/>
      <c r="T170" s="99"/>
      <c r="U170" s="79"/>
      <c r="V170" s="621"/>
      <c r="W170" s="807"/>
      <c r="X170" s="44"/>
      <c r="Y170" s="44"/>
      <c r="Z170" s="44"/>
      <c r="AA170" s="1060" t="s">
        <v>477</v>
      </c>
      <c r="AB170" s="1081"/>
      <c r="AC170" s="1111"/>
      <c r="AD170" s="1060" t="s">
        <v>477</v>
      </c>
      <c r="AE170" s="1081"/>
      <c r="AF170" s="1225"/>
      <c r="AG170" s="1083"/>
      <c r="AH170" s="1120"/>
      <c r="AI170" s="1060" t="s">
        <v>477</v>
      </c>
      <c r="AJ170" s="1081"/>
      <c r="AK170" s="1196"/>
      <c r="AL170" s="1083"/>
      <c r="AM170" s="1120"/>
    </row>
    <row r="171" spans="1:39" s="45" customFormat="1" ht="15.75" thickBot="1">
      <c r="A171" s="127">
        <v>301305</v>
      </c>
      <c r="B171" s="85"/>
      <c r="C171" s="86"/>
      <c r="D171" s="815"/>
      <c r="E171" s="816"/>
      <c r="F171" s="817"/>
      <c r="G171" s="818"/>
      <c r="H171" s="576">
        <v>618839</v>
      </c>
      <c r="I171" s="25">
        <v>821694</v>
      </c>
      <c r="J171" s="25">
        <v>1</v>
      </c>
      <c r="K171" s="25">
        <v>1</v>
      </c>
      <c r="L171" s="28">
        <v>821694</v>
      </c>
      <c r="M171" s="29">
        <v>618839</v>
      </c>
      <c r="N171" s="29">
        <v>618839</v>
      </c>
      <c r="O171" s="95"/>
      <c r="P171" s="96"/>
      <c r="Q171" s="97">
        <v>13014</v>
      </c>
      <c r="R171" s="97">
        <v>260289</v>
      </c>
      <c r="S171" s="98">
        <v>345535</v>
      </c>
      <c r="T171" s="99"/>
      <c r="U171" s="79"/>
      <c r="V171" s="621">
        <v>36</v>
      </c>
      <c r="W171" s="808"/>
      <c r="X171" s="44"/>
      <c r="Y171" s="44"/>
      <c r="Z171" s="44"/>
      <c r="AA171" s="86"/>
      <c r="AB171" s="1084"/>
      <c r="AC171" s="85"/>
      <c r="AD171" s="86"/>
      <c r="AE171" s="1084"/>
      <c r="AF171" s="1223"/>
      <c r="AG171" s="1085"/>
      <c r="AH171" s="1121"/>
      <c r="AI171" s="86"/>
      <c r="AJ171" s="1084"/>
      <c r="AK171" s="1194"/>
      <c r="AL171" s="1085"/>
      <c r="AM171" s="1121"/>
    </row>
    <row r="172" spans="1:39" s="45" customFormat="1">
      <c r="A172" s="584"/>
      <c r="B172" s="74">
        <v>6</v>
      </c>
      <c r="C172" s="75" t="s">
        <v>534</v>
      </c>
      <c r="D172" s="76"/>
      <c r="E172" s="76"/>
      <c r="F172" s="76"/>
      <c r="G172" s="126"/>
      <c r="H172" s="576"/>
      <c r="I172" s="575"/>
      <c r="J172" s="575"/>
      <c r="K172" s="575"/>
      <c r="L172" s="577"/>
      <c r="M172" s="578"/>
      <c r="N172" s="578"/>
      <c r="O172" s="95"/>
      <c r="P172" s="579"/>
      <c r="Q172" s="580"/>
      <c r="R172" s="580"/>
      <c r="S172" s="581"/>
      <c r="T172" s="582"/>
      <c r="U172" s="79"/>
      <c r="V172" s="621"/>
      <c r="W172" s="808"/>
      <c r="X172" s="44"/>
      <c r="Y172" s="44"/>
      <c r="Z172" s="44"/>
      <c r="AA172" s="1060" t="s">
        <v>534</v>
      </c>
      <c r="AB172" s="1061"/>
      <c r="AC172" s="1111">
        <v>6</v>
      </c>
      <c r="AD172" s="1060" t="s">
        <v>534</v>
      </c>
      <c r="AE172" s="1061"/>
      <c r="AF172" s="1221"/>
      <c r="AG172" s="1061"/>
      <c r="AH172" s="1113"/>
      <c r="AI172" s="1060" t="s">
        <v>534</v>
      </c>
      <c r="AJ172" s="1061"/>
      <c r="AK172" s="1192"/>
      <c r="AL172" s="1061"/>
      <c r="AM172" s="1113"/>
    </row>
    <row r="173" spans="1:39" s="45" customFormat="1">
      <c r="A173" s="584"/>
      <c r="B173" s="771"/>
      <c r="C173" s="788" t="s">
        <v>947</v>
      </c>
      <c r="D173" s="772"/>
      <c r="E173" s="773"/>
      <c r="F173" s="587"/>
      <c r="G173" s="774"/>
      <c r="H173" s="576"/>
      <c r="I173" s="575"/>
      <c r="J173" s="575"/>
      <c r="K173" s="575"/>
      <c r="L173" s="577"/>
      <c r="M173" s="578"/>
      <c r="N173" s="578"/>
      <c r="O173" s="95"/>
      <c r="P173" s="579"/>
      <c r="Q173" s="580"/>
      <c r="R173" s="580"/>
      <c r="S173" s="581"/>
      <c r="T173" s="582"/>
      <c r="U173" s="79"/>
      <c r="V173" s="621"/>
      <c r="W173" s="808"/>
      <c r="X173" s="44"/>
      <c r="Y173" s="44"/>
      <c r="Z173" s="44"/>
      <c r="AA173" s="788" t="s">
        <v>947</v>
      </c>
      <c r="AB173" s="772"/>
      <c r="AC173" s="771"/>
      <c r="AD173" s="788" t="s">
        <v>947</v>
      </c>
      <c r="AE173" s="772"/>
      <c r="AF173" s="1222"/>
      <c r="AG173" s="587"/>
      <c r="AH173" s="774"/>
      <c r="AI173" s="788" t="s">
        <v>947</v>
      </c>
      <c r="AJ173" s="772"/>
      <c r="AK173" s="1193"/>
      <c r="AL173" s="587"/>
      <c r="AM173" s="774"/>
    </row>
    <row r="174" spans="1:39" s="45" customFormat="1" ht="38.25">
      <c r="A174" s="584"/>
      <c r="B174" s="1252">
        <v>6.1</v>
      </c>
      <c r="C174" s="102" t="s">
        <v>943</v>
      </c>
      <c r="D174" s="772" t="s">
        <v>139</v>
      </c>
      <c r="E174" s="780">
        <v>414</v>
      </c>
      <c r="F174" s="587">
        <v>2610</v>
      </c>
      <c r="G174" s="774">
        <f>+E174*F174</f>
        <v>1080540</v>
      </c>
      <c r="H174" s="576"/>
      <c r="I174" s="575"/>
      <c r="J174" s="575"/>
      <c r="K174" s="575"/>
      <c r="L174" s="577"/>
      <c r="M174" s="578"/>
      <c r="N174" s="578"/>
      <c r="O174" s="95"/>
      <c r="P174" s="579"/>
      <c r="Q174" s="580"/>
      <c r="R174" s="580"/>
      <c r="S174" s="581"/>
      <c r="T174" s="582"/>
      <c r="U174" s="79"/>
      <c r="V174" s="621"/>
      <c r="W174" s="828"/>
      <c r="X174" s="216"/>
      <c r="Y174" s="829"/>
      <c r="Z174" s="95"/>
      <c r="AA174" s="102" t="s">
        <v>943</v>
      </c>
      <c r="AB174" s="772" t="s">
        <v>139</v>
      </c>
      <c r="AC174" s="771">
        <v>6.1</v>
      </c>
      <c r="AD174" s="102" t="s">
        <v>943</v>
      </c>
      <c r="AE174" s="772" t="s">
        <v>139</v>
      </c>
      <c r="AF174" s="1222">
        <v>297</v>
      </c>
      <c r="AG174" s="587">
        <v>2610</v>
      </c>
      <c r="AH174" s="774">
        <f t="shared" ref="AH174:AH183" si="45">+AF174*AG174</f>
        <v>775170</v>
      </c>
      <c r="AI174" s="102" t="s">
        <v>943</v>
      </c>
      <c r="AJ174" s="772" t="s">
        <v>139</v>
      </c>
      <c r="AK174" s="1193">
        <v>414</v>
      </c>
      <c r="AL174" s="587">
        <v>2610</v>
      </c>
      <c r="AM174" s="774">
        <f t="shared" ref="AM174:AM182" si="46">+AK174*AL174</f>
        <v>1080540</v>
      </c>
    </row>
    <row r="175" spans="1:39" s="45" customFormat="1" ht="38.25">
      <c r="A175" s="584"/>
      <c r="B175" s="1252">
        <f>+B174+0.1</f>
        <v>6.1999999999999993</v>
      </c>
      <c r="C175" s="102" t="s">
        <v>1101</v>
      </c>
      <c r="D175" s="772" t="s">
        <v>139</v>
      </c>
      <c r="E175" s="780">
        <v>268</v>
      </c>
      <c r="F175" s="587">
        <v>5190</v>
      </c>
      <c r="G175" s="774">
        <f t="shared" ref="G175:G183" si="47">+E175*F175</f>
        <v>1390920</v>
      </c>
      <c r="H175" s="576"/>
      <c r="I175" s="575"/>
      <c r="J175" s="575"/>
      <c r="K175" s="575"/>
      <c r="L175" s="577"/>
      <c r="M175" s="578"/>
      <c r="N175" s="578"/>
      <c r="O175" s="95"/>
      <c r="P175" s="579"/>
      <c r="Q175" s="580"/>
      <c r="R175" s="580"/>
      <c r="S175" s="581"/>
      <c r="T175" s="582"/>
      <c r="U175" s="79"/>
      <c r="V175" s="621"/>
      <c r="W175" s="828"/>
      <c r="X175" s="216"/>
      <c r="Y175" s="829"/>
      <c r="Z175" s="95"/>
      <c r="AA175" s="102" t="s">
        <v>1101</v>
      </c>
      <c r="AB175" s="772" t="s">
        <v>139</v>
      </c>
      <c r="AC175" s="771">
        <f>+AC174+0.1</f>
        <v>6.1999999999999993</v>
      </c>
      <c r="AD175" s="102" t="s">
        <v>1101</v>
      </c>
      <c r="AE175" s="772" t="s">
        <v>139</v>
      </c>
      <c r="AF175" s="1222">
        <v>229</v>
      </c>
      <c r="AG175" s="587">
        <v>5190</v>
      </c>
      <c r="AH175" s="774">
        <f t="shared" si="45"/>
        <v>1188510</v>
      </c>
      <c r="AI175" s="102" t="s">
        <v>1101</v>
      </c>
      <c r="AJ175" s="772" t="s">
        <v>139</v>
      </c>
      <c r="AK175" s="1193">
        <v>268</v>
      </c>
      <c r="AL175" s="587">
        <v>5190</v>
      </c>
      <c r="AM175" s="774">
        <f t="shared" si="46"/>
        <v>1390920</v>
      </c>
    </row>
    <row r="176" spans="1:39" s="45" customFormat="1" ht="63.75">
      <c r="A176" s="584"/>
      <c r="B176" s="1252">
        <f t="shared" ref="B176:B183" si="48">+B175+0.1</f>
        <v>6.2999999999999989</v>
      </c>
      <c r="C176" s="102" t="s">
        <v>941</v>
      </c>
      <c r="D176" s="777" t="s">
        <v>139</v>
      </c>
      <c r="E176" s="780">
        <v>146</v>
      </c>
      <c r="F176" s="587">
        <v>10240</v>
      </c>
      <c r="G176" s="774">
        <f t="shared" si="47"/>
        <v>1495040</v>
      </c>
      <c r="H176" s="576"/>
      <c r="I176" s="575"/>
      <c r="J176" s="575"/>
      <c r="K176" s="575"/>
      <c r="L176" s="577"/>
      <c r="M176" s="578"/>
      <c r="N176" s="578"/>
      <c r="O176" s="95"/>
      <c r="P176" s="579"/>
      <c r="Q176" s="580"/>
      <c r="R176" s="580"/>
      <c r="S176" s="581"/>
      <c r="T176" s="582"/>
      <c r="U176" s="79"/>
      <c r="V176" s="621"/>
      <c r="W176" s="828"/>
      <c r="X176" s="830"/>
      <c r="Y176" s="829"/>
      <c r="Z176" s="831"/>
      <c r="AA176" s="102" t="s">
        <v>941</v>
      </c>
      <c r="AB176" s="777" t="s">
        <v>139</v>
      </c>
      <c r="AC176" s="771">
        <f t="shared" ref="AC176:AC183" si="49">+AC175+0.1</f>
        <v>6.2999999999999989</v>
      </c>
      <c r="AD176" s="102" t="s">
        <v>941</v>
      </c>
      <c r="AE176" s="777" t="s">
        <v>139</v>
      </c>
      <c r="AF176" s="1222">
        <v>68</v>
      </c>
      <c r="AG176" s="587">
        <v>10240</v>
      </c>
      <c r="AH176" s="774">
        <f t="shared" si="45"/>
        <v>696320</v>
      </c>
      <c r="AI176" s="102" t="s">
        <v>941</v>
      </c>
      <c r="AJ176" s="777" t="s">
        <v>139</v>
      </c>
      <c r="AK176" s="1193">
        <v>146</v>
      </c>
      <c r="AL176" s="587">
        <v>10240</v>
      </c>
      <c r="AM176" s="774">
        <f t="shared" si="46"/>
        <v>1495040</v>
      </c>
    </row>
    <row r="177" spans="1:39" s="45" customFormat="1" ht="51">
      <c r="A177" s="584"/>
      <c r="B177" s="1252">
        <f t="shared" si="48"/>
        <v>6.3999999999999986</v>
      </c>
      <c r="C177" s="102" t="s">
        <v>497</v>
      </c>
      <c r="D177" s="777" t="s">
        <v>56</v>
      </c>
      <c r="E177" s="780">
        <v>57</v>
      </c>
      <c r="F177" s="587">
        <v>17220</v>
      </c>
      <c r="G177" s="774">
        <f t="shared" si="47"/>
        <v>981540</v>
      </c>
      <c r="H177" s="576"/>
      <c r="I177" s="575"/>
      <c r="J177" s="575"/>
      <c r="K177" s="575"/>
      <c r="L177" s="577"/>
      <c r="M177" s="578"/>
      <c r="N177" s="578"/>
      <c r="O177" s="95"/>
      <c r="P177" s="579"/>
      <c r="Q177" s="580"/>
      <c r="R177" s="580"/>
      <c r="S177" s="581"/>
      <c r="T177" s="582"/>
      <c r="U177" s="79"/>
      <c r="V177" s="621"/>
      <c r="W177" s="828"/>
      <c r="X177" s="830"/>
      <c r="Y177" s="829"/>
      <c r="Z177" s="95"/>
      <c r="AA177" s="102" t="s">
        <v>497</v>
      </c>
      <c r="AB177" s="777" t="s">
        <v>56</v>
      </c>
      <c r="AC177" s="771">
        <f t="shared" si="49"/>
        <v>6.3999999999999986</v>
      </c>
      <c r="AD177" s="102" t="s">
        <v>497</v>
      </c>
      <c r="AE177" s="777" t="s">
        <v>56</v>
      </c>
      <c r="AF177" s="1222">
        <v>60</v>
      </c>
      <c r="AG177" s="587">
        <v>17220</v>
      </c>
      <c r="AH177" s="774">
        <f t="shared" si="45"/>
        <v>1033200</v>
      </c>
      <c r="AI177" s="102" t="s">
        <v>497</v>
      </c>
      <c r="AJ177" s="777" t="s">
        <v>56</v>
      </c>
      <c r="AK177" s="1193">
        <v>57</v>
      </c>
      <c r="AL177" s="587">
        <v>17220</v>
      </c>
      <c r="AM177" s="774">
        <f t="shared" si="46"/>
        <v>981540</v>
      </c>
    </row>
    <row r="178" spans="1:39" s="45" customFormat="1" ht="63.75">
      <c r="A178" s="584"/>
      <c r="B178" s="1252">
        <f t="shared" si="48"/>
        <v>6.4999999999999982</v>
      </c>
      <c r="C178" s="782" t="s">
        <v>1000</v>
      </c>
      <c r="D178" s="790" t="s">
        <v>139</v>
      </c>
      <c r="E178" s="780">
        <v>15</v>
      </c>
      <c r="F178" s="587">
        <f>+F52</f>
        <v>573533</v>
      </c>
      <c r="G178" s="774">
        <f t="shared" si="47"/>
        <v>8602995</v>
      </c>
      <c r="H178" s="576"/>
      <c r="I178" s="575"/>
      <c r="J178" s="575"/>
      <c r="K178" s="575"/>
      <c r="L178" s="577"/>
      <c r="M178" s="578"/>
      <c r="N178" s="578"/>
      <c r="O178" s="95"/>
      <c r="P178" s="579"/>
      <c r="Q178" s="580"/>
      <c r="R178" s="580"/>
      <c r="S178" s="581"/>
      <c r="T178" s="582"/>
      <c r="U178" s="79"/>
      <c r="V178" s="621"/>
      <c r="AA178" s="1062" t="s">
        <v>1000</v>
      </c>
      <c r="AB178" s="1086" t="s">
        <v>139</v>
      </c>
      <c r="AC178" s="771">
        <f t="shared" si="49"/>
        <v>6.4999999999999982</v>
      </c>
      <c r="AD178" s="1062" t="s">
        <v>1000</v>
      </c>
      <c r="AE178" s="1086" t="s">
        <v>139</v>
      </c>
      <c r="AF178" s="1222">
        <v>16</v>
      </c>
      <c r="AG178" s="587">
        <f>+AG52</f>
        <v>573533</v>
      </c>
      <c r="AH178" s="774">
        <f t="shared" si="45"/>
        <v>9176528</v>
      </c>
      <c r="AI178" s="1062" t="s">
        <v>1000</v>
      </c>
      <c r="AJ178" s="1086" t="s">
        <v>139</v>
      </c>
      <c r="AK178" s="1193">
        <v>15</v>
      </c>
      <c r="AL178" s="587">
        <f>+AL52</f>
        <v>573533</v>
      </c>
      <c r="AM178" s="774">
        <f t="shared" si="46"/>
        <v>8602995</v>
      </c>
    </row>
    <row r="179" spans="1:39" s="45" customFormat="1" ht="63.75">
      <c r="A179" s="584"/>
      <c r="B179" s="771">
        <f>+B178+0.1</f>
        <v>6.5999999999999979</v>
      </c>
      <c r="C179" s="102" t="s">
        <v>976</v>
      </c>
      <c r="D179" s="772" t="s">
        <v>139</v>
      </c>
      <c r="E179" s="780">
        <v>42</v>
      </c>
      <c r="F179" s="587">
        <v>614040</v>
      </c>
      <c r="G179" s="774">
        <f t="shared" si="47"/>
        <v>25789680</v>
      </c>
      <c r="H179" s="576"/>
      <c r="I179" s="575"/>
      <c r="J179" s="575"/>
      <c r="K179" s="575"/>
      <c r="L179" s="577"/>
      <c r="M179" s="578"/>
      <c r="N179" s="578"/>
      <c r="O179" s="95"/>
      <c r="P179" s="579"/>
      <c r="Q179" s="580"/>
      <c r="R179" s="580"/>
      <c r="S179" s="581"/>
      <c r="T179" s="582"/>
      <c r="U179" s="79"/>
      <c r="V179" s="621"/>
      <c r="W179" s="835"/>
      <c r="X179" s="216"/>
      <c r="Y179" s="95"/>
      <c r="Z179" s="95"/>
      <c r="AA179" s="102" t="s">
        <v>976</v>
      </c>
      <c r="AB179" s="772" t="s">
        <v>139</v>
      </c>
      <c r="AC179" s="771">
        <f>+AC178+0.1</f>
        <v>6.5999999999999979</v>
      </c>
      <c r="AD179" s="102" t="s">
        <v>976</v>
      </c>
      <c r="AE179" s="772" t="s">
        <v>139</v>
      </c>
      <c r="AF179" s="1222">
        <v>37</v>
      </c>
      <c r="AG179" s="587">
        <v>614040</v>
      </c>
      <c r="AH179" s="774">
        <f t="shared" si="45"/>
        <v>22719480</v>
      </c>
      <c r="AI179" s="102" t="s">
        <v>976</v>
      </c>
      <c r="AJ179" s="772" t="s">
        <v>139</v>
      </c>
      <c r="AK179" s="1193">
        <v>42</v>
      </c>
      <c r="AL179" s="587">
        <v>614040</v>
      </c>
      <c r="AM179" s="774">
        <f t="shared" si="46"/>
        <v>25789680</v>
      </c>
    </row>
    <row r="180" spans="1:39" s="45" customFormat="1" ht="51">
      <c r="A180" s="584"/>
      <c r="B180" s="771">
        <f>+B178+0.1</f>
        <v>6.5999999999999979</v>
      </c>
      <c r="C180" s="102" t="s">
        <v>939</v>
      </c>
      <c r="D180" s="772" t="s">
        <v>139</v>
      </c>
      <c r="E180" s="850">
        <v>8</v>
      </c>
      <c r="F180" s="587">
        <v>594610</v>
      </c>
      <c r="G180" s="774">
        <f t="shared" si="47"/>
        <v>4756880</v>
      </c>
      <c r="H180" s="576"/>
      <c r="I180" s="575"/>
      <c r="J180" s="575"/>
      <c r="K180" s="575"/>
      <c r="L180" s="577"/>
      <c r="M180" s="578"/>
      <c r="N180" s="578"/>
      <c r="O180" s="95"/>
      <c r="P180" s="579"/>
      <c r="Q180" s="580"/>
      <c r="R180" s="580"/>
      <c r="S180" s="581"/>
      <c r="T180" s="582"/>
      <c r="U180" s="79"/>
      <c r="V180" s="621"/>
      <c r="W180" s="215"/>
      <c r="X180" s="216"/>
      <c r="Y180" s="95"/>
      <c r="Z180" s="95"/>
      <c r="AA180" s="102" t="s">
        <v>939</v>
      </c>
      <c r="AB180" s="772" t="s">
        <v>139</v>
      </c>
      <c r="AC180" s="771">
        <f>+AC178+0.1</f>
        <v>6.5999999999999979</v>
      </c>
      <c r="AD180" s="102" t="s">
        <v>939</v>
      </c>
      <c r="AE180" s="772" t="s">
        <v>139</v>
      </c>
      <c r="AF180" s="1230">
        <v>6</v>
      </c>
      <c r="AG180" s="587">
        <v>594610</v>
      </c>
      <c r="AH180" s="774">
        <f t="shared" si="45"/>
        <v>3567660</v>
      </c>
      <c r="AI180" s="102" t="s">
        <v>939</v>
      </c>
      <c r="AJ180" s="772" t="s">
        <v>139</v>
      </c>
      <c r="AK180" s="1201">
        <v>8</v>
      </c>
      <c r="AL180" s="587">
        <v>594610</v>
      </c>
      <c r="AM180" s="774">
        <f t="shared" si="46"/>
        <v>4756880</v>
      </c>
    </row>
    <row r="181" spans="1:39" s="45" customFormat="1" ht="25.5">
      <c r="A181" s="584"/>
      <c r="B181" s="771">
        <f t="shared" si="48"/>
        <v>6.6999999999999975</v>
      </c>
      <c r="C181" s="102" t="s">
        <v>1002</v>
      </c>
      <c r="D181" s="772" t="s">
        <v>139</v>
      </c>
      <c r="E181" s="780">
        <v>1.3</v>
      </c>
      <c r="F181" s="587">
        <v>448900</v>
      </c>
      <c r="G181" s="774">
        <f t="shared" si="47"/>
        <v>583570</v>
      </c>
      <c r="H181" s="576"/>
      <c r="I181" s="575"/>
      <c r="J181" s="575"/>
      <c r="K181" s="575"/>
      <c r="L181" s="577"/>
      <c r="M181" s="578"/>
      <c r="N181" s="578"/>
      <c r="O181" s="95"/>
      <c r="P181" s="579"/>
      <c r="Q181" s="580"/>
      <c r="R181" s="580"/>
      <c r="S181" s="581"/>
      <c r="T181" s="582"/>
      <c r="U181" s="79"/>
      <c r="V181" s="621"/>
      <c r="W181" s="215"/>
      <c r="X181" s="216"/>
      <c r="Y181" s="95"/>
      <c r="Z181" s="95"/>
      <c r="AA181" s="102" t="s">
        <v>1002</v>
      </c>
      <c r="AB181" s="772" t="s">
        <v>139</v>
      </c>
      <c r="AC181" s="771">
        <f t="shared" si="49"/>
        <v>6.6999999999999975</v>
      </c>
      <c r="AD181" s="102" t="s">
        <v>1002</v>
      </c>
      <c r="AE181" s="772" t="s">
        <v>139</v>
      </c>
      <c r="AF181" s="1222">
        <v>1.3</v>
      </c>
      <c r="AG181" s="587">
        <v>393333</v>
      </c>
      <c r="AH181" s="774">
        <f t="shared" si="45"/>
        <v>511332.9</v>
      </c>
      <c r="AI181" s="102" t="s">
        <v>1515</v>
      </c>
      <c r="AJ181" s="772" t="s">
        <v>139</v>
      </c>
      <c r="AK181" s="1193">
        <v>1</v>
      </c>
      <c r="AL181" s="587">
        <v>393333</v>
      </c>
      <c r="AM181" s="774">
        <f t="shared" si="46"/>
        <v>393333</v>
      </c>
    </row>
    <row r="182" spans="1:39" s="45" customFormat="1" ht="25.5">
      <c r="A182" s="584"/>
      <c r="B182" s="771">
        <f t="shared" si="48"/>
        <v>6.7999999999999972</v>
      </c>
      <c r="C182" s="782" t="s">
        <v>1003</v>
      </c>
      <c r="D182" s="790" t="s">
        <v>139</v>
      </c>
      <c r="E182" s="780">
        <v>1</v>
      </c>
      <c r="F182" s="587">
        <v>393333</v>
      </c>
      <c r="G182" s="774">
        <f t="shared" si="47"/>
        <v>393333</v>
      </c>
      <c r="H182" s="576"/>
      <c r="I182" s="575"/>
      <c r="J182" s="575"/>
      <c r="K182" s="575"/>
      <c r="L182" s="577"/>
      <c r="M182" s="578"/>
      <c r="N182" s="578"/>
      <c r="O182" s="95"/>
      <c r="P182" s="579"/>
      <c r="Q182" s="580"/>
      <c r="R182" s="580"/>
      <c r="S182" s="581"/>
      <c r="T182" s="582"/>
      <c r="U182" s="79"/>
      <c r="V182" s="621"/>
      <c r="W182" s="215"/>
      <c r="X182" s="216"/>
      <c r="Y182" s="95"/>
      <c r="Z182" s="95"/>
      <c r="AA182" s="1062" t="s">
        <v>1003</v>
      </c>
      <c r="AB182" s="1086" t="s">
        <v>139</v>
      </c>
      <c r="AC182" s="771">
        <f t="shared" si="49"/>
        <v>6.7999999999999972</v>
      </c>
      <c r="AD182" s="1062" t="s">
        <v>1003</v>
      </c>
      <c r="AE182" s="1086" t="s">
        <v>139</v>
      </c>
      <c r="AF182" s="1222">
        <v>1.5</v>
      </c>
      <c r="AG182" s="587">
        <v>448900</v>
      </c>
      <c r="AH182" s="774">
        <f t="shared" si="45"/>
        <v>673350</v>
      </c>
      <c r="AI182" s="1062" t="s">
        <v>1516</v>
      </c>
      <c r="AJ182" s="1086" t="s">
        <v>139</v>
      </c>
      <c r="AK182" s="1193">
        <v>0.6</v>
      </c>
      <c r="AL182" s="587">
        <v>448900</v>
      </c>
      <c r="AM182" s="774">
        <f t="shared" si="46"/>
        <v>269340</v>
      </c>
    </row>
    <row r="183" spans="1:39" s="45" customFormat="1" ht="38.25">
      <c r="A183" s="584"/>
      <c r="B183" s="1253">
        <f t="shared" si="48"/>
        <v>6.8999999999999968</v>
      </c>
      <c r="C183" s="102" t="s">
        <v>1004</v>
      </c>
      <c r="D183" s="777" t="s">
        <v>139</v>
      </c>
      <c r="E183" s="780">
        <v>0.7</v>
      </c>
      <c r="F183" s="776">
        <v>751550</v>
      </c>
      <c r="G183" s="774">
        <f t="shared" si="47"/>
        <v>526085</v>
      </c>
      <c r="H183" s="576"/>
      <c r="I183" s="575"/>
      <c r="J183" s="575"/>
      <c r="K183" s="575"/>
      <c r="L183" s="577"/>
      <c r="M183" s="578"/>
      <c r="N183" s="578"/>
      <c r="O183" s="95"/>
      <c r="P183" s="579"/>
      <c r="Q183" s="580"/>
      <c r="R183" s="580"/>
      <c r="S183" s="581"/>
      <c r="T183" s="582"/>
      <c r="U183" s="79"/>
      <c r="V183" s="621"/>
      <c r="W183" s="215"/>
      <c r="X183" s="216"/>
      <c r="Y183" s="829"/>
      <c r="Z183" s="95"/>
      <c r="AA183" s="102" t="s">
        <v>1004</v>
      </c>
      <c r="AB183" s="777" t="s">
        <v>139</v>
      </c>
      <c r="AC183" s="771">
        <f t="shared" si="49"/>
        <v>6.8999999999999968</v>
      </c>
      <c r="AD183" s="102" t="s">
        <v>1004</v>
      </c>
      <c r="AE183" s="777" t="s">
        <v>139</v>
      </c>
      <c r="AF183" s="1222">
        <v>0.7</v>
      </c>
      <c r="AG183" s="776">
        <v>500335</v>
      </c>
      <c r="AH183" s="774">
        <f t="shared" si="45"/>
        <v>350234.5</v>
      </c>
      <c r="AI183" s="102"/>
      <c r="AJ183" s="777"/>
      <c r="AK183" s="1193"/>
      <c r="AL183" s="776"/>
      <c r="AM183" s="774"/>
    </row>
    <row r="184" spans="1:39" s="45" customFormat="1" ht="15.75" thickBot="1">
      <c r="A184" s="584"/>
      <c r="B184" s="771"/>
      <c r="C184" s="102"/>
      <c r="D184" s="777"/>
      <c r="E184" s="780"/>
      <c r="F184" s="776"/>
      <c r="G184" s="774"/>
      <c r="H184" s="576"/>
      <c r="I184" s="575"/>
      <c r="J184" s="575"/>
      <c r="K184" s="575"/>
      <c r="L184" s="577"/>
      <c r="M184" s="578"/>
      <c r="N184" s="578"/>
      <c r="O184" s="95"/>
      <c r="P184" s="579"/>
      <c r="Q184" s="580"/>
      <c r="R184" s="580"/>
      <c r="S184" s="581"/>
      <c r="T184" s="582"/>
      <c r="U184" s="79"/>
      <c r="V184" s="621"/>
      <c r="W184" s="808"/>
      <c r="X184" s="44"/>
      <c r="Y184" s="835"/>
      <c r="Z184" s="832"/>
      <c r="AA184" s="102"/>
      <c r="AB184" s="777"/>
      <c r="AC184" s="771"/>
      <c r="AD184" s="102"/>
      <c r="AE184" s="777"/>
      <c r="AF184" s="1222"/>
      <c r="AG184" s="776"/>
      <c r="AH184" s="774"/>
      <c r="AI184" s="1064"/>
      <c r="AJ184" s="1065"/>
    </row>
    <row r="185" spans="1:39" s="45" customFormat="1" ht="15.75" thickBot="1">
      <c r="A185" s="584"/>
      <c r="B185" s="114"/>
      <c r="C185" s="114"/>
      <c r="D185" s="115"/>
      <c r="E185" s="116"/>
      <c r="F185" s="117" t="s">
        <v>969</v>
      </c>
      <c r="G185" s="137">
        <f>SUM(G174:G183)</f>
        <v>45600583</v>
      </c>
      <c r="H185" s="576"/>
      <c r="I185" s="575"/>
      <c r="J185" s="575"/>
      <c r="K185" s="575"/>
      <c r="L185" s="577"/>
      <c r="M185" s="578"/>
      <c r="N185" s="578"/>
      <c r="O185" s="95"/>
      <c r="P185" s="579"/>
      <c r="Q185" s="580"/>
      <c r="R185" s="580"/>
      <c r="S185" s="581"/>
      <c r="T185" s="582"/>
      <c r="U185" s="79"/>
      <c r="V185" s="621"/>
      <c r="W185" s="808"/>
      <c r="X185" s="44"/>
      <c r="Y185" s="44"/>
      <c r="Z185" s="44"/>
      <c r="AA185" s="1064"/>
      <c r="AB185" s="1065"/>
      <c r="AC185" s="1064"/>
      <c r="AD185" s="1064"/>
      <c r="AE185" s="1065"/>
      <c r="AF185" s="1227"/>
      <c r="AG185" s="1073" t="s">
        <v>969</v>
      </c>
      <c r="AH185" s="1117">
        <f>SUM(AH174:AH183)</f>
        <v>40691785.399999999</v>
      </c>
      <c r="AI185" s="102"/>
      <c r="AJ185" s="777"/>
      <c r="AK185" s="1198"/>
      <c r="AL185" s="1073" t="s">
        <v>969</v>
      </c>
      <c r="AM185" s="1117">
        <f>SUM(AM174:AM183)</f>
        <v>44760268</v>
      </c>
    </row>
    <row r="186" spans="1:39" s="45" customFormat="1">
      <c r="A186" s="584"/>
      <c r="B186" s="771"/>
      <c r="C186" s="102"/>
      <c r="D186" s="777"/>
      <c r="E186" s="780"/>
      <c r="F186" s="776"/>
      <c r="G186" s="795"/>
      <c r="H186" s="576"/>
      <c r="I186" s="575"/>
      <c r="J186" s="575"/>
      <c r="K186" s="575"/>
      <c r="L186" s="577"/>
      <c r="M186" s="578"/>
      <c r="N186" s="578"/>
      <c r="O186" s="95"/>
      <c r="P186" s="579"/>
      <c r="Q186" s="580"/>
      <c r="R186" s="580"/>
      <c r="S186" s="581"/>
      <c r="T186" s="582"/>
      <c r="U186" s="79"/>
      <c r="V186" s="621"/>
      <c r="W186" s="808"/>
      <c r="X186" s="44"/>
      <c r="Y186" s="44"/>
      <c r="Z186" s="44"/>
      <c r="AA186" s="102"/>
      <c r="AB186" s="777"/>
      <c r="AC186" s="771"/>
      <c r="AD186" s="102"/>
      <c r="AE186" s="777"/>
      <c r="AF186" s="1222"/>
      <c r="AG186" s="776"/>
      <c r="AH186" s="795"/>
      <c r="AI186" s="1255" t="s">
        <v>948</v>
      </c>
      <c r="AJ186" s="1256"/>
      <c r="AK186" s="1193"/>
      <c r="AL186" s="776"/>
      <c r="AM186" s="795"/>
    </row>
    <row r="187" spans="1:39" s="45" customFormat="1">
      <c r="A187" s="586"/>
      <c r="B187" s="771"/>
      <c r="C187" s="787" t="s">
        <v>948</v>
      </c>
      <c r="D187" s="772"/>
      <c r="E187" s="773"/>
      <c r="F187" s="587"/>
      <c r="G187" s="774"/>
      <c r="H187" s="588"/>
      <c r="I187" s="587"/>
      <c r="J187" s="587"/>
      <c r="K187" s="587"/>
      <c r="L187" s="589"/>
      <c r="M187" s="590"/>
      <c r="N187" s="591"/>
      <c r="O187" s="95"/>
      <c r="P187" s="579"/>
      <c r="Q187" s="580"/>
      <c r="R187" s="580"/>
      <c r="S187" s="581"/>
      <c r="T187" s="582"/>
      <c r="U187" s="79"/>
      <c r="V187" s="621"/>
      <c r="Y187" s="44"/>
      <c r="Z187" s="44"/>
      <c r="AA187" s="787" t="s">
        <v>948</v>
      </c>
      <c r="AB187" s="772"/>
      <c r="AC187" s="771"/>
      <c r="AD187" s="787" t="s">
        <v>948</v>
      </c>
      <c r="AE187" s="772"/>
      <c r="AF187" s="1222"/>
      <c r="AG187" s="587"/>
      <c r="AH187" s="589"/>
      <c r="AI187" s="44"/>
      <c r="AJ187" s="44"/>
      <c r="AK187" s="1254"/>
      <c r="AL187" s="587"/>
      <c r="AM187" s="774"/>
    </row>
    <row r="188" spans="1:39" s="45" customFormat="1" ht="25.5">
      <c r="A188" s="584"/>
      <c r="B188" s="1251">
        <v>6.1</v>
      </c>
      <c r="C188" s="102" t="s">
        <v>942</v>
      </c>
      <c r="D188" s="777" t="s">
        <v>56</v>
      </c>
      <c r="E188" s="780">
        <v>40</v>
      </c>
      <c r="F188" s="776">
        <v>4500</v>
      </c>
      <c r="G188" s="774">
        <f t="shared" ref="G188:G202" si="50">+E188*F188</f>
        <v>180000</v>
      </c>
      <c r="H188" s="576"/>
      <c r="I188" s="575"/>
      <c r="J188" s="575"/>
      <c r="K188" s="575"/>
      <c r="L188" s="577"/>
      <c r="M188" s="578"/>
      <c r="N188" s="578"/>
      <c r="O188" s="95"/>
      <c r="P188" s="579"/>
      <c r="Q188" s="580"/>
      <c r="R188" s="580"/>
      <c r="S188" s="581"/>
      <c r="T188" s="582"/>
      <c r="U188" s="79"/>
      <c r="V188" s="621"/>
      <c r="W188" s="808"/>
      <c r="X188" s="44"/>
      <c r="Y188" s="44"/>
      <c r="Z188" s="44"/>
      <c r="AA188" s="102" t="s">
        <v>942</v>
      </c>
      <c r="AB188" s="777" t="s">
        <v>56</v>
      </c>
      <c r="AC188" s="779">
        <v>6.1</v>
      </c>
      <c r="AD188" s="102" t="s">
        <v>942</v>
      </c>
      <c r="AE188" s="777" t="s">
        <v>56</v>
      </c>
      <c r="AF188" s="1222">
        <v>288</v>
      </c>
      <c r="AG188" s="776">
        <v>4500</v>
      </c>
      <c r="AH188" s="774">
        <f>+AF188*AG189</f>
        <v>18158400</v>
      </c>
      <c r="AI188" s="102" t="s">
        <v>942</v>
      </c>
      <c r="AJ188" s="777" t="s">
        <v>56</v>
      </c>
      <c r="AK188" s="1193">
        <v>40</v>
      </c>
      <c r="AL188" s="776">
        <v>4500</v>
      </c>
      <c r="AM188" s="774">
        <f>+AK188*AL189</f>
        <v>2522000</v>
      </c>
    </row>
    <row r="189" spans="1:39" s="45" customFormat="1" ht="38.25">
      <c r="A189" s="584"/>
      <c r="B189" s="779">
        <v>6.11</v>
      </c>
      <c r="C189" s="102" t="s">
        <v>945</v>
      </c>
      <c r="D189" s="777" t="s">
        <v>139</v>
      </c>
      <c r="E189" s="780">
        <v>4</v>
      </c>
      <c r="F189" s="776">
        <v>63050</v>
      </c>
      <c r="G189" s="774">
        <f t="shared" si="50"/>
        <v>252200</v>
      </c>
      <c r="H189" s="576"/>
      <c r="I189" s="575"/>
      <c r="J189" s="575"/>
      <c r="K189" s="575"/>
      <c r="L189" s="577"/>
      <c r="M189" s="578"/>
      <c r="N189" s="578"/>
      <c r="O189" s="95"/>
      <c r="P189" s="579"/>
      <c r="Q189" s="580"/>
      <c r="R189" s="580"/>
      <c r="S189" s="581"/>
      <c r="T189" s="582"/>
      <c r="U189" s="79"/>
      <c r="V189" s="621"/>
      <c r="W189" s="808"/>
      <c r="X189" s="44"/>
      <c r="Y189" s="44"/>
      <c r="Z189" s="44"/>
      <c r="AA189" s="102" t="s">
        <v>945</v>
      </c>
      <c r="AB189" s="777" t="s">
        <v>139</v>
      </c>
      <c r="AC189" s="779">
        <v>6.11</v>
      </c>
      <c r="AD189" s="102" t="s">
        <v>945</v>
      </c>
      <c r="AE189" s="777" t="s">
        <v>139</v>
      </c>
      <c r="AF189" s="1222">
        <v>7</v>
      </c>
      <c r="AG189" s="776">
        <v>63050</v>
      </c>
      <c r="AH189" s="795">
        <f>+AF189*AG190</f>
        <v>205310</v>
      </c>
      <c r="AI189" s="102" t="s">
        <v>945</v>
      </c>
      <c r="AJ189" s="777" t="s">
        <v>139</v>
      </c>
      <c r="AK189" s="1193">
        <v>4</v>
      </c>
      <c r="AL189" s="776">
        <v>63050</v>
      </c>
      <c r="AM189" s="795">
        <f>+AK189*AL190</f>
        <v>117320</v>
      </c>
    </row>
    <row r="190" spans="1:39" s="45" customFormat="1" ht="25.5">
      <c r="A190" s="584"/>
      <c r="B190" s="779">
        <f>+B189+0.01</f>
        <v>6.12</v>
      </c>
      <c r="C190" s="102" t="s">
        <v>946</v>
      </c>
      <c r="D190" s="777" t="s">
        <v>540</v>
      </c>
      <c r="E190" s="780">
        <v>20</v>
      </c>
      <c r="F190" s="776">
        <v>29330</v>
      </c>
      <c r="G190" s="774">
        <f t="shared" si="50"/>
        <v>586600</v>
      </c>
      <c r="H190" s="576"/>
      <c r="I190" s="575"/>
      <c r="J190" s="575"/>
      <c r="K190" s="575"/>
      <c r="L190" s="577"/>
      <c r="M190" s="578"/>
      <c r="N190" s="578"/>
      <c r="O190" s="95"/>
      <c r="P190" s="579"/>
      <c r="Q190" s="580"/>
      <c r="R190" s="580"/>
      <c r="S190" s="581"/>
      <c r="T190" s="582"/>
      <c r="U190" s="79"/>
      <c r="V190" s="621"/>
      <c r="W190" s="808"/>
      <c r="X190" s="44"/>
      <c r="Y190" s="44"/>
      <c r="Z190" s="44"/>
      <c r="AA190" s="102" t="s">
        <v>946</v>
      </c>
      <c r="AB190" s="777" t="s">
        <v>540</v>
      </c>
      <c r="AC190" s="779">
        <f>+AC189+0.01</f>
        <v>6.12</v>
      </c>
      <c r="AD190" s="102" t="s">
        <v>946</v>
      </c>
      <c r="AE190" s="777" t="s">
        <v>540</v>
      </c>
      <c r="AF190" s="1222">
        <v>33</v>
      </c>
      <c r="AG190" s="776">
        <v>29330</v>
      </c>
      <c r="AH190" s="774">
        <f>+AF190*AG190</f>
        <v>967890</v>
      </c>
      <c r="AI190" s="102" t="s">
        <v>946</v>
      </c>
      <c r="AJ190" s="777" t="s">
        <v>540</v>
      </c>
      <c r="AK190" s="1193">
        <v>20</v>
      </c>
      <c r="AL190" s="776">
        <v>29330</v>
      </c>
      <c r="AM190" s="774">
        <f>+AK190*AL190</f>
        <v>586600</v>
      </c>
    </row>
    <row r="191" spans="1:39" s="45" customFormat="1" ht="63.75">
      <c r="A191" s="584"/>
      <c r="B191" s="779">
        <f t="shared" ref="B191:B202" si="51">+B190+0.01</f>
        <v>6.13</v>
      </c>
      <c r="C191" s="102" t="s">
        <v>522</v>
      </c>
      <c r="D191" s="777" t="s">
        <v>142</v>
      </c>
      <c r="E191" s="780">
        <v>2200</v>
      </c>
      <c r="F191" s="587">
        <v>3100</v>
      </c>
      <c r="G191" s="774">
        <f t="shared" si="50"/>
        <v>6820000</v>
      </c>
      <c r="H191" s="576"/>
      <c r="I191" s="575"/>
      <c r="J191" s="575"/>
      <c r="K191" s="575"/>
      <c r="L191" s="577"/>
      <c r="M191" s="578"/>
      <c r="N191" s="578"/>
      <c r="O191" s="95"/>
      <c r="P191" s="579"/>
      <c r="Q191" s="580"/>
      <c r="R191" s="580"/>
      <c r="S191" s="581"/>
      <c r="T191" s="582"/>
      <c r="U191" s="79"/>
      <c r="V191" s="621"/>
      <c r="W191" s="808"/>
      <c r="X191" s="44"/>
      <c r="Y191" s="44"/>
      <c r="Z191" s="44"/>
      <c r="AA191" s="102" t="s">
        <v>522</v>
      </c>
      <c r="AB191" s="777" t="s">
        <v>142</v>
      </c>
      <c r="AC191" s="779">
        <f t="shared" ref="AC191:AC202" si="52">+AC190+0.01</f>
        <v>6.13</v>
      </c>
      <c r="AD191" s="102" t="s">
        <v>522</v>
      </c>
      <c r="AE191" s="777" t="s">
        <v>142</v>
      </c>
      <c r="AF191" s="1222">
        <v>2200</v>
      </c>
      <c r="AG191" s="587">
        <v>3100</v>
      </c>
      <c r="AH191" s="774">
        <f t="shared" ref="AH191:AH202" si="53">+AF191*AG191</f>
        <v>6820000</v>
      </c>
      <c r="AI191" s="102" t="s">
        <v>522</v>
      </c>
      <c r="AJ191" s="777" t="s">
        <v>142</v>
      </c>
      <c r="AK191" s="1193">
        <v>2200</v>
      </c>
      <c r="AL191" s="587">
        <v>3100</v>
      </c>
      <c r="AM191" s="774">
        <f t="shared" ref="AM191:AM202" si="54">+AK191*AL191</f>
        <v>6820000</v>
      </c>
    </row>
    <row r="192" spans="1:39" s="45" customFormat="1" ht="25.5">
      <c r="A192" s="584"/>
      <c r="B192" s="779">
        <f t="shared" si="51"/>
        <v>6.14</v>
      </c>
      <c r="C192" s="102" t="s">
        <v>508</v>
      </c>
      <c r="D192" s="777" t="s">
        <v>500</v>
      </c>
      <c r="E192" s="780">
        <v>31</v>
      </c>
      <c r="F192" s="587">
        <v>18420</v>
      </c>
      <c r="G192" s="774">
        <f t="shared" si="50"/>
        <v>571020</v>
      </c>
      <c r="H192" s="576"/>
      <c r="I192" s="575"/>
      <c r="J192" s="575"/>
      <c r="K192" s="575"/>
      <c r="L192" s="577"/>
      <c r="M192" s="578"/>
      <c r="N192" s="578"/>
      <c r="O192" s="95"/>
      <c r="P192" s="579"/>
      <c r="Q192" s="580"/>
      <c r="R192" s="580"/>
      <c r="S192" s="581"/>
      <c r="T192" s="582"/>
      <c r="U192" s="79"/>
      <c r="V192" s="621"/>
      <c r="W192" s="808"/>
      <c r="X192" s="44"/>
      <c r="Y192" s="44"/>
      <c r="Z192" s="44"/>
      <c r="AA192" s="102" t="s">
        <v>508</v>
      </c>
      <c r="AB192" s="777" t="s">
        <v>500</v>
      </c>
      <c r="AC192" s="779">
        <f t="shared" si="52"/>
        <v>6.14</v>
      </c>
      <c r="AD192" s="102" t="s">
        <v>508</v>
      </c>
      <c r="AE192" s="777" t="s">
        <v>500</v>
      </c>
      <c r="AF192" s="1222">
        <v>35</v>
      </c>
      <c r="AG192" s="587">
        <v>18420</v>
      </c>
      <c r="AH192" s="774">
        <f t="shared" si="53"/>
        <v>644700</v>
      </c>
      <c r="AI192" s="102" t="s">
        <v>508</v>
      </c>
      <c r="AJ192" s="777" t="s">
        <v>500</v>
      </c>
      <c r="AK192" s="1193">
        <v>31</v>
      </c>
      <c r="AL192" s="587">
        <v>18420</v>
      </c>
      <c r="AM192" s="774">
        <f t="shared" si="54"/>
        <v>571020</v>
      </c>
    </row>
    <row r="193" spans="1:39" s="45" customFormat="1" ht="38.25">
      <c r="A193" s="584"/>
      <c r="B193" s="779">
        <f t="shared" si="51"/>
        <v>6.1499999999999995</v>
      </c>
      <c r="C193" s="102" t="s">
        <v>904</v>
      </c>
      <c r="D193" s="777" t="s">
        <v>22</v>
      </c>
      <c r="E193" s="102">
        <v>8</v>
      </c>
      <c r="F193" s="587">
        <v>10670</v>
      </c>
      <c r="G193" s="774">
        <f t="shared" si="50"/>
        <v>85360</v>
      </c>
      <c r="H193" s="576"/>
      <c r="I193" s="575"/>
      <c r="J193" s="575"/>
      <c r="K193" s="575"/>
      <c r="L193" s="577"/>
      <c r="M193" s="578"/>
      <c r="N193" s="578"/>
      <c r="O193" s="95"/>
      <c r="P193" s="579"/>
      <c r="Q193" s="580"/>
      <c r="R193" s="580"/>
      <c r="S193" s="581"/>
      <c r="T193" s="582"/>
      <c r="U193" s="79"/>
      <c r="V193" s="621"/>
      <c r="W193" s="808"/>
      <c r="X193" s="44"/>
      <c r="Y193" s="44"/>
      <c r="Z193" s="44"/>
      <c r="AA193" s="102" t="s">
        <v>904</v>
      </c>
      <c r="AB193" s="777" t="s">
        <v>22</v>
      </c>
      <c r="AC193" s="779">
        <f t="shared" si="52"/>
        <v>6.1499999999999995</v>
      </c>
      <c r="AD193" s="102" t="s">
        <v>904</v>
      </c>
      <c r="AE193" s="777" t="s">
        <v>22</v>
      </c>
      <c r="AF193" s="1229">
        <v>8</v>
      </c>
      <c r="AG193" s="587">
        <v>10670</v>
      </c>
      <c r="AH193" s="774">
        <f t="shared" si="53"/>
        <v>85360</v>
      </c>
      <c r="AI193" s="102" t="s">
        <v>904</v>
      </c>
      <c r="AJ193" s="777" t="s">
        <v>22</v>
      </c>
      <c r="AK193" s="1200">
        <v>8</v>
      </c>
      <c r="AL193" s="587">
        <v>10670</v>
      </c>
      <c r="AM193" s="774">
        <f t="shared" si="54"/>
        <v>85360</v>
      </c>
    </row>
    <row r="194" spans="1:39" s="45" customFormat="1" ht="38.25">
      <c r="A194" s="584"/>
      <c r="B194" s="779">
        <f t="shared" si="51"/>
        <v>6.1599999999999993</v>
      </c>
      <c r="C194" s="102" t="s">
        <v>996</v>
      </c>
      <c r="D194" s="777" t="s">
        <v>540</v>
      </c>
      <c r="E194" s="102">
        <v>2</v>
      </c>
      <c r="F194" s="587">
        <v>21516</v>
      </c>
      <c r="G194" s="774">
        <f t="shared" si="50"/>
        <v>43032</v>
      </c>
      <c r="H194" s="576"/>
      <c r="I194" s="575"/>
      <c r="J194" s="575"/>
      <c r="K194" s="575"/>
      <c r="L194" s="577"/>
      <c r="M194" s="578"/>
      <c r="N194" s="578"/>
      <c r="O194" s="95"/>
      <c r="P194" s="579"/>
      <c r="Q194" s="580"/>
      <c r="R194" s="580"/>
      <c r="S194" s="581"/>
      <c r="T194" s="582"/>
      <c r="U194" s="79"/>
      <c r="V194" s="621"/>
      <c r="W194" s="808"/>
      <c r="X194" s="44"/>
      <c r="Y194" s="44"/>
      <c r="Z194" s="44"/>
      <c r="AA194" s="102" t="s">
        <v>996</v>
      </c>
      <c r="AB194" s="777" t="s">
        <v>540</v>
      </c>
      <c r="AC194" s="779">
        <f t="shared" si="52"/>
        <v>6.1599999999999993</v>
      </c>
      <c r="AD194" s="102" t="s">
        <v>996</v>
      </c>
      <c r="AE194" s="777" t="s">
        <v>540</v>
      </c>
      <c r="AF194" s="1229">
        <v>2</v>
      </c>
      <c r="AG194" s="587">
        <v>21516</v>
      </c>
      <c r="AH194" s="774">
        <f t="shared" si="53"/>
        <v>43032</v>
      </c>
      <c r="AI194" s="102" t="s">
        <v>996</v>
      </c>
      <c r="AJ194" s="777" t="s">
        <v>540</v>
      </c>
      <c r="AK194" s="1200">
        <v>2</v>
      </c>
      <c r="AL194" s="587">
        <v>21516</v>
      </c>
      <c r="AM194" s="774">
        <f t="shared" si="54"/>
        <v>43032</v>
      </c>
    </row>
    <row r="195" spans="1:39" s="45" customFormat="1" ht="38.25">
      <c r="A195" s="584"/>
      <c r="B195" s="779">
        <f t="shared" si="51"/>
        <v>6.169999999999999</v>
      </c>
      <c r="C195" s="102" t="s">
        <v>895</v>
      </c>
      <c r="D195" s="777" t="s">
        <v>22</v>
      </c>
      <c r="E195" s="102">
        <v>4</v>
      </c>
      <c r="F195" s="587">
        <v>10810</v>
      </c>
      <c r="G195" s="774">
        <f t="shared" si="50"/>
        <v>43240</v>
      </c>
      <c r="H195" s="576"/>
      <c r="I195" s="575"/>
      <c r="J195" s="575"/>
      <c r="K195" s="575"/>
      <c r="L195" s="577"/>
      <c r="M195" s="578"/>
      <c r="N195" s="578"/>
      <c r="O195" s="95"/>
      <c r="P195" s="579"/>
      <c r="Q195" s="580"/>
      <c r="R195" s="580"/>
      <c r="S195" s="581"/>
      <c r="T195" s="582"/>
      <c r="U195" s="79"/>
      <c r="V195" s="621"/>
      <c r="W195" s="808"/>
      <c r="X195" s="44"/>
      <c r="Y195" s="44"/>
      <c r="Z195" s="44"/>
      <c r="AA195" s="102" t="s">
        <v>895</v>
      </c>
      <c r="AB195" s="777" t="s">
        <v>22</v>
      </c>
      <c r="AC195" s="779">
        <f t="shared" si="52"/>
        <v>6.169999999999999</v>
      </c>
      <c r="AD195" s="102" t="s">
        <v>895</v>
      </c>
      <c r="AE195" s="777" t="s">
        <v>22</v>
      </c>
      <c r="AF195" s="1229">
        <v>4</v>
      </c>
      <c r="AG195" s="587">
        <v>10810</v>
      </c>
      <c r="AH195" s="774">
        <f t="shared" si="53"/>
        <v>43240</v>
      </c>
      <c r="AI195" s="102" t="s">
        <v>895</v>
      </c>
      <c r="AJ195" s="777" t="s">
        <v>22</v>
      </c>
      <c r="AK195" s="1200">
        <v>4</v>
      </c>
      <c r="AL195" s="587">
        <v>10810</v>
      </c>
      <c r="AM195" s="774">
        <f t="shared" si="54"/>
        <v>43240</v>
      </c>
    </row>
    <row r="196" spans="1:39" s="45" customFormat="1" ht="51">
      <c r="A196" s="584"/>
      <c r="B196" s="779">
        <f t="shared" si="51"/>
        <v>6.1799999999999988</v>
      </c>
      <c r="C196" s="102" t="s">
        <v>1026</v>
      </c>
      <c r="D196" s="777" t="s">
        <v>22</v>
      </c>
      <c r="E196" s="102">
        <v>2</v>
      </c>
      <c r="F196" s="587">
        <v>1621796</v>
      </c>
      <c r="G196" s="774">
        <f t="shared" si="50"/>
        <v>3243592</v>
      </c>
      <c r="H196" s="576"/>
      <c r="I196" s="575"/>
      <c r="J196" s="575"/>
      <c r="K196" s="575"/>
      <c r="L196" s="577"/>
      <c r="M196" s="578"/>
      <c r="N196" s="578"/>
      <c r="O196" s="95"/>
      <c r="P196" s="579"/>
      <c r="Q196" s="580"/>
      <c r="R196" s="580"/>
      <c r="S196" s="581"/>
      <c r="T196" s="582"/>
      <c r="U196" s="79"/>
      <c r="V196" s="621"/>
      <c r="W196" s="649"/>
      <c r="X196" s="44"/>
      <c r="Y196" s="44"/>
      <c r="Z196" s="44"/>
      <c r="AA196" s="102" t="s">
        <v>1026</v>
      </c>
      <c r="AB196" s="777" t="s">
        <v>22</v>
      </c>
      <c r="AC196" s="779">
        <f t="shared" si="52"/>
        <v>6.1799999999999988</v>
      </c>
      <c r="AD196" s="102" t="s">
        <v>1026</v>
      </c>
      <c r="AE196" s="777" t="s">
        <v>22</v>
      </c>
      <c r="AF196" s="1229">
        <v>2</v>
      </c>
      <c r="AG196" s="587">
        <v>1621796</v>
      </c>
      <c r="AH196" s="774">
        <f t="shared" si="53"/>
        <v>3243592</v>
      </c>
      <c r="AI196" s="102" t="s">
        <v>1026</v>
      </c>
      <c r="AJ196" s="777" t="s">
        <v>22</v>
      </c>
      <c r="AK196" s="1200">
        <v>2</v>
      </c>
      <c r="AL196" s="587">
        <v>1621796</v>
      </c>
      <c r="AM196" s="774">
        <f t="shared" si="54"/>
        <v>3243592</v>
      </c>
    </row>
    <row r="197" spans="1:39" s="45" customFormat="1" ht="76.5">
      <c r="A197" s="584"/>
      <c r="B197" s="779">
        <f t="shared" si="51"/>
        <v>6.1899999999999986</v>
      </c>
      <c r="C197" s="102" t="s">
        <v>1027</v>
      </c>
      <c r="D197" s="777" t="s">
        <v>22</v>
      </c>
      <c r="E197" s="102">
        <v>2</v>
      </c>
      <c r="F197" s="850">
        <v>521884</v>
      </c>
      <c r="G197" s="774">
        <f t="shared" si="50"/>
        <v>1043768</v>
      </c>
      <c r="H197" s="576"/>
      <c r="I197" s="575"/>
      <c r="J197" s="575"/>
      <c r="K197" s="575"/>
      <c r="L197" s="577"/>
      <c r="M197" s="578"/>
      <c r="N197" s="578"/>
      <c r="O197" s="95"/>
      <c r="P197" s="579"/>
      <c r="Q197" s="580"/>
      <c r="R197" s="580"/>
      <c r="S197" s="581"/>
      <c r="T197" s="582"/>
      <c r="U197" s="79"/>
      <c r="V197" s="621"/>
      <c r="W197" s="808"/>
      <c r="X197" s="44"/>
      <c r="Y197" s="44"/>
      <c r="Z197" s="44"/>
      <c r="AA197" s="1078" t="s">
        <v>1027</v>
      </c>
      <c r="AB197" s="777" t="s">
        <v>22</v>
      </c>
      <c r="AC197" s="779">
        <f t="shared" si="52"/>
        <v>6.1899999999999986</v>
      </c>
      <c r="AD197" s="1078" t="s">
        <v>1027</v>
      </c>
      <c r="AE197" s="777" t="s">
        <v>22</v>
      </c>
      <c r="AF197" s="1229">
        <v>2</v>
      </c>
      <c r="AG197" s="791">
        <v>521884</v>
      </c>
      <c r="AH197" s="774">
        <f t="shared" si="53"/>
        <v>1043768</v>
      </c>
      <c r="AI197" s="782" t="s">
        <v>1027</v>
      </c>
      <c r="AJ197" s="777" t="s">
        <v>22</v>
      </c>
      <c r="AK197" s="1200">
        <v>2</v>
      </c>
      <c r="AL197" s="1047">
        <v>521884</v>
      </c>
      <c r="AM197" s="774">
        <f t="shared" si="54"/>
        <v>1043768</v>
      </c>
    </row>
    <row r="198" spans="1:39" s="45" customFormat="1" ht="25.5">
      <c r="A198" s="584"/>
      <c r="B198" s="779">
        <f t="shared" si="51"/>
        <v>6.1999999999999984</v>
      </c>
      <c r="C198" s="102" t="s">
        <v>1409</v>
      </c>
      <c r="D198" s="777" t="s">
        <v>540</v>
      </c>
      <c r="E198" s="102">
        <v>24</v>
      </c>
      <c r="F198" s="587">
        <v>48740</v>
      </c>
      <c r="G198" s="774">
        <f t="shared" si="50"/>
        <v>1169760</v>
      </c>
      <c r="H198" s="576"/>
      <c r="I198" s="575"/>
      <c r="J198" s="575"/>
      <c r="K198" s="575"/>
      <c r="L198" s="577"/>
      <c r="M198" s="578"/>
      <c r="N198" s="578"/>
      <c r="O198" s="95"/>
      <c r="P198" s="579"/>
      <c r="Q198" s="580"/>
      <c r="R198" s="580"/>
      <c r="S198" s="581"/>
      <c r="T198" s="582"/>
      <c r="U198" s="79"/>
      <c r="V198" s="621"/>
      <c r="W198" s="808"/>
      <c r="X198" s="44"/>
      <c r="Y198" s="44"/>
      <c r="Z198" s="44"/>
      <c r="AA198" s="782" t="s">
        <v>1482</v>
      </c>
      <c r="AB198" s="777" t="s">
        <v>540</v>
      </c>
      <c r="AC198" s="779">
        <f t="shared" si="52"/>
        <v>6.1999999999999984</v>
      </c>
      <c r="AD198" s="782" t="s">
        <v>1482</v>
      </c>
      <c r="AE198" s="777" t="s">
        <v>540</v>
      </c>
      <c r="AF198" s="1229">
        <v>24</v>
      </c>
      <c r="AG198" s="587">
        <v>48740</v>
      </c>
      <c r="AH198" s="774">
        <f t="shared" si="53"/>
        <v>1169760</v>
      </c>
      <c r="AI198" s="1062" t="s">
        <v>1482</v>
      </c>
      <c r="AJ198" s="777" t="s">
        <v>540</v>
      </c>
      <c r="AK198" s="1200">
        <v>24</v>
      </c>
      <c r="AL198" s="587">
        <v>48740</v>
      </c>
      <c r="AM198" s="774">
        <f t="shared" si="54"/>
        <v>1169760</v>
      </c>
    </row>
    <row r="199" spans="1:39" s="45" customFormat="1" ht="25.5">
      <c r="A199" s="584"/>
      <c r="B199" s="779">
        <f t="shared" si="51"/>
        <v>6.2099999999999982</v>
      </c>
      <c r="C199" s="102" t="s">
        <v>1410</v>
      </c>
      <c r="D199" s="777" t="s">
        <v>540</v>
      </c>
      <c r="E199" s="102">
        <v>7</v>
      </c>
      <c r="F199" s="587">
        <v>69240</v>
      </c>
      <c r="G199" s="774">
        <f t="shared" si="50"/>
        <v>484680</v>
      </c>
      <c r="H199" s="576"/>
      <c r="I199" s="575"/>
      <c r="J199" s="575"/>
      <c r="K199" s="575"/>
      <c r="L199" s="577"/>
      <c r="M199" s="578"/>
      <c r="N199" s="578"/>
      <c r="O199" s="95"/>
      <c r="P199" s="579"/>
      <c r="Q199" s="580"/>
      <c r="R199" s="580"/>
      <c r="S199" s="581"/>
      <c r="T199" s="582"/>
      <c r="U199" s="79"/>
      <c r="V199" s="621"/>
      <c r="W199" s="808"/>
      <c r="X199" s="44"/>
      <c r="Y199" s="44"/>
      <c r="Z199" s="44"/>
      <c r="AA199" s="102" t="s">
        <v>1410</v>
      </c>
      <c r="AB199" s="777" t="s">
        <v>540</v>
      </c>
      <c r="AC199" s="779">
        <f t="shared" si="52"/>
        <v>6.2099999999999982</v>
      </c>
      <c r="AD199" s="102" t="s">
        <v>1410</v>
      </c>
      <c r="AE199" s="777" t="s">
        <v>540</v>
      </c>
      <c r="AF199" s="1229">
        <v>7</v>
      </c>
      <c r="AG199" s="587">
        <v>69240</v>
      </c>
      <c r="AH199" s="774">
        <f t="shared" si="53"/>
        <v>484680</v>
      </c>
      <c r="AI199" s="102" t="s">
        <v>1410</v>
      </c>
      <c r="AJ199" s="777" t="s">
        <v>540</v>
      </c>
      <c r="AK199" s="1200">
        <v>7</v>
      </c>
      <c r="AL199" s="587">
        <v>69240</v>
      </c>
      <c r="AM199" s="774">
        <f t="shared" si="54"/>
        <v>484680</v>
      </c>
    </row>
    <row r="200" spans="1:39" s="45" customFormat="1" ht="25.5">
      <c r="A200" s="584"/>
      <c r="B200" s="779">
        <f t="shared" si="51"/>
        <v>6.219999999999998</v>
      </c>
      <c r="C200" s="102" t="s">
        <v>1007</v>
      </c>
      <c r="D200" s="777" t="s">
        <v>512</v>
      </c>
      <c r="E200" s="102">
        <v>2</v>
      </c>
      <c r="F200" s="776">
        <v>628300</v>
      </c>
      <c r="G200" s="774">
        <f t="shared" si="50"/>
        <v>1256600</v>
      </c>
      <c r="H200" s="576"/>
      <c r="I200" s="575"/>
      <c r="J200" s="575"/>
      <c r="K200" s="575"/>
      <c r="L200" s="577"/>
      <c r="M200" s="578"/>
      <c r="N200" s="578"/>
      <c r="O200" s="95"/>
      <c r="P200" s="579"/>
      <c r="Q200" s="580"/>
      <c r="R200" s="580"/>
      <c r="S200" s="581"/>
      <c r="T200" s="582"/>
      <c r="U200" s="79"/>
      <c r="V200" s="621"/>
      <c r="W200" s="808"/>
      <c r="X200" s="44"/>
      <c r="Y200" s="44"/>
      <c r="Z200" s="44"/>
      <c r="AA200" s="102" t="s">
        <v>1007</v>
      </c>
      <c r="AB200" s="777" t="s">
        <v>512</v>
      </c>
      <c r="AC200" s="779">
        <f t="shared" si="52"/>
        <v>6.219999999999998</v>
      </c>
      <c r="AD200" s="102" t="s">
        <v>1007</v>
      </c>
      <c r="AE200" s="777" t="s">
        <v>512</v>
      </c>
      <c r="AF200" s="1229">
        <v>2</v>
      </c>
      <c r="AG200" s="776">
        <v>628300</v>
      </c>
      <c r="AH200" s="774">
        <f t="shared" si="53"/>
        <v>1256600</v>
      </c>
      <c r="AI200" s="102" t="s">
        <v>1007</v>
      </c>
      <c r="AJ200" s="777" t="s">
        <v>512</v>
      </c>
      <c r="AK200" s="1200">
        <v>2</v>
      </c>
      <c r="AL200" s="776">
        <v>628300</v>
      </c>
      <c r="AM200" s="774">
        <f t="shared" si="54"/>
        <v>1256600</v>
      </c>
    </row>
    <row r="201" spans="1:39" s="45" customFormat="1" ht="38.25">
      <c r="A201" s="584"/>
      <c r="B201" s="1251">
        <f t="shared" si="51"/>
        <v>6.2299999999999978</v>
      </c>
      <c r="C201" s="102" t="s">
        <v>1021</v>
      </c>
      <c r="D201" s="777" t="s">
        <v>22</v>
      </c>
      <c r="E201" s="102">
        <v>4</v>
      </c>
      <c r="F201" s="879">
        <v>469000</v>
      </c>
      <c r="G201" s="774">
        <f t="shared" si="50"/>
        <v>1876000</v>
      </c>
      <c r="H201" s="576"/>
      <c r="I201" s="575"/>
      <c r="J201" s="575"/>
      <c r="K201" s="575"/>
      <c r="L201" s="577"/>
      <c r="M201" s="578"/>
      <c r="N201" s="578"/>
      <c r="O201" s="95"/>
      <c r="P201" s="579"/>
      <c r="Q201" s="580"/>
      <c r="R201" s="580"/>
      <c r="S201" s="581"/>
      <c r="T201" s="582"/>
      <c r="U201" s="79"/>
      <c r="V201" s="621"/>
      <c r="W201" s="808"/>
      <c r="X201" s="44"/>
      <c r="Y201" s="44"/>
      <c r="Z201" s="44"/>
      <c r="AA201" s="102" t="s">
        <v>1021</v>
      </c>
      <c r="AB201" s="777" t="s">
        <v>22</v>
      </c>
      <c r="AC201" s="779">
        <f t="shared" si="52"/>
        <v>6.2299999999999978</v>
      </c>
      <c r="AD201" s="102" t="s">
        <v>1021</v>
      </c>
      <c r="AE201" s="777" t="s">
        <v>22</v>
      </c>
      <c r="AF201" s="1229">
        <v>6</v>
      </c>
      <c r="AG201" s="879">
        <v>410000</v>
      </c>
      <c r="AH201" s="774">
        <f t="shared" si="53"/>
        <v>2460000</v>
      </c>
      <c r="AI201" s="102" t="s">
        <v>1517</v>
      </c>
      <c r="AJ201" s="777" t="s">
        <v>22</v>
      </c>
      <c r="AK201" s="1200">
        <v>4</v>
      </c>
      <c r="AL201" s="879">
        <v>469000</v>
      </c>
      <c r="AM201" s="774">
        <f t="shared" si="54"/>
        <v>1876000</v>
      </c>
    </row>
    <row r="202" spans="1:39" s="45" customFormat="1" ht="38.25">
      <c r="A202" s="584"/>
      <c r="B202" s="1251">
        <f t="shared" si="51"/>
        <v>6.2399999999999975</v>
      </c>
      <c r="C202" s="102" t="s">
        <v>1022</v>
      </c>
      <c r="D202" s="777" t="s">
        <v>22</v>
      </c>
      <c r="E202" s="102">
        <v>1</v>
      </c>
      <c r="F202" s="879">
        <v>507000</v>
      </c>
      <c r="G202" s="774">
        <f t="shared" si="50"/>
        <v>507000</v>
      </c>
      <c r="H202" s="576"/>
      <c r="I202" s="575"/>
      <c r="J202" s="575"/>
      <c r="K202" s="575"/>
      <c r="L202" s="577"/>
      <c r="M202" s="578"/>
      <c r="N202" s="578"/>
      <c r="O202" s="95"/>
      <c r="P202" s="579"/>
      <c r="Q202" s="580"/>
      <c r="R202" s="580"/>
      <c r="S202" s="581"/>
      <c r="T202" s="582"/>
      <c r="U202" s="79"/>
      <c r="V202" s="621"/>
      <c r="W202" s="808"/>
      <c r="X202" s="44"/>
      <c r="Y202" s="44"/>
      <c r="Z202" s="44"/>
      <c r="AA202" s="102" t="s">
        <v>1022</v>
      </c>
      <c r="AB202" s="777" t="s">
        <v>22</v>
      </c>
      <c r="AC202" s="779">
        <f t="shared" si="52"/>
        <v>6.2399999999999975</v>
      </c>
      <c r="AD202" s="102" t="s">
        <v>1022</v>
      </c>
      <c r="AE202" s="777" t="s">
        <v>22</v>
      </c>
      <c r="AF202" s="1229">
        <v>1</v>
      </c>
      <c r="AG202" s="879">
        <v>308000</v>
      </c>
      <c r="AH202" s="774">
        <f t="shared" si="53"/>
        <v>308000</v>
      </c>
      <c r="AI202" s="102" t="s">
        <v>1518</v>
      </c>
      <c r="AJ202" s="777" t="s">
        <v>22</v>
      </c>
      <c r="AK202" s="1200">
        <v>1</v>
      </c>
      <c r="AL202" s="879">
        <v>507000</v>
      </c>
      <c r="AM202" s="774">
        <f t="shared" si="54"/>
        <v>507000</v>
      </c>
    </row>
    <row r="203" spans="1:39" s="45" customFormat="1" ht="15.75" thickBot="1">
      <c r="A203" s="138">
        <v>200314</v>
      </c>
      <c r="B203" s="779"/>
      <c r="C203" s="102"/>
      <c r="D203" s="777"/>
      <c r="E203" s="780"/>
      <c r="F203" s="776"/>
      <c r="G203" s="774"/>
      <c r="H203" s="576">
        <v>44727</v>
      </c>
      <c r="I203" s="25">
        <v>59389</v>
      </c>
      <c r="J203" s="25">
        <v>1</v>
      </c>
      <c r="K203" s="25">
        <v>1</v>
      </c>
      <c r="L203" s="28">
        <v>3563340</v>
      </c>
      <c r="M203" s="29">
        <v>2683620</v>
      </c>
      <c r="N203" s="29">
        <v>2683620</v>
      </c>
      <c r="O203" s="95"/>
      <c r="P203" s="96"/>
      <c r="Q203" s="97">
        <v>52319</v>
      </c>
      <c r="R203" s="97">
        <v>890394</v>
      </c>
      <c r="S203" s="98">
        <v>1740900</v>
      </c>
      <c r="T203" s="99"/>
      <c r="U203" s="79"/>
      <c r="V203" s="621">
        <v>33</v>
      </c>
      <c r="W203" s="808"/>
      <c r="X203" s="44"/>
      <c r="Y203" s="44"/>
      <c r="Z203" s="44"/>
      <c r="AA203" s="102"/>
      <c r="AB203" s="777"/>
      <c r="AC203" s="779"/>
      <c r="AD203" s="102"/>
      <c r="AE203" s="777"/>
      <c r="AF203" s="1222"/>
      <c r="AG203" s="776"/>
      <c r="AH203" s="774"/>
      <c r="AI203" s="1074"/>
      <c r="AJ203" s="1075"/>
      <c r="AK203" s="1193"/>
      <c r="AL203" s="776"/>
      <c r="AM203" s="774"/>
    </row>
    <row r="204" spans="1:39" s="45" customFormat="1" ht="15.75" thickBot="1">
      <c r="A204" s="143">
        <v>140404</v>
      </c>
      <c r="B204" s="871"/>
      <c r="C204" s="871"/>
      <c r="D204" s="873"/>
      <c r="E204" s="874"/>
      <c r="F204" s="1180" t="s">
        <v>973</v>
      </c>
      <c r="G204" s="1004">
        <f>SUM(G188:G203)</f>
        <v>18162852</v>
      </c>
      <c r="H204" s="576">
        <v>90513</v>
      </c>
      <c r="I204" s="25">
        <v>120183</v>
      </c>
      <c r="J204" s="25">
        <v>1</v>
      </c>
      <c r="K204" s="25">
        <v>1</v>
      </c>
      <c r="L204" s="28">
        <v>2163294</v>
      </c>
      <c r="M204" s="29">
        <v>1629234</v>
      </c>
      <c r="N204" s="29">
        <v>1629234</v>
      </c>
      <c r="O204" s="95"/>
      <c r="P204" s="96"/>
      <c r="Q204" s="97">
        <v>48580</v>
      </c>
      <c r="R204" s="97">
        <v>593604</v>
      </c>
      <c r="S204" s="98">
        <v>987055</v>
      </c>
      <c r="T204" s="99"/>
      <c r="U204" s="79"/>
      <c r="V204" s="621">
        <v>34</v>
      </c>
      <c r="W204" s="808"/>
      <c r="X204" s="44"/>
      <c r="Y204" s="44"/>
      <c r="Z204" s="44"/>
      <c r="AA204" s="1074"/>
      <c r="AB204" s="1075"/>
      <c r="AC204" s="1074"/>
      <c r="AD204" s="1074"/>
      <c r="AE204" s="1075"/>
      <c r="AF204" s="1227"/>
      <c r="AG204" s="1181" t="s">
        <v>973</v>
      </c>
      <c r="AH204" s="1115">
        <f>SUM(AH188:AH203)</f>
        <v>36934332</v>
      </c>
      <c r="AI204" s="102"/>
      <c r="AJ204" s="777"/>
      <c r="AK204" s="1198"/>
      <c r="AL204" s="1181" t="s">
        <v>973</v>
      </c>
      <c r="AM204" s="1115">
        <f>SUM(AM188:AM203)</f>
        <v>20369972</v>
      </c>
    </row>
    <row r="205" spans="1:39" s="45" customFormat="1" ht="15.75" thickBot="1">
      <c r="A205" s="584"/>
      <c r="B205" s="771"/>
      <c r="C205" s="102"/>
      <c r="D205" s="777"/>
      <c r="E205" s="780"/>
      <c r="F205" s="776"/>
      <c r="G205" s="774"/>
      <c r="H205" s="576"/>
      <c r="I205" s="575"/>
      <c r="J205" s="575"/>
      <c r="K205" s="575"/>
      <c r="L205" s="577"/>
      <c r="M205" s="578"/>
      <c r="N205" s="578"/>
      <c r="O205" s="95"/>
      <c r="P205" s="579"/>
      <c r="Q205" s="580"/>
      <c r="R205" s="580"/>
      <c r="S205" s="581"/>
      <c r="T205" s="582"/>
      <c r="U205" s="79"/>
      <c r="V205" s="621"/>
      <c r="W205" s="808"/>
      <c r="X205" s="44"/>
      <c r="Y205" s="44"/>
      <c r="Z205" s="44"/>
      <c r="AA205" s="102"/>
      <c r="AB205" s="777"/>
      <c r="AC205" s="771"/>
      <c r="AD205" s="102"/>
      <c r="AE205" s="777"/>
      <c r="AF205" s="1222"/>
      <c r="AG205" s="776"/>
      <c r="AH205" s="774"/>
      <c r="AI205" s="102"/>
      <c r="AJ205" s="777"/>
      <c r="AK205" s="1193"/>
      <c r="AL205" s="776"/>
      <c r="AM205" s="774"/>
    </row>
    <row r="206" spans="1:39" s="45" customFormat="1" ht="15.75" thickBot="1">
      <c r="A206" s="584"/>
      <c r="B206" s="771"/>
      <c r="C206" s="102"/>
      <c r="D206" s="777"/>
      <c r="E206" s="780"/>
      <c r="F206" s="776"/>
      <c r="G206" s="774"/>
      <c r="H206" s="576"/>
      <c r="I206" s="575"/>
      <c r="J206" s="575"/>
      <c r="K206" s="575"/>
      <c r="L206" s="577"/>
      <c r="M206" s="578"/>
      <c r="N206" s="578"/>
      <c r="O206" s="95"/>
      <c r="P206" s="579"/>
      <c r="Q206" s="580"/>
      <c r="R206" s="580"/>
      <c r="S206" s="581"/>
      <c r="T206" s="582"/>
      <c r="U206" s="79"/>
      <c r="V206" s="621"/>
      <c r="W206" s="808"/>
      <c r="X206" s="44"/>
      <c r="Y206" s="44"/>
      <c r="Z206" s="44"/>
      <c r="AA206" s="102"/>
      <c r="AB206" s="777"/>
      <c r="AC206" s="771"/>
      <c r="AD206" s="102"/>
      <c r="AE206" s="777"/>
      <c r="AF206" s="1222"/>
      <c r="AG206" s="776"/>
      <c r="AH206" s="774"/>
      <c r="AI206" s="1060" t="s">
        <v>478</v>
      </c>
      <c r="AJ206" s="87"/>
      <c r="AK206" s="1193"/>
      <c r="AL206" s="776"/>
      <c r="AM206" s="774"/>
    </row>
    <row r="207" spans="1:39" s="45" customFormat="1" ht="15.75" hidden="1" customHeight="1" thickBot="1">
      <c r="A207" s="84" t="s">
        <v>40</v>
      </c>
      <c r="B207" s="74"/>
      <c r="C207" s="75" t="s">
        <v>478</v>
      </c>
      <c r="D207" s="87"/>
      <c r="E207" s="88"/>
      <c r="F207" s="89"/>
      <c r="G207" s="90"/>
      <c r="H207" s="91"/>
      <c r="I207" s="89"/>
      <c r="J207" s="89"/>
      <c r="K207" s="89"/>
      <c r="L207" s="92"/>
      <c r="M207" s="93"/>
      <c r="N207" s="94"/>
      <c r="O207" s="95"/>
      <c r="P207" s="96"/>
      <c r="Q207" s="97"/>
      <c r="R207" s="97"/>
      <c r="S207" s="98"/>
      <c r="T207" s="99"/>
      <c r="U207" s="79"/>
      <c r="V207" s="621"/>
      <c r="W207" s="807"/>
      <c r="X207" s="44"/>
      <c r="Y207" s="44"/>
      <c r="Z207" s="44"/>
      <c r="AA207" s="1060" t="s">
        <v>478</v>
      </c>
      <c r="AB207" s="87"/>
      <c r="AC207" s="1111"/>
      <c r="AD207" s="1060" t="s">
        <v>478</v>
      </c>
      <c r="AE207" s="87"/>
      <c r="AF207" s="1225"/>
      <c r="AG207" s="89"/>
      <c r="AH207" s="90"/>
      <c r="AI207" s="1060" t="s">
        <v>478</v>
      </c>
      <c r="AJ207" s="1061"/>
      <c r="AK207" s="1196"/>
      <c r="AL207" s="89"/>
      <c r="AM207" s="90"/>
    </row>
    <row r="208" spans="1:39" s="45" customFormat="1">
      <c r="A208" s="586"/>
      <c r="B208" s="74">
        <v>7</v>
      </c>
      <c r="C208" s="75" t="s">
        <v>478</v>
      </c>
      <c r="D208" s="76"/>
      <c r="E208" s="76"/>
      <c r="F208" s="76"/>
      <c r="G208" s="126"/>
      <c r="H208" s="588"/>
      <c r="I208" s="587"/>
      <c r="J208" s="587"/>
      <c r="K208" s="587"/>
      <c r="L208" s="589"/>
      <c r="M208" s="590"/>
      <c r="N208" s="591"/>
      <c r="O208" s="95"/>
      <c r="P208" s="579"/>
      <c r="Q208" s="580"/>
      <c r="R208" s="580"/>
      <c r="S208" s="581"/>
      <c r="T208" s="582"/>
      <c r="U208" s="79"/>
      <c r="V208" s="621"/>
      <c r="W208" s="808"/>
      <c r="X208" s="44"/>
      <c r="Y208" s="44"/>
      <c r="Z208" s="44"/>
      <c r="AA208" s="1060" t="s">
        <v>478</v>
      </c>
      <c r="AB208" s="1061"/>
      <c r="AC208" s="1111">
        <v>7</v>
      </c>
      <c r="AD208" s="1060" t="s">
        <v>478</v>
      </c>
      <c r="AE208" s="1061"/>
      <c r="AF208" s="1221"/>
      <c r="AG208" s="1061"/>
      <c r="AH208" s="1113"/>
      <c r="AI208" s="788" t="s">
        <v>947</v>
      </c>
      <c r="AJ208" s="772"/>
      <c r="AK208" s="1192"/>
      <c r="AL208" s="1061"/>
      <c r="AM208" s="1113"/>
    </row>
    <row r="209" spans="1:39" s="45" customFormat="1">
      <c r="A209" s="586"/>
      <c r="B209" s="771"/>
      <c r="C209" s="788" t="s">
        <v>947</v>
      </c>
      <c r="D209" s="772"/>
      <c r="E209" s="773"/>
      <c r="F209" s="587"/>
      <c r="G209" s="774"/>
      <c r="H209" s="588"/>
      <c r="I209" s="587"/>
      <c r="J209" s="587"/>
      <c r="K209" s="587"/>
      <c r="L209" s="589"/>
      <c r="M209" s="590"/>
      <c r="N209" s="591"/>
      <c r="O209" s="95"/>
      <c r="P209" s="579"/>
      <c r="Q209" s="580"/>
      <c r="R209" s="580"/>
      <c r="S209" s="581"/>
      <c r="T209" s="582"/>
      <c r="U209" s="79"/>
      <c r="V209" s="621"/>
      <c r="W209" s="808"/>
      <c r="X209" s="44"/>
      <c r="Y209" s="44"/>
      <c r="Z209" s="44"/>
      <c r="AA209" s="788" t="s">
        <v>947</v>
      </c>
      <c r="AB209" s="772"/>
      <c r="AC209" s="771"/>
      <c r="AD209" s="788" t="s">
        <v>947</v>
      </c>
      <c r="AE209" s="772"/>
      <c r="AF209" s="1222"/>
      <c r="AG209" s="587"/>
      <c r="AH209" s="774"/>
      <c r="AK209" s="1193"/>
      <c r="AL209" s="587"/>
      <c r="AM209" s="774"/>
    </row>
    <row r="210" spans="1:39" s="45" customFormat="1" ht="38.25">
      <c r="A210" s="586"/>
      <c r="B210" s="771">
        <v>7.1</v>
      </c>
      <c r="C210" s="102" t="s">
        <v>943</v>
      </c>
      <c r="D210" s="772" t="s">
        <v>139</v>
      </c>
      <c r="E210" s="587">
        <v>4756</v>
      </c>
      <c r="F210" s="587">
        <v>2610</v>
      </c>
      <c r="G210" s="774">
        <f>+E210*F210</f>
        <v>12413160</v>
      </c>
      <c r="H210" s="588"/>
      <c r="I210" s="587"/>
      <c r="J210" s="587"/>
      <c r="K210" s="587"/>
      <c r="L210" s="589"/>
      <c r="M210" s="590"/>
      <c r="N210" s="591"/>
      <c r="O210" s="95"/>
      <c r="P210" s="579"/>
      <c r="Q210" s="580"/>
      <c r="R210" s="580"/>
      <c r="S210" s="581"/>
      <c r="T210" s="582"/>
      <c r="U210" s="79"/>
      <c r="V210" s="621"/>
      <c r="W210" s="808"/>
      <c r="X210" s="44"/>
      <c r="Y210" s="44"/>
      <c r="Z210" s="44"/>
      <c r="AA210" s="102" t="s">
        <v>943</v>
      </c>
      <c r="AB210" s="772" t="s">
        <v>139</v>
      </c>
      <c r="AC210" s="771">
        <v>7.1</v>
      </c>
      <c r="AD210" s="102" t="s">
        <v>943</v>
      </c>
      <c r="AE210" s="772" t="s">
        <v>139</v>
      </c>
      <c r="AF210" s="1230">
        <v>5018</v>
      </c>
      <c r="AG210" s="587">
        <v>2610</v>
      </c>
      <c r="AH210" s="774">
        <f t="shared" ref="AH210:AH220" si="55">+AF210*AG210</f>
        <v>13096980</v>
      </c>
      <c r="AI210" s="102" t="s">
        <v>943</v>
      </c>
      <c r="AJ210" s="772" t="s">
        <v>139</v>
      </c>
      <c r="AK210" s="1201">
        <v>4756</v>
      </c>
      <c r="AL210" s="587">
        <v>2610</v>
      </c>
      <c r="AM210" s="774">
        <f t="shared" ref="AM210:AM220" si="56">+AK210*AL210</f>
        <v>12413160</v>
      </c>
    </row>
    <row r="211" spans="1:39" s="45" customFormat="1" ht="38.25">
      <c r="A211" s="586"/>
      <c r="B211" s="771">
        <f>+B210+0.1</f>
        <v>7.1999999999999993</v>
      </c>
      <c r="C211" s="102" t="s">
        <v>1101</v>
      </c>
      <c r="D211" s="772" t="s">
        <v>139</v>
      </c>
      <c r="E211" s="587">
        <v>3998</v>
      </c>
      <c r="F211" s="587">
        <v>5190</v>
      </c>
      <c r="G211" s="774">
        <f t="shared" ref="G211:G220" si="57">+E211*F211</f>
        <v>20749620</v>
      </c>
      <c r="H211" s="588"/>
      <c r="I211" s="587"/>
      <c r="J211" s="587"/>
      <c r="K211" s="587"/>
      <c r="L211" s="589"/>
      <c r="M211" s="590"/>
      <c r="N211" s="591"/>
      <c r="O211" s="95"/>
      <c r="P211" s="579"/>
      <c r="Q211" s="580"/>
      <c r="R211" s="580"/>
      <c r="S211" s="581"/>
      <c r="T211" s="582"/>
      <c r="U211" s="79"/>
      <c r="V211" s="621"/>
      <c r="W211" s="808"/>
      <c r="X211" s="44"/>
      <c r="Y211" s="44"/>
      <c r="Z211" s="44"/>
      <c r="AA211" s="102" t="s">
        <v>1101</v>
      </c>
      <c r="AB211" s="772" t="s">
        <v>139</v>
      </c>
      <c r="AC211" s="771">
        <f>+AC210+0.1</f>
        <v>7.1999999999999993</v>
      </c>
      <c r="AD211" s="102" t="s">
        <v>1101</v>
      </c>
      <c r="AE211" s="772" t="s">
        <v>139</v>
      </c>
      <c r="AF211" s="1230">
        <v>5018</v>
      </c>
      <c r="AG211" s="587">
        <v>5190</v>
      </c>
      <c r="AH211" s="774">
        <f t="shared" si="55"/>
        <v>26043420</v>
      </c>
      <c r="AI211" s="102" t="s">
        <v>1101</v>
      </c>
      <c r="AJ211" s="772" t="s">
        <v>139</v>
      </c>
      <c r="AK211" s="1201">
        <v>3998</v>
      </c>
      <c r="AL211" s="587">
        <v>5190</v>
      </c>
      <c r="AM211" s="774">
        <f t="shared" si="56"/>
        <v>20749620</v>
      </c>
    </row>
    <row r="212" spans="1:39" s="45" customFormat="1" ht="63.75">
      <c r="A212" s="586"/>
      <c r="B212" s="1252">
        <f t="shared" ref="B212" si="58">+B211+0.1</f>
        <v>7.2999999999999989</v>
      </c>
      <c r="C212" s="102" t="s">
        <v>941</v>
      </c>
      <c r="D212" s="777" t="s">
        <v>139</v>
      </c>
      <c r="E212" s="780">
        <v>758</v>
      </c>
      <c r="F212" s="587">
        <v>10240</v>
      </c>
      <c r="G212" s="774">
        <f t="shared" si="57"/>
        <v>7761920</v>
      </c>
      <c r="H212" s="588"/>
      <c r="I212" s="587"/>
      <c r="J212" s="587"/>
      <c r="K212" s="587"/>
      <c r="L212" s="589"/>
      <c r="M212" s="590"/>
      <c r="N212" s="591"/>
      <c r="O212" s="95"/>
      <c r="P212" s="579"/>
      <c r="Q212" s="580"/>
      <c r="R212" s="580"/>
      <c r="S212" s="581"/>
      <c r="T212" s="582"/>
      <c r="U212" s="79"/>
      <c r="V212" s="621"/>
      <c r="W212" s="808"/>
      <c r="X212" s="44"/>
      <c r="Y212" s="44"/>
      <c r="Z212" s="44"/>
      <c r="AA212" s="102" t="s">
        <v>941</v>
      </c>
      <c r="AB212" s="777" t="s">
        <v>139</v>
      </c>
      <c r="AC212" s="771">
        <f t="shared" ref="AC212:AC218" si="59">+AC211+0.1</f>
        <v>7.2999999999999989</v>
      </c>
      <c r="AD212" s="102" t="s">
        <v>941</v>
      </c>
      <c r="AE212" s="777" t="s">
        <v>139</v>
      </c>
      <c r="AF212" s="1230">
        <v>609</v>
      </c>
      <c r="AG212" s="587">
        <v>10240</v>
      </c>
      <c r="AH212" s="774">
        <f t="shared" si="55"/>
        <v>6236160</v>
      </c>
      <c r="AI212" s="102" t="s">
        <v>941</v>
      </c>
      <c r="AJ212" s="777" t="s">
        <v>139</v>
      </c>
      <c r="AK212" s="1201">
        <v>758</v>
      </c>
      <c r="AL212" s="587">
        <v>10240</v>
      </c>
      <c r="AM212" s="774">
        <f t="shared" si="56"/>
        <v>7761920</v>
      </c>
    </row>
    <row r="213" spans="1:39" s="45" customFormat="1" ht="51">
      <c r="A213" s="586"/>
      <c r="B213" s="1252">
        <f>+B211+0.1</f>
        <v>7.2999999999999989</v>
      </c>
      <c r="C213" s="102" t="s">
        <v>497</v>
      </c>
      <c r="D213" s="777" t="s">
        <v>56</v>
      </c>
      <c r="E213" s="587">
        <v>619</v>
      </c>
      <c r="F213" s="587">
        <v>17220</v>
      </c>
      <c r="G213" s="774">
        <f t="shared" si="57"/>
        <v>10659180</v>
      </c>
      <c r="H213" s="588"/>
      <c r="I213" s="587"/>
      <c r="J213" s="587"/>
      <c r="K213" s="587"/>
      <c r="L213" s="589"/>
      <c r="M213" s="590"/>
      <c r="N213" s="591"/>
      <c r="O213" s="95"/>
      <c r="P213" s="579"/>
      <c r="Q213" s="580"/>
      <c r="R213" s="580"/>
      <c r="S213" s="581"/>
      <c r="T213" s="582"/>
      <c r="U213" s="79"/>
      <c r="V213" s="621"/>
      <c r="W213" s="808"/>
      <c r="X213" s="44"/>
      <c r="Y213" s="44"/>
      <c r="Z213" s="44"/>
      <c r="AA213" s="102" t="s">
        <v>497</v>
      </c>
      <c r="AB213" s="777" t="s">
        <v>56</v>
      </c>
      <c r="AC213" s="771">
        <f t="shared" si="59"/>
        <v>7.3999999999999986</v>
      </c>
      <c r="AD213" s="102" t="s">
        <v>497</v>
      </c>
      <c r="AE213" s="777" t="s">
        <v>56</v>
      </c>
      <c r="AF213" s="1230">
        <v>617</v>
      </c>
      <c r="AG213" s="587">
        <v>17220</v>
      </c>
      <c r="AH213" s="774">
        <f t="shared" si="55"/>
        <v>10624740</v>
      </c>
      <c r="AI213" s="102" t="s">
        <v>497</v>
      </c>
      <c r="AJ213" s="777" t="s">
        <v>56</v>
      </c>
      <c r="AK213" s="1201">
        <v>619</v>
      </c>
      <c r="AL213" s="587">
        <v>17220</v>
      </c>
      <c r="AM213" s="774">
        <f t="shared" si="56"/>
        <v>10659180</v>
      </c>
    </row>
    <row r="214" spans="1:39" s="45" customFormat="1" ht="63.75">
      <c r="A214" s="127">
        <v>290304</v>
      </c>
      <c r="B214" s="771">
        <f t="shared" ref="B214:B220" si="60">+B213+0.1</f>
        <v>7.3999999999999986</v>
      </c>
      <c r="C214" s="782" t="s">
        <v>981</v>
      </c>
      <c r="D214" s="790" t="s">
        <v>938</v>
      </c>
      <c r="E214" s="587">
        <v>181</v>
      </c>
      <c r="F214" s="587">
        <v>573533</v>
      </c>
      <c r="G214" s="774">
        <f t="shared" si="57"/>
        <v>103809473</v>
      </c>
      <c r="H214" s="576">
        <v>5550</v>
      </c>
      <c r="I214" s="25">
        <v>7369</v>
      </c>
      <c r="J214" s="25">
        <v>1</v>
      </c>
      <c r="K214" s="25">
        <v>2</v>
      </c>
      <c r="L214" s="28">
        <v>3345526</v>
      </c>
      <c r="M214" s="29">
        <v>2519700</v>
      </c>
      <c r="N214" s="29">
        <v>2519700</v>
      </c>
      <c r="O214" s="95"/>
      <c r="P214" s="96"/>
      <c r="Q214" s="97">
        <v>103998</v>
      </c>
      <c r="R214" s="97">
        <v>1431706</v>
      </c>
      <c r="S214" s="98">
        <v>983804</v>
      </c>
      <c r="T214" s="99"/>
      <c r="U214" s="79"/>
      <c r="V214" s="621">
        <v>44</v>
      </c>
      <c r="W214" s="808"/>
      <c r="X214" s="216"/>
      <c r="Y214" s="829"/>
      <c r="Z214" s="833"/>
      <c r="AA214" s="1062" t="s">
        <v>981</v>
      </c>
      <c r="AB214" s="1086" t="s">
        <v>938</v>
      </c>
      <c r="AC214" s="771">
        <f t="shared" si="59"/>
        <v>7.4999999999999982</v>
      </c>
      <c r="AD214" s="1062" t="s">
        <v>981</v>
      </c>
      <c r="AE214" s="1086" t="s">
        <v>938</v>
      </c>
      <c r="AF214" s="1230">
        <v>181</v>
      </c>
      <c r="AG214" s="587">
        <v>573533</v>
      </c>
      <c r="AH214" s="774">
        <f t="shared" si="55"/>
        <v>103809473</v>
      </c>
      <c r="AI214" s="1062" t="s">
        <v>981</v>
      </c>
      <c r="AJ214" s="1086" t="s">
        <v>938</v>
      </c>
      <c r="AK214" s="1201">
        <v>181</v>
      </c>
      <c r="AL214" s="587">
        <v>573533</v>
      </c>
      <c r="AM214" s="774">
        <f t="shared" si="56"/>
        <v>103809473</v>
      </c>
    </row>
    <row r="215" spans="1:39" s="45" customFormat="1" ht="38.25">
      <c r="A215" s="584"/>
      <c r="B215" s="771">
        <f t="shared" si="60"/>
        <v>7.4999999999999982</v>
      </c>
      <c r="C215" s="782" t="s">
        <v>993</v>
      </c>
      <c r="D215" s="790" t="s">
        <v>56</v>
      </c>
      <c r="E215" s="587">
        <v>922</v>
      </c>
      <c r="F215" s="587">
        <v>30000</v>
      </c>
      <c r="G215" s="774">
        <f t="shared" si="57"/>
        <v>27660000</v>
      </c>
      <c r="H215" s="576"/>
      <c r="I215" s="575"/>
      <c r="J215" s="575"/>
      <c r="K215" s="575"/>
      <c r="L215" s="577"/>
      <c r="M215" s="578"/>
      <c r="N215" s="578"/>
      <c r="O215" s="95"/>
      <c r="P215" s="579"/>
      <c r="Q215" s="580"/>
      <c r="R215" s="580"/>
      <c r="S215" s="581"/>
      <c r="T215" s="582"/>
      <c r="U215" s="79"/>
      <c r="V215" s="621"/>
      <c r="W215" s="808"/>
      <c r="X215" s="44"/>
      <c r="Y215" s="44"/>
      <c r="Z215" s="44"/>
      <c r="AA215" s="1062" t="s">
        <v>993</v>
      </c>
      <c r="AB215" s="1086" t="s">
        <v>56</v>
      </c>
      <c r="AC215" s="771">
        <f t="shared" si="59"/>
        <v>7.5999999999999979</v>
      </c>
      <c r="AD215" s="1062" t="s">
        <v>993</v>
      </c>
      <c r="AE215" s="1086" t="s">
        <v>56</v>
      </c>
      <c r="AF215" s="1230">
        <v>922</v>
      </c>
      <c r="AG215" s="587">
        <v>30000</v>
      </c>
      <c r="AH215" s="774">
        <f t="shared" si="55"/>
        <v>27660000</v>
      </c>
      <c r="AI215" s="1062" t="s">
        <v>993</v>
      </c>
      <c r="AJ215" s="1086" t="s">
        <v>56</v>
      </c>
      <c r="AK215" s="1201">
        <v>922</v>
      </c>
      <c r="AL215" s="587">
        <v>30000</v>
      </c>
      <c r="AM215" s="774">
        <f t="shared" si="56"/>
        <v>27660000</v>
      </c>
    </row>
    <row r="216" spans="1:39" s="45" customFormat="1" ht="63.75">
      <c r="A216" s="143">
        <v>290430</v>
      </c>
      <c r="B216" s="771">
        <f t="shared" si="60"/>
        <v>7.5999999999999979</v>
      </c>
      <c r="C216" s="102" t="s">
        <v>976</v>
      </c>
      <c r="D216" s="772" t="s">
        <v>139</v>
      </c>
      <c r="E216" s="587">
        <v>122</v>
      </c>
      <c r="F216" s="837">
        <v>614040</v>
      </c>
      <c r="G216" s="774">
        <f t="shared" si="57"/>
        <v>74912880</v>
      </c>
      <c r="H216" s="576">
        <v>10638</v>
      </c>
      <c r="I216" s="25">
        <v>14125</v>
      </c>
      <c r="J216" s="25">
        <v>1</v>
      </c>
      <c r="K216" s="25">
        <v>1</v>
      </c>
      <c r="L216" s="28">
        <v>1186500</v>
      </c>
      <c r="M216" s="29">
        <v>893592</v>
      </c>
      <c r="N216" s="29">
        <v>893592</v>
      </c>
      <c r="O216" s="95"/>
      <c r="P216" s="96"/>
      <c r="Q216" s="97">
        <v>29433</v>
      </c>
      <c r="R216" s="97">
        <v>588668</v>
      </c>
      <c r="S216" s="98">
        <v>275486</v>
      </c>
      <c r="T216" s="99"/>
      <c r="U216" s="79"/>
      <c r="V216" s="621">
        <v>46</v>
      </c>
      <c r="W216" s="808"/>
      <c r="X216" s="44"/>
      <c r="Y216" s="44"/>
      <c r="Z216" s="44"/>
      <c r="AA216" s="102" t="s">
        <v>976</v>
      </c>
      <c r="AB216" s="772" t="s">
        <v>139</v>
      </c>
      <c r="AC216" s="771">
        <f t="shared" si="59"/>
        <v>7.6999999999999975</v>
      </c>
      <c r="AD216" s="102" t="s">
        <v>976</v>
      </c>
      <c r="AE216" s="772" t="s">
        <v>139</v>
      </c>
      <c r="AF216" s="1230">
        <v>122</v>
      </c>
      <c r="AG216" s="837">
        <v>614040</v>
      </c>
      <c r="AH216" s="774">
        <f t="shared" si="55"/>
        <v>74912880</v>
      </c>
      <c r="AI216" s="102" t="s">
        <v>976</v>
      </c>
      <c r="AJ216" s="772" t="s">
        <v>139</v>
      </c>
      <c r="AK216" s="1201">
        <v>122</v>
      </c>
      <c r="AL216" s="837">
        <v>614040</v>
      </c>
      <c r="AM216" s="774">
        <f t="shared" si="56"/>
        <v>74912880</v>
      </c>
    </row>
    <row r="217" spans="1:39" s="45" customFormat="1" ht="51">
      <c r="A217" s="584"/>
      <c r="B217" s="771">
        <f t="shared" si="60"/>
        <v>7.6999999999999975</v>
      </c>
      <c r="C217" s="102" t="s">
        <v>939</v>
      </c>
      <c r="D217" s="772" t="s">
        <v>139</v>
      </c>
      <c r="E217" s="587">
        <v>135</v>
      </c>
      <c r="F217" s="587">
        <v>594610</v>
      </c>
      <c r="G217" s="774">
        <f t="shared" si="57"/>
        <v>80272350</v>
      </c>
      <c r="H217" s="576"/>
      <c r="I217" s="575"/>
      <c r="J217" s="575"/>
      <c r="K217" s="575"/>
      <c r="L217" s="577"/>
      <c r="M217" s="578"/>
      <c r="N217" s="585"/>
      <c r="O217" s="95"/>
      <c r="P217" s="579"/>
      <c r="Q217" s="580"/>
      <c r="R217" s="580"/>
      <c r="S217" s="581"/>
      <c r="T217" s="582"/>
      <c r="U217" s="79"/>
      <c r="V217" s="621"/>
      <c r="W217" s="808"/>
      <c r="X217" s="44"/>
      <c r="Y217" s="44"/>
      <c r="Z217" s="44"/>
      <c r="AA217" s="102" t="s">
        <v>939</v>
      </c>
      <c r="AB217" s="772" t="s">
        <v>139</v>
      </c>
      <c r="AC217" s="771">
        <f t="shared" si="59"/>
        <v>7.7999999999999972</v>
      </c>
      <c r="AD217" s="102" t="s">
        <v>939</v>
      </c>
      <c r="AE217" s="772" t="s">
        <v>139</v>
      </c>
      <c r="AF217" s="1230">
        <v>135</v>
      </c>
      <c r="AG217" s="587">
        <v>594610</v>
      </c>
      <c r="AH217" s="774">
        <f t="shared" si="55"/>
        <v>80272350</v>
      </c>
      <c r="AI217" s="102" t="s">
        <v>939</v>
      </c>
      <c r="AJ217" s="772" t="s">
        <v>139</v>
      </c>
      <c r="AK217" s="1201">
        <v>135</v>
      </c>
      <c r="AL217" s="587">
        <v>594610</v>
      </c>
      <c r="AM217" s="774">
        <f t="shared" si="56"/>
        <v>80272350</v>
      </c>
    </row>
    <row r="218" spans="1:39" s="45" customFormat="1" ht="51">
      <c r="A218" s="584"/>
      <c r="B218" s="771">
        <f t="shared" si="60"/>
        <v>7.7999999999999972</v>
      </c>
      <c r="C218" s="102" t="s">
        <v>985</v>
      </c>
      <c r="D218" s="772" t="s">
        <v>22</v>
      </c>
      <c r="E218" s="587">
        <v>2</v>
      </c>
      <c r="F218" s="587">
        <v>922480</v>
      </c>
      <c r="G218" s="774">
        <f t="shared" si="57"/>
        <v>1844960</v>
      </c>
      <c r="H218" s="576"/>
      <c r="I218" s="575"/>
      <c r="J218" s="575"/>
      <c r="K218" s="575"/>
      <c r="L218" s="577"/>
      <c r="M218" s="578"/>
      <c r="N218" s="585"/>
      <c r="O218" s="95"/>
      <c r="P218" s="579"/>
      <c r="Q218" s="580"/>
      <c r="R218" s="580"/>
      <c r="S218" s="581"/>
      <c r="T218" s="582"/>
      <c r="U218" s="79"/>
      <c r="V218" s="621"/>
      <c r="W218" s="808"/>
      <c r="X218" s="44"/>
      <c r="Y218" s="44"/>
      <c r="Z218" s="44"/>
      <c r="AA218" s="102" t="s">
        <v>985</v>
      </c>
      <c r="AB218" s="772" t="s">
        <v>22</v>
      </c>
      <c r="AC218" s="771">
        <f t="shared" si="59"/>
        <v>7.8999999999999968</v>
      </c>
      <c r="AD218" s="102" t="s">
        <v>985</v>
      </c>
      <c r="AE218" s="772" t="s">
        <v>22</v>
      </c>
      <c r="AF218" s="1230">
        <v>2</v>
      </c>
      <c r="AG218" s="587">
        <v>922480</v>
      </c>
      <c r="AH218" s="774">
        <f t="shared" si="55"/>
        <v>1844960</v>
      </c>
      <c r="AI218" s="102" t="s">
        <v>985</v>
      </c>
      <c r="AJ218" s="772" t="s">
        <v>22</v>
      </c>
      <c r="AK218" s="1201">
        <v>2</v>
      </c>
      <c r="AL218" s="587">
        <v>922480</v>
      </c>
      <c r="AM218" s="774">
        <f t="shared" si="56"/>
        <v>1844960</v>
      </c>
    </row>
    <row r="219" spans="1:39" s="45" customFormat="1" ht="51">
      <c r="A219" s="584"/>
      <c r="B219" s="771">
        <f t="shared" si="60"/>
        <v>7.8999999999999968</v>
      </c>
      <c r="C219" s="102" t="s">
        <v>986</v>
      </c>
      <c r="D219" s="772" t="s">
        <v>22</v>
      </c>
      <c r="E219" s="587">
        <v>2</v>
      </c>
      <c r="F219" s="587">
        <v>2202372</v>
      </c>
      <c r="G219" s="774">
        <f t="shared" si="57"/>
        <v>4404744</v>
      </c>
      <c r="H219" s="576"/>
      <c r="I219" s="575"/>
      <c r="J219" s="575"/>
      <c r="K219" s="575"/>
      <c r="L219" s="577"/>
      <c r="M219" s="578"/>
      <c r="N219" s="585"/>
      <c r="O219" s="95"/>
      <c r="P219" s="579"/>
      <c r="Q219" s="580"/>
      <c r="R219" s="580"/>
      <c r="S219" s="581"/>
      <c r="T219" s="582"/>
      <c r="U219" s="79"/>
      <c r="V219" s="621"/>
      <c r="W219" s="808"/>
      <c r="X219" s="44"/>
      <c r="Y219" s="44"/>
      <c r="Z219" s="44"/>
      <c r="AA219" s="102" t="s">
        <v>986</v>
      </c>
      <c r="AB219" s="772" t="s">
        <v>22</v>
      </c>
      <c r="AC219" s="779">
        <v>7.1</v>
      </c>
      <c r="AD219" s="102" t="s">
        <v>986</v>
      </c>
      <c r="AE219" s="772" t="s">
        <v>22</v>
      </c>
      <c r="AF219" s="1230">
        <v>2</v>
      </c>
      <c r="AG219" s="587">
        <v>2202372</v>
      </c>
      <c r="AH219" s="774">
        <f t="shared" si="55"/>
        <v>4404744</v>
      </c>
      <c r="AI219" s="102" t="s">
        <v>986</v>
      </c>
      <c r="AJ219" s="772" t="s">
        <v>22</v>
      </c>
      <c r="AK219" s="1201">
        <v>2</v>
      </c>
      <c r="AL219" s="587">
        <v>2202372</v>
      </c>
      <c r="AM219" s="774">
        <f t="shared" si="56"/>
        <v>4404744</v>
      </c>
    </row>
    <row r="220" spans="1:39" s="45" customFormat="1" ht="51">
      <c r="A220" s="584"/>
      <c r="B220" s="771">
        <f t="shared" si="60"/>
        <v>7.9999999999999964</v>
      </c>
      <c r="C220" s="102" t="s">
        <v>994</v>
      </c>
      <c r="D220" s="777" t="s">
        <v>22</v>
      </c>
      <c r="E220" s="780">
        <v>2</v>
      </c>
      <c r="F220" s="587">
        <v>118070</v>
      </c>
      <c r="G220" s="774">
        <f t="shared" si="57"/>
        <v>236140</v>
      </c>
      <c r="H220" s="576"/>
      <c r="I220" s="575"/>
      <c r="J220" s="575"/>
      <c r="K220" s="575"/>
      <c r="L220" s="577"/>
      <c r="M220" s="578"/>
      <c r="N220" s="585"/>
      <c r="O220" s="95"/>
      <c r="P220" s="579"/>
      <c r="Q220" s="580"/>
      <c r="R220" s="580"/>
      <c r="S220" s="581"/>
      <c r="T220" s="582"/>
      <c r="U220" s="79"/>
      <c r="V220" s="621"/>
      <c r="W220" s="808"/>
      <c r="X220" s="44"/>
      <c r="Y220" s="44"/>
      <c r="Z220" s="44"/>
      <c r="AA220" s="102" t="s">
        <v>994</v>
      </c>
      <c r="AB220" s="777" t="s">
        <v>22</v>
      </c>
      <c r="AC220" s="779">
        <v>7.11</v>
      </c>
      <c r="AD220" s="102" t="s">
        <v>994</v>
      </c>
      <c r="AE220" s="777" t="s">
        <v>22</v>
      </c>
      <c r="AF220" s="1222">
        <v>2</v>
      </c>
      <c r="AG220" s="587">
        <v>118070</v>
      </c>
      <c r="AH220" s="774">
        <f t="shared" si="55"/>
        <v>236140</v>
      </c>
      <c r="AI220" s="102" t="s">
        <v>994</v>
      </c>
      <c r="AJ220" s="777" t="s">
        <v>22</v>
      </c>
      <c r="AK220" s="1193">
        <v>2</v>
      </c>
      <c r="AL220" s="587">
        <v>118070</v>
      </c>
      <c r="AM220" s="774">
        <f t="shared" si="56"/>
        <v>236140</v>
      </c>
    </row>
    <row r="221" spans="1:39" s="45" customFormat="1" ht="15.75" thickBot="1">
      <c r="A221" s="105"/>
      <c r="B221" s="139"/>
      <c r="C221" s="140"/>
      <c r="D221" s="23"/>
      <c r="E221" s="107"/>
      <c r="F221" s="25"/>
      <c r="G221" s="795"/>
      <c r="H221" s="576"/>
      <c r="I221" s="25"/>
      <c r="J221" s="25"/>
      <c r="K221" s="25"/>
      <c r="L221" s="109"/>
      <c r="M221" s="110"/>
      <c r="N221" s="111"/>
      <c r="O221" s="95"/>
      <c r="P221" s="96"/>
      <c r="Q221" s="97"/>
      <c r="R221" s="97"/>
      <c r="S221" s="98"/>
      <c r="T221" s="99"/>
      <c r="U221" s="79"/>
      <c r="V221" s="621"/>
      <c r="W221" s="807"/>
      <c r="X221" s="44"/>
      <c r="Y221" s="44"/>
      <c r="Z221" s="44"/>
      <c r="AA221" s="593"/>
      <c r="AB221" s="999"/>
      <c r="AC221" s="592"/>
      <c r="AD221" s="593"/>
      <c r="AE221" s="999"/>
      <c r="AF221" s="1232"/>
      <c r="AG221" s="575"/>
      <c r="AH221" s="795"/>
      <c r="AI221" s="1064"/>
      <c r="AJ221" s="1065"/>
      <c r="AK221" s="1203"/>
      <c r="AL221" s="575"/>
      <c r="AM221" s="795"/>
    </row>
    <row r="222" spans="1:39" s="45" customFormat="1" ht="15.75" thickBot="1">
      <c r="A222" s="112" t="s">
        <v>46</v>
      </c>
      <c r="B222" s="113"/>
      <c r="C222" s="114"/>
      <c r="D222" s="115"/>
      <c r="E222" s="116"/>
      <c r="F222" s="117" t="s">
        <v>479</v>
      </c>
      <c r="G222" s="118">
        <f>SUM(G210:G221)</f>
        <v>344724427</v>
      </c>
      <c r="H222" s="576"/>
      <c r="I222" s="25"/>
      <c r="J222" s="25"/>
      <c r="K222" s="25"/>
      <c r="L222" s="109"/>
      <c r="M222" s="110"/>
      <c r="N222" s="119">
        <v>8571640</v>
      </c>
      <c r="O222" s="95"/>
      <c r="P222" s="120">
        <v>0</v>
      </c>
      <c r="Q222" s="121">
        <v>303531</v>
      </c>
      <c r="R222" s="121">
        <v>4125784</v>
      </c>
      <c r="S222" s="122">
        <v>4141954</v>
      </c>
      <c r="T222" s="123">
        <v>0</v>
      </c>
      <c r="U222" s="79"/>
      <c r="V222" s="621"/>
      <c r="W222" s="807"/>
      <c r="X222" s="44"/>
      <c r="Y222" s="44"/>
      <c r="Z222" s="44"/>
      <c r="AA222" s="1064"/>
      <c r="AB222" s="1065"/>
      <c r="AC222" s="1116"/>
      <c r="AD222" s="1064"/>
      <c r="AE222" s="1065"/>
      <c r="AF222" s="1227"/>
      <c r="AG222" s="1073" t="s">
        <v>479</v>
      </c>
      <c r="AH222" s="1117">
        <f>SUM(AH210:AH221)</f>
        <v>349141847</v>
      </c>
      <c r="AI222" s="102"/>
      <c r="AJ222" s="777"/>
      <c r="AK222" s="1198"/>
      <c r="AL222" s="1073" t="s">
        <v>479</v>
      </c>
      <c r="AM222" s="1117">
        <f>SUM(AM210:AM221)</f>
        <v>344724427</v>
      </c>
    </row>
    <row r="223" spans="1:39" s="45" customFormat="1" ht="15" hidden="1" customHeight="1">
      <c r="A223" s="84" t="s">
        <v>40</v>
      </c>
      <c r="B223" s="779"/>
      <c r="C223" s="102"/>
      <c r="D223" s="777"/>
      <c r="E223" s="780"/>
      <c r="F223" s="776">
        <v>38550</v>
      </c>
      <c r="G223" s="774">
        <f t="shared" ref="G223" si="61">E223*F223</f>
        <v>0</v>
      </c>
      <c r="H223" s="91"/>
      <c r="I223" s="89"/>
      <c r="J223" s="89"/>
      <c r="K223" s="89"/>
      <c r="L223" s="92"/>
      <c r="M223" s="93"/>
      <c r="N223" s="94"/>
      <c r="O223" s="95"/>
      <c r="P223" s="96"/>
      <c r="Q223" s="97"/>
      <c r="R223" s="97"/>
      <c r="S223" s="98"/>
      <c r="T223" s="99"/>
      <c r="U223" s="79"/>
      <c r="V223" s="621"/>
      <c r="W223" s="807"/>
      <c r="X223" s="44"/>
      <c r="Y223" s="44"/>
      <c r="Z223" s="44"/>
      <c r="AA223" s="102"/>
      <c r="AB223" s="777"/>
      <c r="AC223" s="779"/>
      <c r="AD223" s="102"/>
      <c r="AE223" s="777"/>
      <c r="AF223" s="1222"/>
      <c r="AG223" s="776">
        <v>38550</v>
      </c>
      <c r="AH223" s="774">
        <f>AF223*AG223</f>
        <v>0</v>
      </c>
      <c r="AI223" s="102"/>
      <c r="AJ223" s="777"/>
      <c r="AK223" s="1193"/>
      <c r="AL223" s="776">
        <v>38550</v>
      </c>
      <c r="AM223" s="774">
        <f>AK223*AL223</f>
        <v>0</v>
      </c>
    </row>
    <row r="224" spans="1:39" s="45" customFormat="1">
      <c r="A224" s="586"/>
      <c r="B224" s="771"/>
      <c r="C224" s="102"/>
      <c r="D224" s="777"/>
      <c r="E224" s="780"/>
      <c r="F224" s="587"/>
      <c r="G224" s="774"/>
      <c r="H224" s="588"/>
      <c r="I224" s="587"/>
      <c r="J224" s="587"/>
      <c r="K224" s="587"/>
      <c r="L224" s="589"/>
      <c r="M224" s="590"/>
      <c r="N224" s="591"/>
      <c r="O224" s="95"/>
      <c r="P224" s="579"/>
      <c r="Q224" s="580"/>
      <c r="R224" s="580"/>
      <c r="S224" s="581"/>
      <c r="T224" s="582"/>
      <c r="U224" s="79"/>
      <c r="V224" s="621"/>
      <c r="W224" s="808"/>
      <c r="X224" s="44"/>
      <c r="Y224" s="44"/>
      <c r="Z224" s="44"/>
      <c r="AA224" s="102"/>
      <c r="AB224" s="777"/>
      <c r="AC224" s="771"/>
      <c r="AD224" s="102"/>
      <c r="AE224" s="777"/>
      <c r="AF224" s="1222"/>
      <c r="AG224" s="587"/>
      <c r="AH224" s="774"/>
      <c r="AK224" s="1193"/>
      <c r="AL224" s="587"/>
      <c r="AM224" s="774"/>
    </row>
    <row r="225" spans="1:39" s="45" customFormat="1" ht="63.75">
      <c r="A225" s="586"/>
      <c r="B225" s="771">
        <v>7.12</v>
      </c>
      <c r="C225" s="102" t="s">
        <v>522</v>
      </c>
      <c r="D225" s="777" t="s">
        <v>142</v>
      </c>
      <c r="E225" s="780">
        <v>11700</v>
      </c>
      <c r="F225" s="587">
        <v>3100</v>
      </c>
      <c r="G225" s="774">
        <f>+E225*F227</f>
        <v>52650000</v>
      </c>
      <c r="H225" s="588"/>
      <c r="I225" s="587"/>
      <c r="J225" s="587"/>
      <c r="K225" s="587"/>
      <c r="L225" s="589"/>
      <c r="M225" s="590"/>
      <c r="N225" s="591"/>
      <c r="O225" s="95"/>
      <c r="P225" s="579"/>
      <c r="Q225" s="580"/>
      <c r="R225" s="580"/>
      <c r="S225" s="581"/>
      <c r="T225" s="582"/>
      <c r="U225" s="79"/>
      <c r="V225" s="621"/>
      <c r="W225" s="808"/>
      <c r="X225" s="44"/>
      <c r="Y225" s="44"/>
      <c r="Z225" s="44"/>
      <c r="AA225" s="102" t="s">
        <v>522</v>
      </c>
      <c r="AB225" s="777" t="s">
        <v>142</v>
      </c>
      <c r="AC225" s="771">
        <v>7.12</v>
      </c>
      <c r="AD225" s="102" t="s">
        <v>522</v>
      </c>
      <c r="AE225" s="777" t="s">
        <v>142</v>
      </c>
      <c r="AF225" s="1222">
        <v>11700</v>
      </c>
      <c r="AG225" s="587">
        <v>3100</v>
      </c>
      <c r="AH225" s="774">
        <f>+AF225*AG227</f>
        <v>52650000</v>
      </c>
      <c r="AI225" s="782" t="s">
        <v>522</v>
      </c>
      <c r="AJ225" s="777" t="s">
        <v>142</v>
      </c>
      <c r="AK225" s="1193">
        <v>11700</v>
      </c>
      <c r="AL225" s="587">
        <v>3100</v>
      </c>
      <c r="AM225" s="774">
        <f>+AK225*AL227</f>
        <v>52650000</v>
      </c>
    </row>
    <row r="226" spans="1:39" s="45" customFormat="1" ht="25.5">
      <c r="A226" s="586"/>
      <c r="B226" s="771">
        <f>+B225+0.01</f>
        <v>7.13</v>
      </c>
      <c r="C226" s="102" t="s">
        <v>508</v>
      </c>
      <c r="D226" s="777" t="s">
        <v>500</v>
      </c>
      <c r="E226" s="780">
        <v>124</v>
      </c>
      <c r="F226" s="587">
        <v>18420</v>
      </c>
      <c r="G226" s="774">
        <f t="shared" ref="G226" si="62">E226*F226</f>
        <v>2284080</v>
      </c>
      <c r="H226" s="588"/>
      <c r="I226" s="587"/>
      <c r="J226" s="587"/>
      <c r="K226" s="587"/>
      <c r="L226" s="589"/>
      <c r="M226" s="590"/>
      <c r="N226" s="591"/>
      <c r="O226" s="95"/>
      <c r="P226" s="579"/>
      <c r="Q226" s="580"/>
      <c r="R226" s="580"/>
      <c r="S226" s="581"/>
      <c r="T226" s="582"/>
      <c r="U226" s="79"/>
      <c r="V226" s="621"/>
      <c r="W226" s="808"/>
      <c r="X226" s="44"/>
      <c r="Y226" s="44"/>
      <c r="Z226" s="44"/>
      <c r="AA226" s="102" t="s">
        <v>508</v>
      </c>
      <c r="AB226" s="777" t="s">
        <v>500</v>
      </c>
      <c r="AC226" s="771">
        <f>+AC225+0.01</f>
        <v>7.13</v>
      </c>
      <c r="AD226" s="102" t="s">
        <v>508</v>
      </c>
      <c r="AE226" s="777" t="s">
        <v>500</v>
      </c>
      <c r="AF226" s="1222">
        <v>124</v>
      </c>
      <c r="AG226" s="587">
        <v>18420</v>
      </c>
      <c r="AH226" s="774">
        <f>AF226*AG226</f>
        <v>2284080</v>
      </c>
      <c r="AI226" s="782" t="s">
        <v>508</v>
      </c>
      <c r="AJ226" s="777" t="s">
        <v>500</v>
      </c>
      <c r="AK226" s="1193">
        <v>124</v>
      </c>
      <c r="AL226" s="587">
        <v>18420</v>
      </c>
      <c r="AM226" s="774">
        <f>AK226*AL226</f>
        <v>2284080</v>
      </c>
    </row>
    <row r="227" spans="1:39" s="45" customFormat="1" ht="25.5">
      <c r="A227" s="586"/>
      <c r="B227" s="771">
        <f t="shared" ref="B227:B250" si="63">+B226+0.01</f>
        <v>7.14</v>
      </c>
      <c r="C227" s="102" t="s">
        <v>942</v>
      </c>
      <c r="D227" s="777" t="s">
        <v>56</v>
      </c>
      <c r="E227" s="780">
        <v>183</v>
      </c>
      <c r="F227" s="587">
        <v>4500</v>
      </c>
      <c r="G227" s="774">
        <f t="shared" ref="G227:G228" si="64">+E227*F228</f>
        <v>11538150</v>
      </c>
      <c r="H227" s="588"/>
      <c r="I227" s="587"/>
      <c r="J227" s="587"/>
      <c r="K227" s="587"/>
      <c r="L227" s="589"/>
      <c r="M227" s="590"/>
      <c r="N227" s="591"/>
      <c r="O227" s="95"/>
      <c r="P227" s="579"/>
      <c r="Q227" s="580"/>
      <c r="R227" s="580"/>
      <c r="S227" s="581"/>
      <c r="T227" s="582"/>
      <c r="U227" s="79"/>
      <c r="V227" s="621"/>
      <c r="W227" s="808"/>
      <c r="X227" s="44"/>
      <c r="Y227" s="44"/>
      <c r="Z227" s="44"/>
      <c r="AA227" s="102" t="s">
        <v>942</v>
      </c>
      <c r="AB227" s="777" t="s">
        <v>56</v>
      </c>
      <c r="AC227" s="771">
        <f t="shared" ref="AC227:AC250" si="65">+AC226+0.01</f>
        <v>7.14</v>
      </c>
      <c r="AD227" s="102" t="s">
        <v>942</v>
      </c>
      <c r="AE227" s="777" t="s">
        <v>56</v>
      </c>
      <c r="AF227" s="1222">
        <v>183</v>
      </c>
      <c r="AG227" s="587">
        <v>4500</v>
      </c>
      <c r="AH227" s="774">
        <f>+AF227*AG228</f>
        <v>11538150</v>
      </c>
      <c r="AI227" s="782" t="s">
        <v>942</v>
      </c>
      <c r="AJ227" s="777" t="s">
        <v>56</v>
      </c>
      <c r="AK227" s="1193">
        <v>183</v>
      </c>
      <c r="AL227" s="587">
        <v>4500</v>
      </c>
      <c r="AM227" s="774">
        <f>+AK227*AL228</f>
        <v>11538150</v>
      </c>
    </row>
    <row r="228" spans="1:39" s="45" customFormat="1" ht="51">
      <c r="A228" s="586"/>
      <c r="B228" s="771">
        <f t="shared" si="63"/>
        <v>7.1499999999999995</v>
      </c>
      <c r="C228" s="102" t="s">
        <v>984</v>
      </c>
      <c r="D228" s="777" t="s">
        <v>139</v>
      </c>
      <c r="E228" s="780">
        <v>20</v>
      </c>
      <c r="F228" s="587">
        <v>63050</v>
      </c>
      <c r="G228" s="774">
        <f t="shared" si="64"/>
        <v>586600</v>
      </c>
      <c r="H228" s="588"/>
      <c r="I228" s="587"/>
      <c r="J228" s="587"/>
      <c r="K228" s="587"/>
      <c r="L228" s="589"/>
      <c r="M228" s="590"/>
      <c r="N228" s="591"/>
      <c r="O228" s="95"/>
      <c r="P228" s="579"/>
      <c r="Q228" s="580"/>
      <c r="R228" s="580"/>
      <c r="S228" s="581"/>
      <c r="T228" s="582"/>
      <c r="U228" s="79"/>
      <c r="V228" s="621"/>
      <c r="W228" s="808"/>
      <c r="X228" s="44"/>
      <c r="Y228" s="44"/>
      <c r="Z228" s="44"/>
      <c r="AA228" s="102" t="s">
        <v>984</v>
      </c>
      <c r="AB228" s="777" t="s">
        <v>139</v>
      </c>
      <c r="AC228" s="771">
        <f t="shared" si="65"/>
        <v>7.1499999999999995</v>
      </c>
      <c r="AD228" s="102" t="s">
        <v>984</v>
      </c>
      <c r="AE228" s="777" t="s">
        <v>139</v>
      </c>
      <c r="AF228" s="1222">
        <v>20</v>
      </c>
      <c r="AG228" s="587">
        <v>63050</v>
      </c>
      <c r="AH228" s="774">
        <f>+AF228*AG229</f>
        <v>586600</v>
      </c>
      <c r="AI228" s="782" t="s">
        <v>984</v>
      </c>
      <c r="AJ228" s="777" t="s">
        <v>139</v>
      </c>
      <c r="AK228" s="1193">
        <v>20</v>
      </c>
      <c r="AL228" s="587">
        <v>63050</v>
      </c>
      <c r="AM228" s="774">
        <f>+AK228*AL229</f>
        <v>586600</v>
      </c>
    </row>
    <row r="229" spans="1:39" s="45" customFormat="1" ht="25.5">
      <c r="A229" s="586"/>
      <c r="B229" s="771">
        <f t="shared" si="63"/>
        <v>7.1599999999999993</v>
      </c>
      <c r="C229" s="102" t="s">
        <v>946</v>
      </c>
      <c r="D229" s="777" t="s">
        <v>540</v>
      </c>
      <c r="E229" s="780">
        <v>147</v>
      </c>
      <c r="F229" s="587">
        <v>29330</v>
      </c>
      <c r="G229" s="774">
        <f>+E229*F229</f>
        <v>4311510</v>
      </c>
      <c r="H229" s="588"/>
      <c r="I229" s="587"/>
      <c r="J229" s="587"/>
      <c r="K229" s="587"/>
      <c r="L229" s="589"/>
      <c r="M229" s="590"/>
      <c r="N229" s="591"/>
      <c r="O229" s="95"/>
      <c r="P229" s="579"/>
      <c r="Q229" s="580"/>
      <c r="R229" s="580"/>
      <c r="S229" s="581"/>
      <c r="T229" s="582"/>
      <c r="U229" s="79"/>
      <c r="V229" s="621"/>
      <c r="W229" s="808"/>
      <c r="X229" s="44"/>
      <c r="Y229" s="44"/>
      <c r="Z229" s="44"/>
      <c r="AA229" s="102" t="s">
        <v>946</v>
      </c>
      <c r="AB229" s="777" t="s">
        <v>540</v>
      </c>
      <c r="AC229" s="771">
        <f t="shared" si="65"/>
        <v>7.1599999999999993</v>
      </c>
      <c r="AD229" s="102" t="s">
        <v>946</v>
      </c>
      <c r="AE229" s="777" t="s">
        <v>540</v>
      </c>
      <c r="AF229" s="1222">
        <v>147</v>
      </c>
      <c r="AG229" s="587">
        <v>29330</v>
      </c>
      <c r="AH229" s="774">
        <f>+AF229*AG229</f>
        <v>4311510</v>
      </c>
      <c r="AI229" s="782" t="s">
        <v>946</v>
      </c>
      <c r="AJ229" s="777" t="s">
        <v>540</v>
      </c>
      <c r="AK229" s="1193">
        <v>147</v>
      </c>
      <c r="AL229" s="587">
        <v>29330</v>
      </c>
      <c r="AM229" s="774">
        <f>+AK229*AL229</f>
        <v>4311510</v>
      </c>
    </row>
    <row r="230" spans="1:39" s="45" customFormat="1" ht="25.5">
      <c r="A230" s="586"/>
      <c r="B230" s="771">
        <f t="shared" si="63"/>
        <v>7.169999999999999</v>
      </c>
      <c r="C230" s="782" t="s">
        <v>1428</v>
      </c>
      <c r="D230" s="777" t="s">
        <v>22</v>
      </c>
      <c r="E230" s="780">
        <v>1</v>
      </c>
      <c r="F230" s="587">
        <v>21450</v>
      </c>
      <c r="G230" s="774">
        <f>+E230*F230</f>
        <v>21450</v>
      </c>
      <c r="H230" s="588"/>
      <c r="I230" s="587"/>
      <c r="J230" s="587"/>
      <c r="K230" s="587"/>
      <c r="L230" s="589"/>
      <c r="M230" s="590"/>
      <c r="N230" s="591"/>
      <c r="O230" s="95"/>
      <c r="P230" s="579"/>
      <c r="Q230" s="580"/>
      <c r="R230" s="580"/>
      <c r="S230" s="581"/>
      <c r="T230" s="582"/>
      <c r="U230" s="79"/>
      <c r="V230" s="621"/>
      <c r="W230" s="808"/>
      <c r="X230" s="44"/>
      <c r="Y230" s="44"/>
      <c r="Z230" s="44"/>
      <c r="AA230" s="1062" t="s">
        <v>1428</v>
      </c>
      <c r="AB230" s="777" t="s">
        <v>22</v>
      </c>
      <c r="AC230" s="771">
        <f t="shared" si="65"/>
        <v>7.169999999999999</v>
      </c>
      <c r="AD230" s="1062" t="s">
        <v>1428</v>
      </c>
      <c r="AE230" s="777" t="s">
        <v>22</v>
      </c>
      <c r="AF230" s="1222">
        <v>1</v>
      </c>
      <c r="AG230" s="587">
        <v>21450</v>
      </c>
      <c r="AH230" s="774">
        <f>+AF230*AG230</f>
        <v>21450</v>
      </c>
      <c r="AI230" s="782" t="s">
        <v>1428</v>
      </c>
      <c r="AJ230" s="777" t="s">
        <v>22</v>
      </c>
      <c r="AK230" s="1193">
        <v>1</v>
      </c>
      <c r="AL230" s="587">
        <v>21450</v>
      </c>
      <c r="AM230" s="774">
        <f>+AK230*AL230</f>
        <v>21450</v>
      </c>
    </row>
    <row r="231" spans="1:39" s="45" customFormat="1" ht="51">
      <c r="A231" s="586"/>
      <c r="B231" s="771">
        <f t="shared" si="63"/>
        <v>7.1799999999999988</v>
      </c>
      <c r="C231" s="782" t="s">
        <v>999</v>
      </c>
      <c r="D231" s="790" t="s">
        <v>22</v>
      </c>
      <c r="E231" s="791">
        <v>2</v>
      </c>
      <c r="F231" s="850">
        <v>612360</v>
      </c>
      <c r="G231" s="774">
        <f t="shared" ref="G231:G250" si="66">+E231*F231</f>
        <v>1224720</v>
      </c>
      <c r="H231" s="588"/>
      <c r="I231" s="587"/>
      <c r="J231" s="587"/>
      <c r="K231" s="587"/>
      <c r="L231" s="589"/>
      <c r="M231" s="590"/>
      <c r="N231" s="591"/>
      <c r="O231" s="95"/>
      <c r="P231" s="579"/>
      <c r="Q231" s="580"/>
      <c r="R231" s="580"/>
      <c r="S231" s="581"/>
      <c r="T231" s="582"/>
      <c r="U231" s="79"/>
      <c r="V231" s="621"/>
      <c r="W231" s="808"/>
      <c r="X231" s="45">
        <f>1.16*1.1</f>
        <v>1.276</v>
      </c>
      <c r="Y231" s="881">
        <v>545000</v>
      </c>
      <c r="Z231" s="868">
        <f>+Y231*X231</f>
        <v>695420</v>
      </c>
      <c r="AA231" s="1078" t="s">
        <v>999</v>
      </c>
      <c r="AB231" s="1086" t="s">
        <v>22</v>
      </c>
      <c r="AC231" s="771">
        <f t="shared" si="65"/>
        <v>7.1799999999999988</v>
      </c>
      <c r="AD231" s="1078" t="s">
        <v>999</v>
      </c>
      <c r="AE231" s="1086" t="s">
        <v>22</v>
      </c>
      <c r="AF231" s="1230">
        <v>2</v>
      </c>
      <c r="AG231" s="1047">
        <v>612360</v>
      </c>
      <c r="AH231" s="774">
        <f t="shared" ref="AH231:AH250" si="67">+AF231*AG231</f>
        <v>1224720</v>
      </c>
      <c r="AI231" s="782" t="s">
        <v>999</v>
      </c>
      <c r="AJ231" s="1086" t="s">
        <v>22</v>
      </c>
      <c r="AK231" s="1201">
        <v>2</v>
      </c>
      <c r="AL231" s="1047">
        <v>612360</v>
      </c>
      <c r="AM231" s="774">
        <f t="shared" ref="AM231:AM250" si="68">+AK231*AL231</f>
        <v>1224720</v>
      </c>
    </row>
    <row r="232" spans="1:39" s="45" customFormat="1" ht="38.25">
      <c r="A232" s="586"/>
      <c r="B232" s="771">
        <f t="shared" si="63"/>
        <v>7.1899999999999986</v>
      </c>
      <c r="C232" s="782" t="s">
        <v>995</v>
      </c>
      <c r="D232" s="846" t="s">
        <v>22</v>
      </c>
      <c r="E232" s="791">
        <v>2</v>
      </c>
      <c r="F232" s="850">
        <v>521884</v>
      </c>
      <c r="G232" s="774">
        <f t="shared" si="66"/>
        <v>1043768</v>
      </c>
      <c r="H232" s="588"/>
      <c r="I232" s="587"/>
      <c r="J232" s="587"/>
      <c r="K232" s="587"/>
      <c r="L232" s="589"/>
      <c r="M232" s="590"/>
      <c r="N232" s="591"/>
      <c r="O232" s="95"/>
      <c r="P232" s="579"/>
      <c r="Q232" s="580"/>
      <c r="R232" s="580"/>
      <c r="S232" s="581"/>
      <c r="T232" s="582"/>
      <c r="U232" s="79"/>
      <c r="V232" s="621"/>
      <c r="W232" s="808"/>
      <c r="X232" s="45">
        <f t="shared" ref="X232:X237" si="69">1.16*1.1</f>
        <v>1.276</v>
      </c>
      <c r="Y232" s="44"/>
      <c r="Z232" s="868">
        <f t="shared" ref="Z232:Z237" si="70">+Y232*X232</f>
        <v>0</v>
      </c>
      <c r="AA232" s="1078" t="s">
        <v>995</v>
      </c>
      <c r="AB232" s="1087" t="s">
        <v>22</v>
      </c>
      <c r="AC232" s="771">
        <f t="shared" si="65"/>
        <v>7.1899999999999986</v>
      </c>
      <c r="AD232" s="1078" t="s">
        <v>995</v>
      </c>
      <c r="AE232" s="1087" t="s">
        <v>22</v>
      </c>
      <c r="AF232" s="1230">
        <v>2</v>
      </c>
      <c r="AG232" s="1047">
        <v>521884</v>
      </c>
      <c r="AH232" s="774">
        <f t="shared" si="67"/>
        <v>1043768</v>
      </c>
      <c r="AI232" s="782" t="s">
        <v>995</v>
      </c>
      <c r="AJ232" s="1087" t="s">
        <v>22</v>
      </c>
      <c r="AK232" s="1201">
        <v>2</v>
      </c>
      <c r="AL232" s="1047">
        <v>521884</v>
      </c>
      <c r="AM232" s="774">
        <f t="shared" si="68"/>
        <v>1043768</v>
      </c>
    </row>
    <row r="233" spans="1:39" s="45" customFormat="1" ht="25.5">
      <c r="A233" s="586"/>
      <c r="B233" s="771">
        <f t="shared" si="63"/>
        <v>7.1999999999999984</v>
      </c>
      <c r="C233" s="782" t="s">
        <v>1422</v>
      </c>
      <c r="D233" s="846" t="s">
        <v>22</v>
      </c>
      <c r="E233" s="791">
        <v>2</v>
      </c>
      <c r="F233" s="791">
        <v>323400</v>
      </c>
      <c r="G233" s="774">
        <f t="shared" si="66"/>
        <v>646800</v>
      </c>
      <c r="H233" s="588"/>
      <c r="I233" s="587"/>
      <c r="J233" s="587"/>
      <c r="K233" s="587"/>
      <c r="L233" s="589"/>
      <c r="M233" s="590"/>
      <c r="N233" s="591"/>
      <c r="O233" s="95"/>
      <c r="P233" s="579"/>
      <c r="Q233" s="580"/>
      <c r="R233" s="580"/>
      <c r="S233" s="581"/>
      <c r="T233" s="582"/>
      <c r="U233" s="79"/>
      <c r="V233" s="621"/>
      <c r="W233" s="808"/>
      <c r="Y233" s="44"/>
      <c r="Z233" s="868"/>
      <c r="AA233" s="1078" t="s">
        <v>1422</v>
      </c>
      <c r="AB233" s="1087" t="s">
        <v>22</v>
      </c>
      <c r="AC233" s="771">
        <f t="shared" si="65"/>
        <v>7.1999999999999984</v>
      </c>
      <c r="AD233" s="1078" t="s">
        <v>1422</v>
      </c>
      <c r="AE233" s="1087" t="s">
        <v>22</v>
      </c>
      <c r="AF233" s="1230">
        <v>2</v>
      </c>
      <c r="AG233" s="1047">
        <v>323400</v>
      </c>
      <c r="AH233" s="774">
        <f>+AF233*AG233</f>
        <v>646800</v>
      </c>
      <c r="AI233" s="782" t="s">
        <v>1422</v>
      </c>
      <c r="AJ233" s="1087" t="s">
        <v>22</v>
      </c>
      <c r="AK233" s="1201">
        <v>2</v>
      </c>
      <c r="AL233" s="1047">
        <v>323400</v>
      </c>
      <c r="AM233" s="774">
        <f>+AK233*AL233</f>
        <v>646800</v>
      </c>
    </row>
    <row r="234" spans="1:39" s="45" customFormat="1" ht="25.5">
      <c r="A234" s="586"/>
      <c r="B234" s="771">
        <f t="shared" si="63"/>
        <v>7.2099999999999982</v>
      </c>
      <c r="C234" s="782" t="s">
        <v>884</v>
      </c>
      <c r="D234" s="790" t="s">
        <v>22</v>
      </c>
      <c r="E234" s="791">
        <v>2</v>
      </c>
      <c r="F234" s="791">
        <v>1021960</v>
      </c>
      <c r="G234" s="774">
        <f t="shared" si="66"/>
        <v>2043920</v>
      </c>
      <c r="H234" s="588"/>
      <c r="I234" s="587"/>
      <c r="J234" s="587"/>
      <c r="K234" s="587"/>
      <c r="L234" s="589"/>
      <c r="M234" s="590"/>
      <c r="N234" s="591"/>
      <c r="O234" s="95"/>
      <c r="P234" s="579"/>
      <c r="Q234" s="580"/>
      <c r="R234" s="580"/>
      <c r="S234" s="581"/>
      <c r="T234" s="582"/>
      <c r="U234" s="79"/>
      <c r="V234" s="621"/>
      <c r="W234" s="808"/>
      <c r="X234" s="45">
        <f t="shared" si="69"/>
        <v>1.276</v>
      </c>
      <c r="Y234" s="44">
        <v>755000</v>
      </c>
      <c r="Z234" s="868">
        <f t="shared" si="70"/>
        <v>963380</v>
      </c>
      <c r="AA234" s="1062" t="s">
        <v>884</v>
      </c>
      <c r="AB234" s="1086" t="s">
        <v>22</v>
      </c>
      <c r="AC234" s="771">
        <f t="shared" si="65"/>
        <v>7.2099999999999982</v>
      </c>
      <c r="AD234" s="1062" t="s">
        <v>884</v>
      </c>
      <c r="AE234" s="1086" t="s">
        <v>22</v>
      </c>
      <c r="AF234" s="1230">
        <v>2</v>
      </c>
      <c r="AG234" s="1047">
        <v>1021960</v>
      </c>
      <c r="AH234" s="774">
        <f t="shared" si="67"/>
        <v>2043920</v>
      </c>
      <c r="AI234" s="782" t="s">
        <v>884</v>
      </c>
      <c r="AJ234" s="1086" t="s">
        <v>22</v>
      </c>
      <c r="AK234" s="1201">
        <v>2</v>
      </c>
      <c r="AL234" s="1047">
        <v>1021960</v>
      </c>
      <c r="AM234" s="774">
        <f t="shared" si="68"/>
        <v>2043920</v>
      </c>
    </row>
    <row r="235" spans="1:39" s="45" customFormat="1" ht="51">
      <c r="A235" s="586"/>
      <c r="B235" s="771">
        <f t="shared" si="63"/>
        <v>7.219999999999998</v>
      </c>
      <c r="C235" s="782" t="s">
        <v>1030</v>
      </c>
      <c r="D235" s="846" t="s">
        <v>22</v>
      </c>
      <c r="E235" s="791">
        <v>2</v>
      </c>
      <c r="F235" s="791">
        <v>3242316</v>
      </c>
      <c r="G235" s="774">
        <f t="shared" si="66"/>
        <v>6484632</v>
      </c>
      <c r="H235" s="588"/>
      <c r="I235" s="587"/>
      <c r="J235" s="587"/>
      <c r="K235" s="587"/>
      <c r="L235" s="589"/>
      <c r="M235" s="590"/>
      <c r="N235" s="591"/>
      <c r="O235" s="95"/>
      <c r="P235" s="579"/>
      <c r="Q235" s="580"/>
      <c r="R235" s="580"/>
      <c r="S235" s="581"/>
      <c r="T235" s="582"/>
      <c r="U235" s="79"/>
      <c r="V235" s="621"/>
      <c r="W235" s="808"/>
      <c r="X235" s="45">
        <f t="shared" si="69"/>
        <v>1.276</v>
      </c>
      <c r="Y235" s="44">
        <v>2541000</v>
      </c>
      <c r="Z235" s="883">
        <f t="shared" si="70"/>
        <v>3242316</v>
      </c>
      <c r="AA235" s="1062" t="s">
        <v>1030</v>
      </c>
      <c r="AB235" s="1087" t="s">
        <v>22</v>
      </c>
      <c r="AC235" s="771">
        <f t="shared" si="65"/>
        <v>7.219999999999998</v>
      </c>
      <c r="AD235" s="1062" t="s">
        <v>1030</v>
      </c>
      <c r="AE235" s="1087" t="s">
        <v>22</v>
      </c>
      <c r="AF235" s="1230">
        <v>2</v>
      </c>
      <c r="AG235" s="1047">
        <v>3242316</v>
      </c>
      <c r="AH235" s="774">
        <f t="shared" si="67"/>
        <v>6484632</v>
      </c>
      <c r="AI235" s="782" t="s">
        <v>1030</v>
      </c>
      <c r="AJ235" s="1087" t="s">
        <v>22</v>
      </c>
      <c r="AK235" s="1201">
        <v>2</v>
      </c>
      <c r="AL235" s="1047">
        <v>3242316</v>
      </c>
      <c r="AM235" s="774">
        <f t="shared" si="68"/>
        <v>6484632</v>
      </c>
    </row>
    <row r="236" spans="1:39" s="45" customFormat="1" ht="38.25">
      <c r="A236" s="586"/>
      <c r="B236" s="771">
        <f t="shared" si="63"/>
        <v>7.2299999999999978</v>
      </c>
      <c r="C236" s="1041" t="s">
        <v>881</v>
      </c>
      <c r="D236" s="846" t="s">
        <v>22</v>
      </c>
      <c r="E236" s="791">
        <v>2</v>
      </c>
      <c r="F236" s="791">
        <v>1621796</v>
      </c>
      <c r="G236" s="774">
        <f t="shared" si="66"/>
        <v>3243592</v>
      </c>
      <c r="H236" s="588"/>
      <c r="I236" s="587"/>
      <c r="J236" s="587"/>
      <c r="K236" s="587"/>
      <c r="L236" s="589"/>
      <c r="M236" s="590"/>
      <c r="N236" s="591"/>
      <c r="O236" s="95"/>
      <c r="P236" s="579"/>
      <c r="Q236" s="580"/>
      <c r="R236" s="580"/>
      <c r="S236" s="581"/>
      <c r="T236" s="582"/>
      <c r="U236" s="79"/>
      <c r="V236" s="621"/>
      <c r="W236" s="808"/>
      <c r="X236" s="45">
        <f t="shared" si="69"/>
        <v>1.276</v>
      </c>
      <c r="Y236" s="44">
        <v>1271000</v>
      </c>
      <c r="Z236" s="883">
        <f t="shared" si="70"/>
        <v>1621796</v>
      </c>
      <c r="AA236" s="1088" t="s">
        <v>881</v>
      </c>
      <c r="AB236" s="1087" t="s">
        <v>22</v>
      </c>
      <c r="AC236" s="771">
        <f t="shared" si="65"/>
        <v>7.2299999999999978</v>
      </c>
      <c r="AD236" s="1088" t="s">
        <v>881</v>
      </c>
      <c r="AE236" s="1087" t="s">
        <v>22</v>
      </c>
      <c r="AF236" s="1230">
        <v>2</v>
      </c>
      <c r="AG236" s="1047">
        <v>1621796</v>
      </c>
      <c r="AH236" s="774">
        <f t="shared" si="67"/>
        <v>3243592</v>
      </c>
      <c r="AI236" s="1249" t="s">
        <v>881</v>
      </c>
      <c r="AJ236" s="1087" t="s">
        <v>22</v>
      </c>
      <c r="AK236" s="1201">
        <v>2</v>
      </c>
      <c r="AL236" s="1047">
        <v>1621796</v>
      </c>
      <c r="AM236" s="774">
        <f t="shared" si="68"/>
        <v>3243592</v>
      </c>
    </row>
    <row r="237" spans="1:39" s="45" customFormat="1" ht="38.25">
      <c r="A237" s="586"/>
      <c r="B237" s="1252">
        <f t="shared" si="63"/>
        <v>7.2399999999999975</v>
      </c>
      <c r="C237" s="1041" t="s">
        <v>1029</v>
      </c>
      <c r="D237" s="846" t="s">
        <v>22</v>
      </c>
      <c r="E237" s="791">
        <v>2</v>
      </c>
      <c r="F237" s="791">
        <v>1096084</v>
      </c>
      <c r="G237" s="774">
        <f t="shared" si="66"/>
        <v>2192168</v>
      </c>
      <c r="H237" s="588"/>
      <c r="I237" s="587"/>
      <c r="J237" s="587"/>
      <c r="K237" s="587"/>
      <c r="L237" s="589"/>
      <c r="M237" s="590"/>
      <c r="N237" s="591"/>
      <c r="O237" s="95"/>
      <c r="P237" s="579"/>
      <c r="Q237" s="580"/>
      <c r="R237" s="580"/>
      <c r="S237" s="581"/>
      <c r="T237" s="582"/>
      <c r="U237" s="79"/>
      <c r="V237" s="621"/>
      <c r="W237" s="808"/>
      <c r="X237" s="45">
        <f t="shared" si="69"/>
        <v>1.276</v>
      </c>
      <c r="Y237" s="882">
        <v>859000</v>
      </c>
      <c r="Z237" s="868">
        <f t="shared" si="70"/>
        <v>1096084</v>
      </c>
      <c r="AA237" s="1088" t="s">
        <v>1029</v>
      </c>
      <c r="AB237" s="1087" t="s">
        <v>22</v>
      </c>
      <c r="AC237" s="771">
        <f t="shared" si="65"/>
        <v>7.2399999999999975</v>
      </c>
      <c r="AD237" s="1088" t="s">
        <v>1029</v>
      </c>
      <c r="AE237" s="1087" t="s">
        <v>22</v>
      </c>
      <c r="AF237" s="1230">
        <v>2</v>
      </c>
      <c r="AG237" s="1047">
        <v>1096084</v>
      </c>
      <c r="AH237" s="774">
        <f t="shared" si="67"/>
        <v>2192168</v>
      </c>
      <c r="AI237" s="1249" t="s">
        <v>1029</v>
      </c>
      <c r="AJ237" s="1087" t="s">
        <v>22</v>
      </c>
      <c r="AK237" s="1201">
        <v>2</v>
      </c>
      <c r="AL237" s="1047">
        <v>1096084</v>
      </c>
      <c r="AM237" s="774">
        <f t="shared" si="68"/>
        <v>2192168</v>
      </c>
    </row>
    <row r="238" spans="1:39" s="45" customFormat="1" ht="38.25">
      <c r="A238" s="586"/>
      <c r="B238" s="771">
        <f t="shared" si="63"/>
        <v>7.2499999999999973</v>
      </c>
      <c r="C238" s="782" t="s">
        <v>904</v>
      </c>
      <c r="D238" s="846" t="s">
        <v>22</v>
      </c>
      <c r="E238" s="782">
        <v>2</v>
      </c>
      <c r="F238" s="845">
        <v>10670</v>
      </c>
      <c r="G238" s="774">
        <f t="shared" si="66"/>
        <v>21340</v>
      </c>
      <c r="H238" s="588"/>
      <c r="I238" s="587"/>
      <c r="J238" s="587"/>
      <c r="K238" s="587"/>
      <c r="L238" s="589"/>
      <c r="M238" s="590"/>
      <c r="N238" s="591"/>
      <c r="O238" s="95"/>
      <c r="P238" s="579"/>
      <c r="Q238" s="580"/>
      <c r="R238" s="580"/>
      <c r="S238" s="581"/>
      <c r="T238" s="582"/>
      <c r="U238" s="79"/>
      <c r="V238" s="621"/>
      <c r="W238" s="808"/>
      <c r="X238" s="44"/>
      <c r="Y238" s="44"/>
      <c r="Z238" s="44"/>
      <c r="AA238" s="1062" t="s">
        <v>904</v>
      </c>
      <c r="AB238" s="1087" t="s">
        <v>22</v>
      </c>
      <c r="AC238" s="771">
        <f t="shared" si="65"/>
        <v>7.2499999999999973</v>
      </c>
      <c r="AD238" s="1062" t="s">
        <v>904</v>
      </c>
      <c r="AE238" s="1087" t="s">
        <v>22</v>
      </c>
      <c r="AF238" s="1229">
        <v>2</v>
      </c>
      <c r="AG238" s="1089">
        <v>10670</v>
      </c>
      <c r="AH238" s="774">
        <f t="shared" si="67"/>
        <v>21340</v>
      </c>
      <c r="AI238" s="782" t="s">
        <v>904</v>
      </c>
      <c r="AJ238" s="1087" t="s">
        <v>22</v>
      </c>
      <c r="AK238" s="1200">
        <v>2</v>
      </c>
      <c r="AL238" s="1089">
        <v>10670</v>
      </c>
      <c r="AM238" s="774">
        <f t="shared" si="68"/>
        <v>21340</v>
      </c>
    </row>
    <row r="239" spans="1:39" s="45" customFormat="1" ht="38.25">
      <c r="A239" s="586"/>
      <c r="B239" s="771">
        <f t="shared" si="63"/>
        <v>7.2599999999999971</v>
      </c>
      <c r="C239" s="782" t="s">
        <v>1423</v>
      </c>
      <c r="D239" s="846" t="s">
        <v>22</v>
      </c>
      <c r="E239" s="782">
        <v>2</v>
      </c>
      <c r="F239" s="845">
        <v>182000</v>
      </c>
      <c r="G239" s="774">
        <f t="shared" si="66"/>
        <v>364000</v>
      </c>
      <c r="H239" s="588"/>
      <c r="I239" s="587"/>
      <c r="J239" s="587"/>
      <c r="K239" s="587"/>
      <c r="L239" s="589"/>
      <c r="M239" s="590"/>
      <c r="N239" s="591"/>
      <c r="O239" s="95"/>
      <c r="P239" s="579"/>
      <c r="Q239" s="580"/>
      <c r="R239" s="580"/>
      <c r="S239" s="581"/>
      <c r="T239" s="582"/>
      <c r="U239" s="79"/>
      <c r="V239" s="621"/>
      <c r="W239" s="808"/>
      <c r="X239" s="44"/>
      <c r="Y239" s="44"/>
      <c r="Z239" s="44"/>
      <c r="AA239" s="1062" t="s">
        <v>1423</v>
      </c>
      <c r="AB239" s="1087" t="s">
        <v>22</v>
      </c>
      <c r="AC239" s="771">
        <f t="shared" si="65"/>
        <v>7.2599999999999971</v>
      </c>
      <c r="AD239" s="1062" t="s">
        <v>1423</v>
      </c>
      <c r="AE239" s="1087" t="s">
        <v>22</v>
      </c>
      <c r="AF239" s="1229">
        <v>2</v>
      </c>
      <c r="AG239" s="1089">
        <v>182000</v>
      </c>
      <c r="AH239" s="774">
        <f t="shared" si="67"/>
        <v>364000</v>
      </c>
      <c r="AI239" s="782" t="s">
        <v>1423</v>
      </c>
      <c r="AJ239" s="1087" t="s">
        <v>22</v>
      </c>
      <c r="AK239" s="1200">
        <v>2</v>
      </c>
      <c r="AL239" s="1089">
        <v>182000</v>
      </c>
      <c r="AM239" s="774">
        <f t="shared" si="68"/>
        <v>364000</v>
      </c>
    </row>
    <row r="240" spans="1:39" s="45" customFormat="1" ht="38.25">
      <c r="A240" s="586"/>
      <c r="B240" s="771">
        <f t="shared" si="63"/>
        <v>7.2699999999999969</v>
      </c>
      <c r="C240" s="782" t="s">
        <v>996</v>
      </c>
      <c r="D240" s="772" t="s">
        <v>500</v>
      </c>
      <c r="E240" s="587">
        <v>16</v>
      </c>
      <c r="F240" s="845">
        <v>21516</v>
      </c>
      <c r="G240" s="774">
        <f t="shared" si="66"/>
        <v>344256</v>
      </c>
      <c r="H240" s="588"/>
      <c r="I240" s="587"/>
      <c r="J240" s="587"/>
      <c r="K240" s="587"/>
      <c r="L240" s="589"/>
      <c r="M240" s="590"/>
      <c r="N240" s="591"/>
      <c r="O240" s="95"/>
      <c r="P240" s="579"/>
      <c r="Q240" s="580"/>
      <c r="R240" s="580"/>
      <c r="S240" s="581"/>
      <c r="T240" s="582"/>
      <c r="U240" s="79"/>
      <c r="V240" s="621"/>
      <c r="W240" s="808"/>
      <c r="X240" s="44"/>
      <c r="Y240" s="44"/>
      <c r="Z240" s="44"/>
      <c r="AA240" s="1062" t="s">
        <v>996</v>
      </c>
      <c r="AB240" s="772" t="s">
        <v>500</v>
      </c>
      <c r="AC240" s="771">
        <f t="shared" si="65"/>
        <v>7.2699999999999969</v>
      </c>
      <c r="AD240" s="1062" t="s">
        <v>996</v>
      </c>
      <c r="AE240" s="772" t="s">
        <v>500</v>
      </c>
      <c r="AF240" s="1230">
        <v>16</v>
      </c>
      <c r="AG240" s="1089">
        <v>21516</v>
      </c>
      <c r="AH240" s="774">
        <f t="shared" si="67"/>
        <v>344256</v>
      </c>
      <c r="AI240" s="782" t="s">
        <v>996</v>
      </c>
      <c r="AJ240" s="772" t="s">
        <v>500</v>
      </c>
      <c r="AK240" s="1201">
        <v>16</v>
      </c>
      <c r="AL240" s="1089">
        <v>21516</v>
      </c>
      <c r="AM240" s="774">
        <f t="shared" si="68"/>
        <v>344256</v>
      </c>
    </row>
    <row r="241" spans="1:39" s="45" customFormat="1" ht="51">
      <c r="A241" s="586"/>
      <c r="B241" s="771">
        <f t="shared" si="63"/>
        <v>7.2799999999999967</v>
      </c>
      <c r="C241" s="782" t="s">
        <v>1425</v>
      </c>
      <c r="D241" s="846" t="s">
        <v>22</v>
      </c>
      <c r="E241" s="782">
        <v>31</v>
      </c>
      <c r="F241" s="845">
        <v>10670</v>
      </c>
      <c r="G241" s="774">
        <f t="shared" si="66"/>
        <v>330770</v>
      </c>
      <c r="H241" s="588"/>
      <c r="I241" s="587"/>
      <c r="J241" s="587"/>
      <c r="K241" s="587"/>
      <c r="L241" s="589"/>
      <c r="M241" s="590"/>
      <c r="N241" s="591"/>
      <c r="O241" s="95"/>
      <c r="P241" s="579"/>
      <c r="Q241" s="580"/>
      <c r="R241" s="580"/>
      <c r="S241" s="581"/>
      <c r="T241" s="582"/>
      <c r="U241" s="79"/>
      <c r="V241" s="621"/>
      <c r="W241" s="808"/>
      <c r="X241" s="44"/>
      <c r="Y241" s="44"/>
      <c r="Z241" s="44"/>
      <c r="AA241" s="1062" t="s">
        <v>1425</v>
      </c>
      <c r="AB241" s="1087" t="s">
        <v>22</v>
      </c>
      <c r="AC241" s="771">
        <f t="shared" si="65"/>
        <v>7.2799999999999967</v>
      </c>
      <c r="AD241" s="1062" t="s">
        <v>1425</v>
      </c>
      <c r="AE241" s="1087" t="s">
        <v>22</v>
      </c>
      <c r="AF241" s="1229">
        <v>31</v>
      </c>
      <c r="AG241" s="1089">
        <v>10670</v>
      </c>
      <c r="AH241" s="774">
        <f t="shared" si="67"/>
        <v>330770</v>
      </c>
      <c r="AI241" s="782" t="s">
        <v>1425</v>
      </c>
      <c r="AJ241" s="1087" t="s">
        <v>22</v>
      </c>
      <c r="AK241" s="1200">
        <v>31</v>
      </c>
      <c r="AL241" s="1089">
        <v>10670</v>
      </c>
      <c r="AM241" s="774">
        <f t="shared" si="68"/>
        <v>330770</v>
      </c>
    </row>
    <row r="242" spans="1:39" s="45" customFormat="1" ht="38.25">
      <c r="A242" s="586"/>
      <c r="B242" s="771">
        <f t="shared" si="63"/>
        <v>7.2899999999999965</v>
      </c>
      <c r="C242" s="782" t="s">
        <v>1429</v>
      </c>
      <c r="D242" s="846" t="s">
        <v>22</v>
      </c>
      <c r="E242" s="782">
        <v>3</v>
      </c>
      <c r="F242" s="845">
        <v>113600</v>
      </c>
      <c r="G242" s="774">
        <f t="shared" si="66"/>
        <v>340800</v>
      </c>
      <c r="H242" s="588"/>
      <c r="I242" s="587"/>
      <c r="J242" s="587"/>
      <c r="K242" s="587"/>
      <c r="L242" s="589"/>
      <c r="M242" s="590"/>
      <c r="N242" s="591"/>
      <c r="O242" s="95"/>
      <c r="P242" s="579"/>
      <c r="Q242" s="580"/>
      <c r="R242" s="580"/>
      <c r="S242" s="581"/>
      <c r="T242" s="582"/>
      <c r="U242" s="79"/>
      <c r="V242" s="621"/>
      <c r="W242" s="808"/>
      <c r="X242" s="44"/>
      <c r="Y242" s="44"/>
      <c r="Z242" s="44"/>
      <c r="AA242" s="1062" t="s">
        <v>1429</v>
      </c>
      <c r="AB242" s="1087" t="s">
        <v>22</v>
      </c>
      <c r="AC242" s="771">
        <f t="shared" si="65"/>
        <v>7.2899999999999965</v>
      </c>
      <c r="AD242" s="1062" t="s">
        <v>1429</v>
      </c>
      <c r="AE242" s="1087" t="s">
        <v>22</v>
      </c>
      <c r="AF242" s="1229">
        <v>3</v>
      </c>
      <c r="AG242" s="1089">
        <v>113600</v>
      </c>
      <c r="AH242" s="774">
        <f>+AF242*AG242</f>
        <v>340800</v>
      </c>
      <c r="AI242" s="782" t="s">
        <v>1429</v>
      </c>
      <c r="AJ242" s="1087" t="s">
        <v>22</v>
      </c>
      <c r="AK242" s="1200">
        <v>3</v>
      </c>
      <c r="AL242" s="1089">
        <v>113600</v>
      </c>
      <c r="AM242" s="774">
        <f>+AK242*AL242</f>
        <v>340800</v>
      </c>
    </row>
    <row r="243" spans="1:39" s="45" customFormat="1" ht="38.25">
      <c r="A243" s="586"/>
      <c r="B243" s="771">
        <f t="shared" si="63"/>
        <v>7.2999999999999963</v>
      </c>
      <c r="C243" s="782" t="s">
        <v>1430</v>
      </c>
      <c r="D243" s="846" t="s">
        <v>22</v>
      </c>
      <c r="E243" s="782">
        <v>3</v>
      </c>
      <c r="F243" s="845">
        <v>85700</v>
      </c>
      <c r="G243" s="774">
        <f t="shared" si="66"/>
        <v>257100</v>
      </c>
      <c r="H243" s="588"/>
      <c r="I243" s="587"/>
      <c r="J243" s="587"/>
      <c r="K243" s="587"/>
      <c r="L243" s="589"/>
      <c r="M243" s="590"/>
      <c r="N243" s="591"/>
      <c r="O243" s="95"/>
      <c r="P243" s="579"/>
      <c r="Q243" s="580"/>
      <c r="R243" s="580"/>
      <c r="S243" s="581"/>
      <c r="T243" s="582"/>
      <c r="U243" s="79"/>
      <c r="V243" s="621"/>
      <c r="W243" s="808"/>
      <c r="X243" s="44"/>
      <c r="Y243" s="44"/>
      <c r="Z243" s="44"/>
      <c r="AA243" s="1062" t="s">
        <v>1430</v>
      </c>
      <c r="AB243" s="1087" t="s">
        <v>22</v>
      </c>
      <c r="AC243" s="771">
        <f t="shared" si="65"/>
        <v>7.2999999999999963</v>
      </c>
      <c r="AD243" s="1062" t="s">
        <v>1430</v>
      </c>
      <c r="AE243" s="1087" t="s">
        <v>22</v>
      </c>
      <c r="AF243" s="1229">
        <v>3</v>
      </c>
      <c r="AG243" s="1089">
        <v>85700</v>
      </c>
      <c r="AH243" s="774">
        <f>+AF243*AG243</f>
        <v>257100</v>
      </c>
      <c r="AI243" s="782" t="s">
        <v>1430</v>
      </c>
      <c r="AJ243" s="1087" t="s">
        <v>22</v>
      </c>
      <c r="AK243" s="1200">
        <v>3</v>
      </c>
      <c r="AL243" s="1089">
        <v>85700</v>
      </c>
      <c r="AM243" s="774">
        <f>+AK243*AL243</f>
        <v>257100</v>
      </c>
    </row>
    <row r="244" spans="1:39" s="45" customFormat="1" ht="38.25">
      <c r="A244" s="586"/>
      <c r="B244" s="771">
        <f t="shared" si="63"/>
        <v>7.3099999999999961</v>
      </c>
      <c r="C244" s="782" t="s">
        <v>1426</v>
      </c>
      <c r="D244" s="846" t="s">
        <v>22</v>
      </c>
      <c r="E244" s="782">
        <v>1</v>
      </c>
      <c r="F244" s="845">
        <v>115000</v>
      </c>
      <c r="G244" s="774">
        <f t="shared" si="66"/>
        <v>115000</v>
      </c>
      <c r="H244" s="588"/>
      <c r="I244" s="587"/>
      <c r="J244" s="587"/>
      <c r="K244" s="587"/>
      <c r="L244" s="589"/>
      <c r="M244" s="590"/>
      <c r="N244" s="591"/>
      <c r="O244" s="95"/>
      <c r="P244" s="579"/>
      <c r="Q244" s="580"/>
      <c r="R244" s="580"/>
      <c r="S244" s="581"/>
      <c r="T244" s="582"/>
      <c r="U244" s="79"/>
      <c r="V244" s="621"/>
      <c r="W244" s="808"/>
      <c r="X244" s="44"/>
      <c r="Y244" s="44"/>
      <c r="Z244" s="44"/>
      <c r="AA244" s="1062" t="s">
        <v>1426</v>
      </c>
      <c r="AB244" s="1087" t="s">
        <v>22</v>
      </c>
      <c r="AC244" s="771">
        <f t="shared" si="65"/>
        <v>7.3099999999999961</v>
      </c>
      <c r="AD244" s="1062" t="s">
        <v>1426</v>
      </c>
      <c r="AE244" s="1087" t="s">
        <v>22</v>
      </c>
      <c r="AF244" s="1229">
        <v>1</v>
      </c>
      <c r="AG244" s="1089">
        <v>115000</v>
      </c>
      <c r="AH244" s="774">
        <f>+AF244*AG244</f>
        <v>115000</v>
      </c>
      <c r="AI244" s="782" t="s">
        <v>1426</v>
      </c>
      <c r="AJ244" s="1087" t="s">
        <v>22</v>
      </c>
      <c r="AK244" s="1200">
        <v>1</v>
      </c>
      <c r="AL244" s="1089">
        <v>115000</v>
      </c>
      <c r="AM244" s="774">
        <f>+AK244*AL244</f>
        <v>115000</v>
      </c>
    </row>
    <row r="245" spans="1:39" s="45" customFormat="1" ht="25.5">
      <c r="A245" s="586"/>
      <c r="B245" s="1252">
        <f t="shared" si="63"/>
        <v>7.3199999999999958</v>
      </c>
      <c r="C245" s="782" t="s">
        <v>1431</v>
      </c>
      <c r="D245" s="846" t="s">
        <v>500</v>
      </c>
      <c r="E245" s="782">
        <v>76</v>
      </c>
      <c r="F245" s="1153">
        <v>48740</v>
      </c>
      <c r="G245" s="774">
        <f t="shared" si="66"/>
        <v>3704240</v>
      </c>
      <c r="H245" s="588"/>
      <c r="I245" s="587"/>
      <c r="J245" s="587"/>
      <c r="K245" s="587"/>
      <c r="L245" s="589"/>
      <c r="M245" s="590"/>
      <c r="N245" s="591"/>
      <c r="O245" s="95"/>
      <c r="P245" s="579"/>
      <c r="Q245" s="580"/>
      <c r="R245" s="580"/>
      <c r="S245" s="581"/>
      <c r="T245" s="582"/>
      <c r="U245" s="79"/>
      <c r="V245" s="621"/>
      <c r="W245" s="808"/>
      <c r="X245" s="44"/>
      <c r="Y245" s="44"/>
      <c r="Z245" s="44"/>
      <c r="AA245" s="1062" t="s">
        <v>1431</v>
      </c>
      <c r="AB245" s="1087" t="s">
        <v>500</v>
      </c>
      <c r="AC245" s="771">
        <f t="shared" si="65"/>
        <v>7.3199999999999958</v>
      </c>
      <c r="AD245" s="1062" t="s">
        <v>1431</v>
      </c>
      <c r="AE245" s="1087" t="s">
        <v>500</v>
      </c>
      <c r="AF245" s="1229">
        <v>76</v>
      </c>
      <c r="AG245" s="1089">
        <v>48740</v>
      </c>
      <c r="AH245" s="774">
        <f>+AF245*AG245</f>
        <v>3704240</v>
      </c>
      <c r="AI245" s="782" t="s">
        <v>1431</v>
      </c>
      <c r="AJ245" s="1087" t="s">
        <v>500</v>
      </c>
      <c r="AK245" s="1200">
        <v>76</v>
      </c>
      <c r="AL245" s="1089">
        <v>48740</v>
      </c>
      <c r="AM245" s="774">
        <f>+AK245*AL245</f>
        <v>3704240</v>
      </c>
    </row>
    <row r="246" spans="1:39" s="45" customFormat="1" ht="38.25">
      <c r="A246" s="586"/>
      <c r="B246" s="771">
        <f t="shared" si="63"/>
        <v>7.3299999999999956</v>
      </c>
      <c r="C246" s="782" t="s">
        <v>1424</v>
      </c>
      <c r="D246" s="846" t="s">
        <v>56</v>
      </c>
      <c r="E246" s="782">
        <v>0.3</v>
      </c>
      <c r="F246" s="845">
        <v>6000</v>
      </c>
      <c r="G246" s="774">
        <f t="shared" si="66"/>
        <v>1800</v>
      </c>
      <c r="H246" s="588"/>
      <c r="I246" s="587"/>
      <c r="J246" s="587"/>
      <c r="K246" s="587"/>
      <c r="L246" s="589"/>
      <c r="M246" s="590"/>
      <c r="N246" s="591"/>
      <c r="O246" s="95"/>
      <c r="P246" s="579"/>
      <c r="Q246" s="580"/>
      <c r="R246" s="580"/>
      <c r="S246" s="581"/>
      <c r="T246" s="582"/>
      <c r="U246" s="79"/>
      <c r="V246" s="621"/>
      <c r="W246" s="808"/>
      <c r="X246" s="44"/>
      <c r="Y246" s="44"/>
      <c r="Z246" s="44"/>
      <c r="AA246" s="1062" t="s">
        <v>1424</v>
      </c>
      <c r="AB246" s="1087" t="s">
        <v>56</v>
      </c>
      <c r="AC246" s="771">
        <f t="shared" si="65"/>
        <v>7.3299999999999956</v>
      </c>
      <c r="AD246" s="1062" t="s">
        <v>1424</v>
      </c>
      <c r="AE246" s="1087" t="s">
        <v>56</v>
      </c>
      <c r="AF246" s="1229">
        <v>0.3</v>
      </c>
      <c r="AG246" s="1089">
        <v>6000</v>
      </c>
      <c r="AH246" s="774">
        <f t="shared" si="67"/>
        <v>1800</v>
      </c>
      <c r="AI246" s="782" t="s">
        <v>1424</v>
      </c>
      <c r="AJ246" s="1087" t="s">
        <v>56</v>
      </c>
      <c r="AK246" s="1200">
        <v>0.3</v>
      </c>
      <c r="AL246" s="1089">
        <v>6000</v>
      </c>
      <c r="AM246" s="774">
        <f t="shared" si="68"/>
        <v>1800</v>
      </c>
    </row>
    <row r="247" spans="1:39" s="45" customFormat="1" ht="76.5">
      <c r="A247" s="586"/>
      <c r="B247" s="771">
        <f t="shared" si="63"/>
        <v>7.3399999999999954</v>
      </c>
      <c r="C247" s="102" t="s">
        <v>1018</v>
      </c>
      <c r="D247" s="772" t="s">
        <v>22</v>
      </c>
      <c r="E247" s="780">
        <v>42</v>
      </c>
      <c r="F247" s="858">
        <v>30550</v>
      </c>
      <c r="G247" s="774">
        <f t="shared" si="66"/>
        <v>1283100</v>
      </c>
      <c r="H247" s="588"/>
      <c r="I247" s="587"/>
      <c r="J247" s="587"/>
      <c r="K247" s="587"/>
      <c r="L247" s="589"/>
      <c r="M247" s="590"/>
      <c r="N247" s="591"/>
      <c r="O247" s="95"/>
      <c r="P247" s="579"/>
      <c r="Q247" s="580"/>
      <c r="R247" s="580"/>
      <c r="S247" s="581"/>
      <c r="T247" s="582"/>
      <c r="U247" s="79"/>
      <c r="V247" s="621"/>
      <c r="Y247" s="44"/>
      <c r="Z247" s="44"/>
      <c r="AA247" s="102" t="s">
        <v>1018</v>
      </c>
      <c r="AB247" s="772" t="s">
        <v>22</v>
      </c>
      <c r="AC247" s="771">
        <f t="shared" si="65"/>
        <v>7.3399999999999954</v>
      </c>
      <c r="AD247" s="102" t="s">
        <v>1018</v>
      </c>
      <c r="AE247" s="772" t="s">
        <v>22</v>
      </c>
      <c r="AF247" s="1222">
        <v>42</v>
      </c>
      <c r="AG247" s="858">
        <v>30550</v>
      </c>
      <c r="AH247" s="774">
        <f t="shared" si="67"/>
        <v>1283100</v>
      </c>
      <c r="AI247" s="782" t="s">
        <v>1018</v>
      </c>
      <c r="AJ247" s="772" t="s">
        <v>22</v>
      </c>
      <c r="AK247" s="1193">
        <v>42</v>
      </c>
      <c r="AL247" s="858">
        <v>30550</v>
      </c>
      <c r="AM247" s="774">
        <f t="shared" si="68"/>
        <v>1283100</v>
      </c>
    </row>
    <row r="248" spans="1:39" s="45" customFormat="1" ht="25.5">
      <c r="A248" s="586"/>
      <c r="B248" s="771">
        <f t="shared" si="63"/>
        <v>7.3499999999999952</v>
      </c>
      <c r="C248" s="102" t="s">
        <v>1432</v>
      </c>
      <c r="D248" s="772" t="s">
        <v>22</v>
      </c>
      <c r="E248" s="780">
        <v>4</v>
      </c>
      <c r="F248" s="858">
        <v>580000</v>
      </c>
      <c r="G248" s="774">
        <f t="shared" si="66"/>
        <v>2320000</v>
      </c>
      <c r="H248" s="588"/>
      <c r="I248" s="587"/>
      <c r="J248" s="587"/>
      <c r="K248" s="587"/>
      <c r="L248" s="589"/>
      <c r="M248" s="590"/>
      <c r="N248" s="591"/>
      <c r="O248" s="95"/>
      <c r="P248" s="579"/>
      <c r="Q248" s="580"/>
      <c r="R248" s="580"/>
      <c r="S248" s="581"/>
      <c r="T248" s="582"/>
      <c r="U248" s="79"/>
      <c r="V248" s="621"/>
      <c r="Y248" s="44"/>
      <c r="Z248" s="44"/>
      <c r="AA248" s="102" t="s">
        <v>1432</v>
      </c>
      <c r="AB248" s="772" t="s">
        <v>22</v>
      </c>
      <c r="AC248" s="771">
        <f t="shared" si="65"/>
        <v>7.3499999999999952</v>
      </c>
      <c r="AD248" s="102" t="s">
        <v>1432</v>
      </c>
      <c r="AE248" s="772" t="s">
        <v>22</v>
      </c>
      <c r="AF248" s="1222">
        <v>4</v>
      </c>
      <c r="AG248" s="858">
        <v>580000</v>
      </c>
      <c r="AH248" s="774">
        <f t="shared" si="67"/>
        <v>2320000</v>
      </c>
      <c r="AI248" s="782" t="s">
        <v>1432</v>
      </c>
      <c r="AJ248" s="772" t="s">
        <v>22</v>
      </c>
      <c r="AK248" s="1193">
        <v>4</v>
      </c>
      <c r="AL248" s="858">
        <v>580000</v>
      </c>
      <c r="AM248" s="774">
        <f t="shared" si="68"/>
        <v>2320000</v>
      </c>
    </row>
    <row r="249" spans="1:39" s="45" customFormat="1" ht="76.5">
      <c r="A249" s="586"/>
      <c r="B249" s="771">
        <f t="shared" si="63"/>
        <v>7.359999999999995</v>
      </c>
      <c r="C249" s="102" t="s">
        <v>1433</v>
      </c>
      <c r="D249" s="772" t="s">
        <v>22</v>
      </c>
      <c r="E249" s="780">
        <v>4</v>
      </c>
      <c r="F249" s="858">
        <v>620000</v>
      </c>
      <c r="G249" s="774">
        <f t="shared" si="66"/>
        <v>2480000</v>
      </c>
      <c r="H249" s="588"/>
      <c r="I249" s="587"/>
      <c r="J249" s="587"/>
      <c r="K249" s="587"/>
      <c r="L249" s="589"/>
      <c r="M249" s="590"/>
      <c r="N249" s="591"/>
      <c r="O249" s="95"/>
      <c r="P249" s="579"/>
      <c r="Q249" s="580"/>
      <c r="R249" s="580"/>
      <c r="S249" s="581"/>
      <c r="T249" s="582"/>
      <c r="U249" s="79"/>
      <c r="V249" s="621"/>
      <c r="Y249" s="44"/>
      <c r="Z249" s="44"/>
      <c r="AA249" s="102" t="s">
        <v>1433</v>
      </c>
      <c r="AB249" s="772" t="s">
        <v>22</v>
      </c>
      <c r="AC249" s="771">
        <f t="shared" si="65"/>
        <v>7.359999999999995</v>
      </c>
      <c r="AD249" s="102" t="s">
        <v>1433</v>
      </c>
      <c r="AE249" s="772" t="s">
        <v>22</v>
      </c>
      <c r="AF249" s="1222">
        <v>4</v>
      </c>
      <c r="AG249" s="858">
        <v>620000</v>
      </c>
      <c r="AH249" s="774">
        <f t="shared" si="67"/>
        <v>2480000</v>
      </c>
      <c r="AI249" s="782" t="s">
        <v>1433</v>
      </c>
      <c r="AJ249" s="772" t="s">
        <v>22</v>
      </c>
      <c r="AK249" s="1193">
        <v>4</v>
      </c>
      <c r="AL249" s="858">
        <v>620000</v>
      </c>
      <c r="AM249" s="774">
        <f t="shared" si="68"/>
        <v>2480000</v>
      </c>
    </row>
    <row r="250" spans="1:39" s="45" customFormat="1" ht="51">
      <c r="A250" s="586"/>
      <c r="B250" s="771">
        <f t="shared" si="63"/>
        <v>7.3699999999999948</v>
      </c>
      <c r="C250" s="102" t="s">
        <v>1427</v>
      </c>
      <c r="D250" s="772" t="s">
        <v>22</v>
      </c>
      <c r="E250" s="780">
        <v>2</v>
      </c>
      <c r="F250" s="858">
        <v>4950000</v>
      </c>
      <c r="G250" s="774">
        <f t="shared" si="66"/>
        <v>9900000</v>
      </c>
      <c r="H250" s="588"/>
      <c r="I250" s="587"/>
      <c r="J250" s="587"/>
      <c r="K250" s="587"/>
      <c r="L250" s="589"/>
      <c r="M250" s="590"/>
      <c r="N250" s="591"/>
      <c r="O250" s="95"/>
      <c r="P250" s="579"/>
      <c r="Q250" s="580"/>
      <c r="R250" s="580"/>
      <c r="S250" s="581"/>
      <c r="T250" s="582"/>
      <c r="U250" s="79"/>
      <c r="V250" s="621"/>
      <c r="Y250" s="44"/>
      <c r="Z250" s="44"/>
      <c r="AA250" s="102" t="s">
        <v>1427</v>
      </c>
      <c r="AB250" s="772" t="s">
        <v>22</v>
      </c>
      <c r="AC250" s="771">
        <f t="shared" si="65"/>
        <v>7.3699999999999948</v>
      </c>
      <c r="AD250" s="102" t="s">
        <v>1427</v>
      </c>
      <c r="AE250" s="772" t="s">
        <v>22</v>
      </c>
      <c r="AF250" s="1222">
        <v>2</v>
      </c>
      <c r="AG250" s="858">
        <v>4950000</v>
      </c>
      <c r="AH250" s="774">
        <f t="shared" si="67"/>
        <v>9900000</v>
      </c>
      <c r="AI250" s="782" t="s">
        <v>1427</v>
      </c>
      <c r="AJ250" s="772" t="s">
        <v>22</v>
      </c>
      <c r="AK250" s="1193">
        <v>2</v>
      </c>
      <c r="AL250" s="858">
        <v>4950000</v>
      </c>
      <c r="AM250" s="774">
        <f t="shared" si="68"/>
        <v>9900000</v>
      </c>
    </row>
    <row r="251" spans="1:39" s="45" customFormat="1" ht="15.75" thickBot="1">
      <c r="A251" s="586"/>
      <c r="B251" s="771"/>
      <c r="D251" s="772"/>
      <c r="E251" s="780"/>
      <c r="F251" s="25"/>
      <c r="G251" s="774"/>
      <c r="H251" s="588"/>
      <c r="I251" s="587"/>
      <c r="J251" s="587"/>
      <c r="K251" s="587"/>
      <c r="L251" s="589"/>
      <c r="M251" s="590"/>
      <c r="N251" s="591"/>
      <c r="O251" s="95"/>
      <c r="P251" s="579"/>
      <c r="Q251" s="580"/>
      <c r="R251" s="580"/>
      <c r="S251" s="581"/>
      <c r="T251" s="582"/>
      <c r="U251" s="79"/>
      <c r="V251" s="621"/>
      <c r="W251" s="808"/>
      <c r="X251" s="44"/>
      <c r="Y251" s="44"/>
      <c r="Z251" s="44"/>
      <c r="AB251" s="772"/>
      <c r="AC251" s="771"/>
      <c r="AE251" s="772"/>
      <c r="AF251" s="1222"/>
      <c r="AG251" s="575"/>
      <c r="AH251" s="774"/>
      <c r="AI251" s="1064"/>
      <c r="AJ251" s="1065"/>
      <c r="AK251" s="1193"/>
      <c r="AL251" s="575"/>
      <c r="AM251" s="774"/>
    </row>
    <row r="252" spans="1:39" s="45" customFormat="1" ht="15.75" thickBot="1">
      <c r="A252" s="586"/>
      <c r="B252" s="114"/>
      <c r="C252" s="114"/>
      <c r="D252" s="115"/>
      <c r="E252" s="116"/>
      <c r="F252" s="117" t="s">
        <v>970</v>
      </c>
      <c r="G252" s="118">
        <f>SUM(G225:G251)</f>
        <v>109733796</v>
      </c>
      <c r="H252" s="588"/>
      <c r="I252" s="587"/>
      <c r="J252" s="587"/>
      <c r="K252" s="587"/>
      <c r="L252" s="589"/>
      <c r="M252" s="590"/>
      <c r="N252" s="591"/>
      <c r="O252" s="95"/>
      <c r="P252" s="579"/>
      <c r="Q252" s="580"/>
      <c r="R252" s="580"/>
      <c r="S252" s="581"/>
      <c r="T252" s="582"/>
      <c r="U252" s="79"/>
      <c r="V252" s="621"/>
      <c r="W252" s="808"/>
      <c r="X252" s="44"/>
      <c r="Y252" s="44"/>
      <c r="Z252" s="44"/>
      <c r="AA252" s="1064"/>
      <c r="AB252" s="1065"/>
      <c r="AC252" s="1064"/>
      <c r="AD252" s="1064"/>
      <c r="AE252" s="1065"/>
      <c r="AF252" s="1227"/>
      <c r="AG252" s="1073" t="s">
        <v>970</v>
      </c>
      <c r="AH252" s="1117">
        <f>SUM(AH225:AH251)</f>
        <v>109733796</v>
      </c>
      <c r="AI252" s="102"/>
      <c r="AJ252" s="772"/>
      <c r="AK252" s="1198"/>
      <c r="AL252" s="1073" t="s">
        <v>970</v>
      </c>
      <c r="AM252" s="1117">
        <f>SUM(AM225:AM251)</f>
        <v>109733796</v>
      </c>
    </row>
    <row r="253" spans="1:39" s="45" customFormat="1" ht="15.75" thickBot="1">
      <c r="A253" s="586"/>
      <c r="B253" s="771"/>
      <c r="C253" s="102"/>
      <c r="D253" s="772"/>
      <c r="E253" s="780"/>
      <c r="F253" s="587"/>
      <c r="G253" s="774"/>
      <c r="H253" s="588"/>
      <c r="I253" s="587"/>
      <c r="J253" s="587"/>
      <c r="K253" s="587"/>
      <c r="L253" s="589"/>
      <c r="M253" s="590"/>
      <c r="N253" s="591"/>
      <c r="O253" s="95"/>
      <c r="P253" s="579"/>
      <c r="Q253" s="580"/>
      <c r="R253" s="580"/>
      <c r="S253" s="581"/>
      <c r="T253" s="582"/>
      <c r="U253" s="79"/>
      <c r="V253" s="621"/>
      <c r="W253" s="808"/>
      <c r="X253" s="44"/>
      <c r="Y253" s="44"/>
      <c r="Z253" s="44"/>
      <c r="AA253" s="102"/>
      <c r="AB253" s="772"/>
      <c r="AC253" s="771"/>
      <c r="AD253" s="102"/>
      <c r="AE253" s="772"/>
      <c r="AF253" s="1222"/>
      <c r="AG253" s="587"/>
      <c r="AH253" s="774"/>
      <c r="AI253" s="1074"/>
      <c r="AJ253" s="1075"/>
      <c r="AK253" s="1193"/>
      <c r="AL253" s="587"/>
      <c r="AM253" s="774"/>
    </row>
    <row r="254" spans="1:39" s="45" customFormat="1" ht="15.75" thickBot="1">
      <c r="A254" s="127" t="s">
        <v>82</v>
      </c>
      <c r="B254" s="871"/>
      <c r="C254" s="871"/>
      <c r="D254" s="873"/>
      <c r="E254" s="874"/>
      <c r="F254" s="1180" t="s">
        <v>971</v>
      </c>
      <c r="G254" s="1004">
        <f>+G222+G252</f>
        <v>454458223</v>
      </c>
      <c r="H254" s="576">
        <v>38048</v>
      </c>
      <c r="I254" s="25">
        <v>50520</v>
      </c>
      <c r="J254" s="25">
        <v>1</v>
      </c>
      <c r="K254" s="25">
        <v>1</v>
      </c>
      <c r="L254" s="28">
        <v>8083200</v>
      </c>
      <c r="M254" s="29">
        <v>6087680</v>
      </c>
      <c r="N254" s="29">
        <v>6087680</v>
      </c>
      <c r="O254" s="95"/>
      <c r="P254" s="96"/>
      <c r="Q254" s="97">
        <v>36283</v>
      </c>
      <c r="R254" s="97">
        <v>725664</v>
      </c>
      <c r="S254" s="98">
        <v>5325664</v>
      </c>
      <c r="T254" s="99"/>
      <c r="U254" s="79"/>
      <c r="V254" s="621">
        <v>48</v>
      </c>
      <c r="W254" s="808"/>
      <c r="X254" s="44"/>
      <c r="Y254" s="44"/>
      <c r="Z254" s="44"/>
      <c r="AA254" s="1074"/>
      <c r="AB254" s="1075"/>
      <c r="AC254" s="1074"/>
      <c r="AD254" s="1074"/>
      <c r="AE254" s="1075"/>
      <c r="AF254" s="1227"/>
      <c r="AG254" s="1181" t="s">
        <v>971</v>
      </c>
      <c r="AH254" s="1115">
        <f>+AH222+AH252</f>
        <v>458875643</v>
      </c>
      <c r="AI254" s="593"/>
      <c r="AJ254" s="827"/>
      <c r="AK254" s="1198"/>
      <c r="AL254" s="1181" t="s">
        <v>971</v>
      </c>
      <c r="AM254" s="1115">
        <f>+AM222+AM252</f>
        <v>454458223</v>
      </c>
    </row>
    <row r="255" spans="1:39" s="45" customFormat="1" ht="15.75" thickBot="1">
      <c r="A255" s="143">
        <v>210134</v>
      </c>
      <c r="B255" s="139"/>
      <c r="C255" s="140"/>
      <c r="D255" s="141"/>
      <c r="E255" s="142"/>
      <c r="F255" s="25"/>
      <c r="G255" s="792">
        <f t="shared" ref="G255" si="71">+F255*E255</f>
        <v>0</v>
      </c>
      <c r="H255" s="576">
        <v>827142</v>
      </c>
      <c r="I255" s="25">
        <v>1098279</v>
      </c>
      <c r="J255" s="25">
        <v>1</v>
      </c>
      <c r="K255" s="25">
        <v>7</v>
      </c>
      <c r="L255" s="28">
        <v>85665762</v>
      </c>
      <c r="M255" s="29">
        <v>64517076</v>
      </c>
      <c r="N255" s="29">
        <v>64517076</v>
      </c>
      <c r="O255" s="95"/>
      <c r="P255" s="96"/>
      <c r="Q255" s="97">
        <v>1112574</v>
      </c>
      <c r="R255" s="97">
        <v>22251487</v>
      </c>
      <c r="S255" s="98">
        <v>41153018</v>
      </c>
      <c r="T255" s="99"/>
      <c r="U255" s="79"/>
      <c r="V255" s="621">
        <v>49</v>
      </c>
      <c r="W255" s="808"/>
      <c r="X255" s="44"/>
      <c r="Y255" s="44"/>
      <c r="Z255" s="44"/>
      <c r="AA255" s="593"/>
      <c r="AB255" s="827"/>
      <c r="AC255" s="592"/>
      <c r="AD255" s="593"/>
      <c r="AE255" s="827"/>
      <c r="AF255" s="1223"/>
      <c r="AG255" s="575"/>
      <c r="AH255" s="792">
        <f>+AG255*AF255</f>
        <v>0</v>
      </c>
      <c r="AI255" s="1060" t="s">
        <v>1023</v>
      </c>
      <c r="AJ255" s="1061"/>
      <c r="AK255" s="1194"/>
      <c r="AL255" s="575"/>
      <c r="AM255" s="792">
        <f>+AL255*AK255</f>
        <v>0</v>
      </c>
    </row>
    <row r="256" spans="1:39" s="45" customFormat="1">
      <c r="A256" s="584"/>
      <c r="B256" s="74">
        <v>8</v>
      </c>
      <c r="C256" s="75" t="s">
        <v>1023</v>
      </c>
      <c r="D256" s="76"/>
      <c r="E256" s="76"/>
      <c r="F256" s="76"/>
      <c r="G256" s="126"/>
      <c r="H256" s="576"/>
      <c r="I256" s="575"/>
      <c r="J256" s="575"/>
      <c r="K256" s="575"/>
      <c r="L256" s="577"/>
      <c r="M256" s="578"/>
      <c r="N256" s="585"/>
      <c r="O256" s="95"/>
      <c r="P256" s="579"/>
      <c r="Q256" s="580"/>
      <c r="R256" s="580"/>
      <c r="S256" s="581"/>
      <c r="T256" s="582"/>
      <c r="U256" s="79"/>
      <c r="V256" s="621"/>
      <c r="W256" s="808"/>
      <c r="X256" s="44"/>
      <c r="Y256" s="44"/>
      <c r="Z256" s="44"/>
      <c r="AA256" s="1060" t="s">
        <v>1023</v>
      </c>
      <c r="AB256" s="1061"/>
      <c r="AC256" s="1111">
        <v>8</v>
      </c>
      <c r="AD256" s="1060" t="s">
        <v>1023</v>
      </c>
      <c r="AE256" s="1061"/>
      <c r="AF256" s="1221"/>
      <c r="AG256" s="1061"/>
      <c r="AH256" s="1113"/>
      <c r="AK256" s="1192"/>
      <c r="AL256" s="1061"/>
      <c r="AM256" s="1113"/>
    </row>
    <row r="257" spans="1:39" s="45" customFormat="1">
      <c r="A257" s="584"/>
      <c r="B257" s="771"/>
      <c r="C257" s="788" t="s">
        <v>947</v>
      </c>
      <c r="D257" s="772"/>
      <c r="E257" s="773"/>
      <c r="F257" s="587"/>
      <c r="G257" s="774"/>
      <c r="H257" s="576"/>
      <c r="I257" s="575"/>
      <c r="J257" s="575"/>
      <c r="K257" s="575"/>
      <c r="L257" s="577"/>
      <c r="M257" s="578"/>
      <c r="N257" s="585"/>
      <c r="O257" s="95"/>
      <c r="P257" s="579"/>
      <c r="Q257" s="580"/>
      <c r="R257" s="580"/>
      <c r="S257" s="581"/>
      <c r="T257" s="582"/>
      <c r="U257" s="79"/>
      <c r="V257" s="621"/>
      <c r="W257" s="808"/>
      <c r="X257" s="44"/>
      <c r="Y257" s="44"/>
      <c r="Z257" s="44"/>
      <c r="AA257" s="788" t="s">
        <v>947</v>
      </c>
      <c r="AB257" s="772"/>
      <c r="AC257" s="771"/>
      <c r="AD257" s="788" t="s">
        <v>947</v>
      </c>
      <c r="AE257" s="772"/>
      <c r="AF257" s="1222"/>
      <c r="AG257" s="587"/>
      <c r="AH257" s="774"/>
      <c r="AI257" s="788" t="s">
        <v>947</v>
      </c>
      <c r="AJ257" s="772"/>
      <c r="AK257" s="1193"/>
      <c r="AL257" s="587"/>
      <c r="AM257" s="774"/>
    </row>
    <row r="258" spans="1:39" s="45" customFormat="1" ht="38.25">
      <c r="A258" s="584"/>
      <c r="B258" s="771">
        <v>8.1</v>
      </c>
      <c r="C258" s="102" t="s">
        <v>943</v>
      </c>
      <c r="D258" s="772" t="s">
        <v>139</v>
      </c>
      <c r="E258" s="587">
        <v>590</v>
      </c>
      <c r="F258" s="587">
        <v>2610</v>
      </c>
      <c r="G258" s="774">
        <f>+E258*F258</f>
        <v>1539900</v>
      </c>
      <c r="H258" s="576"/>
      <c r="I258" s="575"/>
      <c r="J258" s="575"/>
      <c r="K258" s="575"/>
      <c r="L258" s="577"/>
      <c r="M258" s="578"/>
      <c r="N258" s="585"/>
      <c r="O258" s="95"/>
      <c r="P258" s="579"/>
      <c r="Q258" s="580"/>
      <c r="R258" s="580"/>
      <c r="S258" s="581"/>
      <c r="T258" s="582"/>
      <c r="U258" s="79"/>
      <c r="V258" s="621"/>
      <c r="W258" s="808"/>
      <c r="X258" s="44"/>
      <c r="Y258" s="44"/>
      <c r="Z258" s="44"/>
      <c r="AA258" s="102" t="s">
        <v>943</v>
      </c>
      <c r="AB258" s="772" t="s">
        <v>139</v>
      </c>
      <c r="AC258" s="771">
        <v>8.1</v>
      </c>
      <c r="AD258" s="102" t="s">
        <v>943</v>
      </c>
      <c r="AE258" s="772" t="s">
        <v>139</v>
      </c>
      <c r="AF258" s="1230">
        <v>590</v>
      </c>
      <c r="AG258" s="587">
        <v>2610</v>
      </c>
      <c r="AH258" s="774">
        <f t="shared" ref="AH258:AH263" si="72">+AF258*AG258</f>
        <v>1539900</v>
      </c>
      <c r="AI258" s="102" t="s">
        <v>943</v>
      </c>
      <c r="AJ258" s="772" t="s">
        <v>139</v>
      </c>
      <c r="AK258" s="1201">
        <v>590</v>
      </c>
      <c r="AL258" s="587">
        <v>2610</v>
      </c>
      <c r="AM258" s="774">
        <f t="shared" ref="AM258:AM263" si="73">+AK258*AL258</f>
        <v>1539900</v>
      </c>
    </row>
    <row r="259" spans="1:39" s="45" customFormat="1" ht="38.25">
      <c r="A259" s="584"/>
      <c r="B259" s="771">
        <f>+B258+0.1</f>
        <v>8.1999999999999993</v>
      </c>
      <c r="C259" s="102" t="s">
        <v>1101</v>
      </c>
      <c r="D259" s="772" t="s">
        <v>139</v>
      </c>
      <c r="E259" s="587">
        <f>+E258</f>
        <v>590</v>
      </c>
      <c r="F259" s="587">
        <v>5190</v>
      </c>
      <c r="G259" s="774">
        <f t="shared" ref="G259:G262" si="74">+E259*F259</f>
        <v>3062100</v>
      </c>
      <c r="H259" s="576"/>
      <c r="I259" s="575"/>
      <c r="J259" s="575"/>
      <c r="K259" s="575"/>
      <c r="L259" s="577"/>
      <c r="M259" s="578"/>
      <c r="N259" s="585"/>
      <c r="O259" s="95"/>
      <c r="P259" s="579"/>
      <c r="Q259" s="580"/>
      <c r="R259" s="580"/>
      <c r="S259" s="581"/>
      <c r="T259" s="582"/>
      <c r="U259" s="79"/>
      <c r="V259" s="621"/>
      <c r="W259" s="808"/>
      <c r="X259" s="44"/>
      <c r="Y259" s="44"/>
      <c r="Z259" s="44"/>
      <c r="AA259" s="102" t="s">
        <v>1101</v>
      </c>
      <c r="AB259" s="772" t="s">
        <v>139</v>
      </c>
      <c r="AC259" s="771">
        <f>+AC258+0.1</f>
        <v>8.1999999999999993</v>
      </c>
      <c r="AD259" s="102" t="s">
        <v>1101</v>
      </c>
      <c r="AE259" s="772" t="s">
        <v>139</v>
      </c>
      <c r="AF259" s="1230">
        <f>+AF258</f>
        <v>590</v>
      </c>
      <c r="AG259" s="587">
        <v>5190</v>
      </c>
      <c r="AH259" s="774">
        <f t="shared" si="72"/>
        <v>3062100</v>
      </c>
      <c r="AI259" s="102" t="s">
        <v>1101</v>
      </c>
      <c r="AJ259" s="772" t="s">
        <v>139</v>
      </c>
      <c r="AK259" s="1201">
        <f>+AK258</f>
        <v>590</v>
      </c>
      <c r="AL259" s="587">
        <v>5190</v>
      </c>
      <c r="AM259" s="774">
        <f t="shared" si="73"/>
        <v>3062100</v>
      </c>
    </row>
    <row r="260" spans="1:39" s="45" customFormat="1" ht="51">
      <c r="A260" s="584"/>
      <c r="B260" s="771">
        <f t="shared" ref="B260:B262" si="75">+B259+0.1</f>
        <v>8.2999999999999989</v>
      </c>
      <c r="C260" s="102" t="s">
        <v>497</v>
      </c>
      <c r="D260" s="777" t="s">
        <v>56</v>
      </c>
      <c r="E260" s="587">
        <v>163</v>
      </c>
      <c r="F260" s="587">
        <v>17220</v>
      </c>
      <c r="G260" s="774">
        <f t="shared" si="74"/>
        <v>2806860</v>
      </c>
      <c r="H260" s="576"/>
      <c r="I260" s="575"/>
      <c r="J260" s="575"/>
      <c r="K260" s="575"/>
      <c r="L260" s="577"/>
      <c r="M260" s="578"/>
      <c r="N260" s="585"/>
      <c r="O260" s="95"/>
      <c r="P260" s="579"/>
      <c r="Q260" s="580"/>
      <c r="R260" s="580"/>
      <c r="S260" s="581"/>
      <c r="T260" s="582"/>
      <c r="U260" s="79"/>
      <c r="V260" s="621"/>
      <c r="W260" s="808"/>
      <c r="X260" s="44"/>
      <c r="Y260" s="44"/>
      <c r="Z260" s="44"/>
      <c r="AA260" s="102" t="s">
        <v>497</v>
      </c>
      <c r="AB260" s="777" t="s">
        <v>56</v>
      </c>
      <c r="AC260" s="771">
        <f>+AC259+0.1</f>
        <v>8.2999999999999989</v>
      </c>
      <c r="AD260" s="102" t="s">
        <v>497</v>
      </c>
      <c r="AE260" s="777" t="s">
        <v>56</v>
      </c>
      <c r="AF260" s="1230">
        <v>163</v>
      </c>
      <c r="AG260" s="587">
        <v>17220</v>
      </c>
      <c r="AH260" s="774">
        <f t="shared" si="72"/>
        <v>2806860</v>
      </c>
      <c r="AI260" s="102" t="s">
        <v>497</v>
      </c>
      <c r="AJ260" s="777" t="s">
        <v>56</v>
      </c>
      <c r="AK260" s="1201">
        <v>163</v>
      </c>
      <c r="AL260" s="587">
        <v>17220</v>
      </c>
      <c r="AM260" s="774">
        <f t="shared" si="73"/>
        <v>2806860</v>
      </c>
    </row>
    <row r="261" spans="1:39" s="45" customFormat="1" ht="25.5">
      <c r="A261" s="584"/>
      <c r="B261" s="1252">
        <f t="shared" si="75"/>
        <v>8.3999999999999986</v>
      </c>
      <c r="C261" s="782" t="s">
        <v>1003</v>
      </c>
      <c r="D261" s="790" t="s">
        <v>139</v>
      </c>
      <c r="E261" s="780">
        <v>44</v>
      </c>
      <c r="F261" s="587">
        <v>448900</v>
      </c>
      <c r="G261" s="774">
        <f t="shared" si="74"/>
        <v>19751600</v>
      </c>
      <c r="H261" s="576"/>
      <c r="I261" s="575"/>
      <c r="J261" s="575"/>
      <c r="K261" s="575"/>
      <c r="L261" s="577"/>
      <c r="M261" s="578"/>
      <c r="N261" s="585"/>
      <c r="O261" s="95"/>
      <c r="P261" s="579"/>
      <c r="Q261" s="580"/>
      <c r="R261" s="580"/>
      <c r="S261" s="581"/>
      <c r="T261" s="582"/>
      <c r="U261" s="79"/>
      <c r="V261" s="621"/>
      <c r="W261" s="808"/>
      <c r="X261" s="44"/>
      <c r="Y261" s="44"/>
      <c r="Z261" s="44"/>
      <c r="AA261" s="1062" t="s">
        <v>1003</v>
      </c>
      <c r="AB261" s="1086" t="s">
        <v>139</v>
      </c>
      <c r="AC261" s="771">
        <f>+AC260+0.1</f>
        <v>8.3999999999999986</v>
      </c>
      <c r="AD261" s="1062" t="s">
        <v>1003</v>
      </c>
      <c r="AE261" s="1086" t="s">
        <v>139</v>
      </c>
      <c r="AF261" s="1222">
        <v>55</v>
      </c>
      <c r="AG261" s="587">
        <v>448900</v>
      </c>
      <c r="AH261" s="774">
        <f t="shared" si="72"/>
        <v>24689500</v>
      </c>
      <c r="AI261" s="1062" t="s">
        <v>1003</v>
      </c>
      <c r="AJ261" s="1086" t="s">
        <v>139</v>
      </c>
      <c r="AK261" s="1193">
        <v>44</v>
      </c>
      <c r="AL261" s="587">
        <v>448900</v>
      </c>
      <c r="AM261" s="774">
        <f t="shared" si="73"/>
        <v>19751600</v>
      </c>
    </row>
    <row r="262" spans="1:39" s="45" customFormat="1" ht="63.75">
      <c r="A262" s="584"/>
      <c r="B262" s="771">
        <f t="shared" si="75"/>
        <v>8.4999999999999982</v>
      </c>
      <c r="C262" s="102" t="s">
        <v>976</v>
      </c>
      <c r="D262" s="772" t="s">
        <v>139</v>
      </c>
      <c r="E262" s="587">
        <v>15</v>
      </c>
      <c r="F262" s="837">
        <v>614040</v>
      </c>
      <c r="G262" s="774">
        <f t="shared" si="74"/>
        <v>9210600</v>
      </c>
      <c r="H262" s="576"/>
      <c r="I262" s="575"/>
      <c r="J262" s="575"/>
      <c r="K262" s="575"/>
      <c r="L262" s="577"/>
      <c r="M262" s="578"/>
      <c r="N262" s="585"/>
      <c r="O262" s="95"/>
      <c r="P262" s="579"/>
      <c r="Q262" s="580"/>
      <c r="R262" s="580"/>
      <c r="S262" s="581"/>
      <c r="T262" s="582"/>
      <c r="U262" s="79"/>
      <c r="V262" s="621"/>
      <c r="W262" s="808"/>
      <c r="X262" s="44"/>
      <c r="Y262" s="44"/>
      <c r="Z262" s="44"/>
      <c r="AA262" s="102" t="s">
        <v>976</v>
      </c>
      <c r="AB262" s="772" t="s">
        <v>139</v>
      </c>
      <c r="AC262" s="771">
        <f>+AC261+0.1</f>
        <v>8.4999999999999982</v>
      </c>
      <c r="AD262" s="102" t="s">
        <v>976</v>
      </c>
      <c r="AE262" s="772" t="s">
        <v>139</v>
      </c>
      <c r="AF262" s="1230">
        <v>15</v>
      </c>
      <c r="AG262" s="837">
        <v>614040</v>
      </c>
      <c r="AH262" s="774">
        <f t="shared" si="72"/>
        <v>9210600</v>
      </c>
      <c r="AI262" s="102" t="s">
        <v>976</v>
      </c>
      <c r="AJ262" s="772" t="s">
        <v>139</v>
      </c>
      <c r="AK262" s="1201">
        <v>15</v>
      </c>
      <c r="AL262" s="837">
        <v>614040</v>
      </c>
      <c r="AM262" s="774">
        <f t="shared" si="73"/>
        <v>9210600</v>
      </c>
    </row>
    <row r="263" spans="1:39" s="45" customFormat="1" ht="15.75" thickBot="1">
      <c r="A263" s="584"/>
      <c r="B263" s="771"/>
      <c r="C263" s="102"/>
      <c r="D263" s="772"/>
      <c r="E263" s="587"/>
      <c r="F263" s="587"/>
      <c r="G263" s="774">
        <f>+E263*F263</f>
        <v>0</v>
      </c>
      <c r="H263" s="576"/>
      <c r="I263" s="575"/>
      <c r="J263" s="575"/>
      <c r="K263" s="575"/>
      <c r="L263" s="577"/>
      <c r="M263" s="578"/>
      <c r="N263" s="585"/>
      <c r="O263" s="95"/>
      <c r="P263" s="579"/>
      <c r="Q263" s="580"/>
      <c r="R263" s="580"/>
      <c r="S263" s="581"/>
      <c r="T263" s="582"/>
      <c r="U263" s="79"/>
      <c r="V263" s="621"/>
      <c r="W263" s="808"/>
      <c r="X263" s="44"/>
      <c r="Y263" s="44"/>
      <c r="Z263" s="44"/>
      <c r="AA263" s="102"/>
      <c r="AB263" s="772"/>
      <c r="AC263" s="771"/>
      <c r="AD263" s="102"/>
      <c r="AE263" s="772"/>
      <c r="AF263" s="1230"/>
      <c r="AG263" s="587"/>
      <c r="AH263" s="774">
        <f t="shared" si="72"/>
        <v>0</v>
      </c>
      <c r="AI263" s="1064"/>
      <c r="AJ263" s="1065"/>
      <c r="AK263" s="1201"/>
      <c r="AL263" s="587"/>
      <c r="AM263" s="774">
        <f t="shared" si="73"/>
        <v>0</v>
      </c>
    </row>
    <row r="264" spans="1:39" s="45" customFormat="1" ht="15.75" thickBot="1">
      <c r="A264" s="584"/>
      <c r="B264" s="771"/>
      <c r="C264" s="114"/>
      <c r="D264" s="115"/>
      <c r="E264" s="116"/>
      <c r="F264" s="117" t="s">
        <v>1099</v>
      </c>
      <c r="G264" s="118">
        <f>SUM(G258:G263)</f>
        <v>36371060</v>
      </c>
      <c r="H264" s="576"/>
      <c r="I264" s="575"/>
      <c r="J264" s="575"/>
      <c r="K264" s="575"/>
      <c r="L264" s="577"/>
      <c r="M264" s="578"/>
      <c r="N264" s="585"/>
      <c r="O264" s="95"/>
      <c r="P264" s="579"/>
      <c r="Q264" s="580"/>
      <c r="R264" s="580"/>
      <c r="S264" s="581"/>
      <c r="T264" s="582"/>
      <c r="U264" s="79"/>
      <c r="V264" s="621"/>
      <c r="W264" s="808"/>
      <c r="X264" s="44"/>
      <c r="Y264" s="44"/>
      <c r="Z264" s="44"/>
      <c r="AA264" s="1064"/>
      <c r="AB264" s="1065"/>
      <c r="AC264" s="771"/>
      <c r="AD264" s="1064"/>
      <c r="AE264" s="1065"/>
      <c r="AF264" s="1227"/>
      <c r="AG264" s="1073" t="s">
        <v>1099</v>
      </c>
      <c r="AH264" s="1117">
        <f>SUM(AH257:AH263)</f>
        <v>41308960</v>
      </c>
      <c r="AI264" s="102"/>
      <c r="AJ264" s="772"/>
      <c r="AK264" s="1198"/>
      <c r="AL264" s="1073" t="s">
        <v>1099</v>
      </c>
      <c r="AM264" s="1117">
        <f>SUM(AM258:AM263)</f>
        <v>36371060</v>
      </c>
    </row>
    <row r="265" spans="1:39" s="45" customFormat="1">
      <c r="A265" s="584"/>
      <c r="B265" s="771"/>
      <c r="C265" s="102"/>
      <c r="D265" s="772"/>
      <c r="E265" s="587"/>
      <c r="F265" s="587"/>
      <c r="G265" s="774"/>
      <c r="H265" s="576"/>
      <c r="I265" s="575"/>
      <c r="J265" s="575"/>
      <c r="K265" s="575"/>
      <c r="L265" s="577"/>
      <c r="M265" s="578"/>
      <c r="N265" s="585"/>
      <c r="O265" s="95"/>
      <c r="P265" s="579"/>
      <c r="Q265" s="580"/>
      <c r="R265" s="580"/>
      <c r="S265" s="581"/>
      <c r="T265" s="582"/>
      <c r="U265" s="79"/>
      <c r="V265" s="621"/>
      <c r="W265" s="808"/>
      <c r="X265" s="44"/>
      <c r="Y265" s="44"/>
      <c r="Z265" s="44"/>
      <c r="AA265" s="102"/>
      <c r="AB265" s="772"/>
      <c r="AC265" s="771"/>
      <c r="AD265" s="102"/>
      <c r="AE265" s="772"/>
      <c r="AF265" s="1230"/>
      <c r="AG265" s="587"/>
      <c r="AH265" s="774"/>
      <c r="AK265" s="1201"/>
      <c r="AL265" s="587"/>
      <c r="AM265" s="774"/>
    </row>
    <row r="266" spans="1:39" s="45" customFormat="1" ht="63.75">
      <c r="A266" s="584"/>
      <c r="B266" s="771">
        <f>+B262+0.1</f>
        <v>8.5999999999999979</v>
      </c>
      <c r="C266" s="102" t="s">
        <v>522</v>
      </c>
      <c r="D266" s="777" t="s">
        <v>142</v>
      </c>
      <c r="E266" s="780">
        <v>5000</v>
      </c>
      <c r="F266" s="891">
        <v>3100</v>
      </c>
      <c r="G266" s="774">
        <f>+F266*E266</f>
        <v>15500000</v>
      </c>
      <c r="H266" s="576"/>
      <c r="I266" s="575"/>
      <c r="J266" s="575"/>
      <c r="K266" s="575"/>
      <c r="L266" s="577"/>
      <c r="M266" s="578"/>
      <c r="N266" s="585"/>
      <c r="O266" s="95"/>
      <c r="P266" s="579"/>
      <c r="Q266" s="580"/>
      <c r="R266" s="580"/>
      <c r="S266" s="581"/>
      <c r="T266" s="582"/>
      <c r="U266" s="79"/>
      <c r="V266" s="621"/>
      <c r="W266" s="808"/>
      <c r="X266" s="44"/>
      <c r="Y266" s="44"/>
      <c r="Z266" s="44"/>
      <c r="AA266" s="102" t="s">
        <v>522</v>
      </c>
      <c r="AB266" s="777" t="s">
        <v>142</v>
      </c>
      <c r="AC266" s="771">
        <f>+AC262+0.1</f>
        <v>8.5999999999999979</v>
      </c>
      <c r="AD266" s="102" t="s">
        <v>522</v>
      </c>
      <c r="AE266" s="777" t="s">
        <v>142</v>
      </c>
      <c r="AF266" s="1222">
        <v>5000</v>
      </c>
      <c r="AG266" s="1090">
        <v>3100</v>
      </c>
      <c r="AH266" s="774">
        <f>+AF266*AG268</f>
        <v>22500000</v>
      </c>
      <c r="AI266" s="102" t="s">
        <v>522</v>
      </c>
      <c r="AJ266" s="777" t="s">
        <v>142</v>
      </c>
      <c r="AK266" s="1193">
        <v>5000</v>
      </c>
      <c r="AL266" s="1090">
        <v>3100</v>
      </c>
      <c r="AM266" s="774">
        <f>+AK266*AL268</f>
        <v>22500000</v>
      </c>
    </row>
    <row r="267" spans="1:39" s="45" customFormat="1" ht="25.5">
      <c r="A267" s="584"/>
      <c r="B267" s="771">
        <f>+B266+0.1</f>
        <v>8.6999999999999975</v>
      </c>
      <c r="C267" s="102" t="s">
        <v>1411</v>
      </c>
      <c r="D267" s="777" t="s">
        <v>500</v>
      </c>
      <c r="E267" s="780">
        <v>90</v>
      </c>
      <c r="F267" s="891">
        <v>18420</v>
      </c>
      <c r="G267" s="774">
        <f t="shared" ref="G267:G277" si="76">+F267*E267</f>
        <v>1657800</v>
      </c>
      <c r="H267" s="576"/>
      <c r="I267" s="575"/>
      <c r="J267" s="575"/>
      <c r="K267" s="575"/>
      <c r="L267" s="577"/>
      <c r="M267" s="578"/>
      <c r="N267" s="585"/>
      <c r="O267" s="95"/>
      <c r="P267" s="579"/>
      <c r="Q267" s="580"/>
      <c r="R267" s="580"/>
      <c r="S267" s="581"/>
      <c r="T267" s="582"/>
      <c r="U267" s="79"/>
      <c r="V267" s="621"/>
      <c r="W267" s="808"/>
      <c r="X267" s="44"/>
      <c r="Y267" s="44"/>
      <c r="Z267" s="44"/>
      <c r="AA267" s="102" t="s">
        <v>1411</v>
      </c>
      <c r="AB267" s="777" t="s">
        <v>500</v>
      </c>
      <c r="AC267" s="771">
        <f>+AC266+0.1</f>
        <v>8.6999999999999975</v>
      </c>
      <c r="AD267" s="102" t="s">
        <v>1411</v>
      </c>
      <c r="AE267" s="777" t="s">
        <v>500</v>
      </c>
      <c r="AF267" s="1222">
        <v>90</v>
      </c>
      <c r="AG267" s="1090">
        <v>18420</v>
      </c>
      <c r="AH267" s="774">
        <f>AF267*AG267</f>
        <v>1657800</v>
      </c>
      <c r="AI267" s="102" t="s">
        <v>1411</v>
      </c>
      <c r="AJ267" s="777" t="s">
        <v>500</v>
      </c>
      <c r="AK267" s="1193">
        <v>90</v>
      </c>
      <c r="AL267" s="1090">
        <v>18420</v>
      </c>
      <c r="AM267" s="774">
        <f>AK267*AL267</f>
        <v>1657800</v>
      </c>
    </row>
    <row r="268" spans="1:39" s="45" customFormat="1" ht="25.5">
      <c r="A268" s="584"/>
      <c r="B268" s="771">
        <f>+B267+0.1</f>
        <v>8.7999999999999972</v>
      </c>
      <c r="C268" s="102" t="s">
        <v>942</v>
      </c>
      <c r="D268" s="777" t="s">
        <v>56</v>
      </c>
      <c r="E268" s="780">
        <v>92</v>
      </c>
      <c r="F268" s="891">
        <v>4500</v>
      </c>
      <c r="G268" s="774">
        <f>+F268*E268</f>
        <v>414000</v>
      </c>
      <c r="H268" s="576"/>
      <c r="I268" s="575"/>
      <c r="J268" s="575"/>
      <c r="K268" s="575"/>
      <c r="L268" s="577"/>
      <c r="M268" s="578"/>
      <c r="N268" s="585"/>
      <c r="O268" s="95"/>
      <c r="P268" s="579"/>
      <c r="Q268" s="580"/>
      <c r="R268" s="580"/>
      <c r="S268" s="581"/>
      <c r="T268" s="582"/>
      <c r="U268" s="79"/>
      <c r="V268" s="621"/>
      <c r="W268" s="808"/>
      <c r="X268" s="44"/>
      <c r="Y268" s="44"/>
      <c r="Z268" s="44"/>
      <c r="AA268" s="102" t="s">
        <v>942</v>
      </c>
      <c r="AB268" s="777" t="s">
        <v>56</v>
      </c>
      <c r="AC268" s="771">
        <f>+AC267+0.1</f>
        <v>8.7999999999999972</v>
      </c>
      <c r="AD268" s="102" t="s">
        <v>942</v>
      </c>
      <c r="AE268" s="777" t="s">
        <v>56</v>
      </c>
      <c r="AF268" s="1222">
        <v>92</v>
      </c>
      <c r="AG268" s="1090">
        <v>4500</v>
      </c>
      <c r="AH268" s="774">
        <f>+AF268*AG269</f>
        <v>5800600</v>
      </c>
      <c r="AI268" s="102" t="s">
        <v>942</v>
      </c>
      <c r="AJ268" s="777" t="s">
        <v>56</v>
      </c>
      <c r="AK268" s="1193">
        <v>92</v>
      </c>
      <c r="AL268" s="1090">
        <v>4500</v>
      </c>
      <c r="AM268" s="774">
        <f>+AK268*AL269</f>
        <v>5800600</v>
      </c>
    </row>
    <row r="269" spans="1:39" s="45" customFormat="1" ht="51">
      <c r="A269" s="584"/>
      <c r="B269" s="844">
        <v>8.9</v>
      </c>
      <c r="C269" s="102" t="s">
        <v>984</v>
      </c>
      <c r="D269" s="777" t="s">
        <v>139</v>
      </c>
      <c r="E269" s="780">
        <v>11</v>
      </c>
      <c r="F269" s="964">
        <v>63050</v>
      </c>
      <c r="G269" s="774">
        <f t="shared" si="76"/>
        <v>693550</v>
      </c>
      <c r="H269" s="576"/>
      <c r="I269" s="575"/>
      <c r="J269" s="575"/>
      <c r="K269" s="575"/>
      <c r="L269" s="577"/>
      <c r="M269" s="578"/>
      <c r="N269" s="585"/>
      <c r="O269" s="95"/>
      <c r="P269" s="579"/>
      <c r="Q269" s="580"/>
      <c r="R269" s="580"/>
      <c r="S269" s="581"/>
      <c r="T269" s="582"/>
      <c r="U269" s="79"/>
      <c r="V269" s="621"/>
      <c r="W269" s="808"/>
      <c r="X269" s="44"/>
      <c r="Y269" s="44"/>
      <c r="Z269" s="44"/>
      <c r="AA269" s="102" t="s">
        <v>984</v>
      </c>
      <c r="AB269" s="777" t="s">
        <v>139</v>
      </c>
      <c r="AC269" s="844">
        <v>8.9</v>
      </c>
      <c r="AD269" s="102" t="s">
        <v>984</v>
      </c>
      <c r="AE269" s="777" t="s">
        <v>139</v>
      </c>
      <c r="AF269" s="1222">
        <v>11</v>
      </c>
      <c r="AG269" s="1080">
        <v>63050</v>
      </c>
      <c r="AH269" s="774">
        <f>+AF269*AG270</f>
        <v>322630</v>
      </c>
      <c r="AI269" s="102" t="s">
        <v>984</v>
      </c>
      <c r="AJ269" s="777" t="s">
        <v>139</v>
      </c>
      <c r="AK269" s="1193">
        <v>11</v>
      </c>
      <c r="AL269" s="1080">
        <v>63050</v>
      </c>
      <c r="AM269" s="774">
        <f>+AK269*AL270</f>
        <v>322630</v>
      </c>
    </row>
    <row r="270" spans="1:39" s="45" customFormat="1" ht="25.5">
      <c r="A270" s="584"/>
      <c r="B270" s="779">
        <v>8.1</v>
      </c>
      <c r="C270" s="102" t="s">
        <v>946</v>
      </c>
      <c r="D270" s="777" t="s">
        <v>540</v>
      </c>
      <c r="E270" s="780">
        <v>13</v>
      </c>
      <c r="F270" s="891">
        <v>29330</v>
      </c>
      <c r="G270" s="774">
        <f t="shared" si="76"/>
        <v>381290</v>
      </c>
      <c r="H270" s="576"/>
      <c r="I270" s="575"/>
      <c r="J270" s="575"/>
      <c r="K270" s="575"/>
      <c r="L270" s="577"/>
      <c r="M270" s="578"/>
      <c r="N270" s="585"/>
      <c r="O270" s="95"/>
      <c r="P270" s="579"/>
      <c r="Q270" s="580"/>
      <c r="R270" s="580"/>
      <c r="S270" s="581"/>
      <c r="T270" s="582"/>
      <c r="U270" s="79"/>
      <c r="V270" s="621"/>
      <c r="W270" s="808"/>
      <c r="X270" s="44"/>
      <c r="Y270" s="44"/>
      <c r="Z270" s="44"/>
      <c r="AA270" s="102" t="s">
        <v>946</v>
      </c>
      <c r="AB270" s="777" t="s">
        <v>540</v>
      </c>
      <c r="AC270" s="779">
        <v>8.1</v>
      </c>
      <c r="AD270" s="102" t="s">
        <v>946</v>
      </c>
      <c r="AE270" s="777" t="s">
        <v>540</v>
      </c>
      <c r="AF270" s="1222">
        <v>13</v>
      </c>
      <c r="AG270" s="1090">
        <v>29330</v>
      </c>
      <c r="AH270" s="774">
        <f>+AF270*AG270</f>
        <v>381290</v>
      </c>
      <c r="AI270" s="102" t="s">
        <v>946</v>
      </c>
      <c r="AJ270" s="777" t="s">
        <v>540</v>
      </c>
      <c r="AK270" s="1193">
        <v>13</v>
      </c>
      <c r="AL270" s="1090">
        <v>29330</v>
      </c>
      <c r="AM270" s="774">
        <f>+AK270*AL270</f>
        <v>381290</v>
      </c>
    </row>
    <row r="271" spans="1:39" s="45" customFormat="1" ht="29.25" customHeight="1">
      <c r="A271" s="584"/>
      <c r="B271" s="779">
        <v>8.11</v>
      </c>
      <c r="C271" s="782" t="s">
        <v>1102</v>
      </c>
      <c r="D271" s="772" t="s">
        <v>22</v>
      </c>
      <c r="E271" s="587">
        <v>4</v>
      </c>
      <c r="F271" s="891">
        <v>1240272</v>
      </c>
      <c r="G271" s="774">
        <f t="shared" si="76"/>
        <v>4961088</v>
      </c>
      <c r="H271" s="576"/>
      <c r="I271" s="575"/>
      <c r="J271" s="575"/>
      <c r="K271" s="575"/>
      <c r="L271" s="577"/>
      <c r="M271" s="578"/>
      <c r="N271" s="585"/>
      <c r="O271" s="95"/>
      <c r="P271" s="579"/>
      <c r="Q271" s="580"/>
      <c r="R271" s="580"/>
      <c r="S271" s="581"/>
      <c r="T271" s="582"/>
      <c r="U271" s="79"/>
      <c r="V271" s="621"/>
      <c r="W271" s="808">
        <f>700000+162000+110000</f>
        <v>972000</v>
      </c>
      <c r="X271" s="44">
        <f>+W271*1.16*1.1</f>
        <v>1240272</v>
      </c>
      <c r="Y271" s="44"/>
      <c r="Z271" s="44"/>
      <c r="AA271" s="1062" t="s">
        <v>1102</v>
      </c>
      <c r="AB271" s="772" t="s">
        <v>22</v>
      </c>
      <c r="AC271" s="779">
        <v>8.11</v>
      </c>
      <c r="AD271" s="1062" t="s">
        <v>1102</v>
      </c>
      <c r="AE271" s="772" t="s">
        <v>22</v>
      </c>
      <c r="AF271" s="1230">
        <v>4</v>
      </c>
      <c r="AG271" s="1090">
        <v>1240272</v>
      </c>
      <c r="AH271" s="774">
        <f t="shared" ref="AH271:AH276" si="77">+AF271*AG271</f>
        <v>4961088</v>
      </c>
      <c r="AI271" s="1062" t="s">
        <v>1102</v>
      </c>
      <c r="AJ271" s="772" t="s">
        <v>22</v>
      </c>
      <c r="AK271" s="1201">
        <v>4</v>
      </c>
      <c r="AL271" s="1090">
        <v>1240272</v>
      </c>
      <c r="AM271" s="774">
        <f t="shared" ref="AM271:AM276" si="78">+AK271*AL271</f>
        <v>4961088</v>
      </c>
    </row>
    <row r="272" spans="1:39" s="45" customFormat="1" ht="38.25">
      <c r="A272" s="584"/>
      <c r="B272" s="779">
        <v>8.1199999999999992</v>
      </c>
      <c r="C272" s="782" t="s">
        <v>1108</v>
      </c>
      <c r="D272" s="777" t="s">
        <v>22</v>
      </c>
      <c r="E272" s="587">
        <v>12</v>
      </c>
      <c r="F272" s="891">
        <v>40312</v>
      </c>
      <c r="G272" s="774">
        <f t="shared" si="76"/>
        <v>483744</v>
      </c>
      <c r="H272" s="576"/>
      <c r="I272" s="575"/>
      <c r="J272" s="575"/>
      <c r="K272" s="575"/>
      <c r="L272" s="577"/>
      <c r="M272" s="578"/>
      <c r="N272" s="585"/>
      <c r="O272" s="95"/>
      <c r="P272" s="579"/>
      <c r="Q272" s="580"/>
      <c r="R272" s="580"/>
      <c r="S272" s="581"/>
      <c r="T272" s="582"/>
      <c r="U272" s="79"/>
      <c r="V272" s="621"/>
      <c r="W272" s="808"/>
      <c r="X272" s="44"/>
      <c r="Y272" s="44"/>
      <c r="Z272" s="44"/>
      <c r="AA272" s="1062" t="s">
        <v>1108</v>
      </c>
      <c r="AB272" s="777" t="s">
        <v>22</v>
      </c>
      <c r="AC272" s="779">
        <v>8.1199999999999992</v>
      </c>
      <c r="AD272" s="1062" t="s">
        <v>1108</v>
      </c>
      <c r="AE272" s="777" t="s">
        <v>22</v>
      </c>
      <c r="AF272" s="1230">
        <v>12</v>
      </c>
      <c r="AG272" s="1090">
        <v>40312</v>
      </c>
      <c r="AH272" s="774">
        <f t="shared" si="77"/>
        <v>483744</v>
      </c>
      <c r="AI272" s="1062" t="s">
        <v>1108</v>
      </c>
      <c r="AJ272" s="777" t="s">
        <v>22</v>
      </c>
      <c r="AK272" s="1201">
        <v>12</v>
      </c>
      <c r="AL272" s="1090">
        <v>40312</v>
      </c>
      <c r="AM272" s="774">
        <f t="shared" si="78"/>
        <v>483744</v>
      </c>
    </row>
    <row r="273" spans="1:39" s="45" customFormat="1" ht="38.25">
      <c r="A273" s="584"/>
      <c r="B273" s="779">
        <f>+B272+0.01</f>
        <v>8.129999999999999</v>
      </c>
      <c r="C273" s="102" t="s">
        <v>1107</v>
      </c>
      <c r="D273" s="790" t="s">
        <v>22</v>
      </c>
      <c r="E273" s="587">
        <v>28</v>
      </c>
      <c r="F273" s="891">
        <v>10810</v>
      </c>
      <c r="G273" s="774">
        <f t="shared" si="76"/>
        <v>302680</v>
      </c>
      <c r="H273" s="576"/>
      <c r="I273" s="575"/>
      <c r="J273" s="575"/>
      <c r="K273" s="575"/>
      <c r="L273" s="577"/>
      <c r="M273" s="578"/>
      <c r="N273" s="585"/>
      <c r="O273" s="95"/>
      <c r="P273" s="579"/>
      <c r="Q273" s="580"/>
      <c r="R273" s="580"/>
      <c r="S273" s="581"/>
      <c r="T273" s="582"/>
      <c r="U273" s="79"/>
      <c r="V273" s="621"/>
      <c r="W273" s="890">
        <v>33593</v>
      </c>
      <c r="X273" s="44">
        <f>+W273*1.2</f>
        <v>40311.599999999999</v>
      </c>
      <c r="Y273" s="44"/>
      <c r="Z273" s="44"/>
      <c r="AA273" s="102" t="s">
        <v>1107</v>
      </c>
      <c r="AB273" s="1086" t="s">
        <v>22</v>
      </c>
      <c r="AC273" s="779">
        <f>+AC272+0.01</f>
        <v>8.129999999999999</v>
      </c>
      <c r="AD273" s="102" t="s">
        <v>1107</v>
      </c>
      <c r="AE273" s="1086" t="s">
        <v>22</v>
      </c>
      <c r="AF273" s="1230">
        <v>28</v>
      </c>
      <c r="AG273" s="1090">
        <v>10810</v>
      </c>
      <c r="AH273" s="774">
        <f t="shared" si="77"/>
        <v>302680</v>
      </c>
      <c r="AI273" s="102" t="s">
        <v>1107</v>
      </c>
      <c r="AJ273" s="1086" t="s">
        <v>22</v>
      </c>
      <c r="AK273" s="1201">
        <v>28</v>
      </c>
      <c r="AL273" s="1090">
        <v>10810</v>
      </c>
      <c r="AM273" s="774">
        <f t="shared" si="78"/>
        <v>302680</v>
      </c>
    </row>
    <row r="274" spans="1:39" s="45" customFormat="1" ht="38.25">
      <c r="A274" s="584"/>
      <c r="B274" s="779">
        <f t="shared" ref="B274:B277" si="79">+B273+0.01</f>
        <v>8.1399999999999988</v>
      </c>
      <c r="C274" s="102" t="s">
        <v>1103</v>
      </c>
      <c r="D274" s="772" t="s">
        <v>500</v>
      </c>
      <c r="E274" s="587">
        <v>86</v>
      </c>
      <c r="F274" s="893">
        <v>21516</v>
      </c>
      <c r="G274" s="774">
        <f t="shared" si="76"/>
        <v>1850376</v>
      </c>
      <c r="H274" s="576"/>
      <c r="I274" s="575"/>
      <c r="J274" s="575"/>
      <c r="K274" s="575"/>
      <c r="L274" s="577"/>
      <c r="M274" s="578"/>
      <c r="N274" s="585"/>
      <c r="O274" s="95"/>
      <c r="P274" s="579"/>
      <c r="Q274" s="580"/>
      <c r="R274" s="580"/>
      <c r="S274" s="581"/>
      <c r="T274" s="582"/>
      <c r="U274" s="79"/>
      <c r="V274" s="621"/>
      <c r="W274" s="808"/>
      <c r="X274" s="44"/>
      <c r="Y274" s="44"/>
      <c r="Z274" s="44"/>
      <c r="AA274" s="102" t="s">
        <v>1103</v>
      </c>
      <c r="AB274" s="772" t="s">
        <v>500</v>
      </c>
      <c r="AC274" s="779">
        <f>+AC273+0.01</f>
        <v>8.1399999999999988</v>
      </c>
      <c r="AD274" s="102" t="s">
        <v>1103</v>
      </c>
      <c r="AE274" s="772" t="s">
        <v>500</v>
      </c>
      <c r="AF274" s="1230">
        <v>86</v>
      </c>
      <c r="AG274" s="1091">
        <v>21516</v>
      </c>
      <c r="AH274" s="774">
        <f t="shared" si="77"/>
        <v>1850376</v>
      </c>
      <c r="AI274" s="102" t="s">
        <v>1103</v>
      </c>
      <c r="AJ274" s="772" t="s">
        <v>500</v>
      </c>
      <c r="AK274" s="1201">
        <v>86</v>
      </c>
      <c r="AL274" s="1091">
        <v>21516</v>
      </c>
      <c r="AM274" s="774">
        <f t="shared" si="78"/>
        <v>1850376</v>
      </c>
    </row>
    <row r="275" spans="1:39" s="45" customFormat="1" ht="63.75">
      <c r="A275" s="584"/>
      <c r="B275" s="779">
        <f t="shared" si="79"/>
        <v>8.1499999999999986</v>
      </c>
      <c r="C275" s="782" t="s">
        <v>1106</v>
      </c>
      <c r="D275" s="777" t="s">
        <v>139</v>
      </c>
      <c r="E275" s="587">
        <v>35</v>
      </c>
      <c r="F275" s="964">
        <v>63050</v>
      </c>
      <c r="G275" s="774">
        <f t="shared" si="76"/>
        <v>2206750</v>
      </c>
      <c r="H275" s="576"/>
      <c r="I275" s="575"/>
      <c r="J275" s="575"/>
      <c r="K275" s="575"/>
      <c r="L275" s="577"/>
      <c r="M275" s="578"/>
      <c r="N275" s="585"/>
      <c r="O275" s="95"/>
      <c r="P275" s="579"/>
      <c r="Q275" s="580"/>
      <c r="R275" s="580"/>
      <c r="S275" s="581"/>
      <c r="T275" s="582"/>
      <c r="U275" s="79"/>
      <c r="V275" s="621"/>
      <c r="W275" s="808"/>
      <c r="X275" s="44"/>
      <c r="Y275" s="44"/>
      <c r="Z275" s="44"/>
      <c r="AA275" s="1062" t="s">
        <v>1106</v>
      </c>
      <c r="AB275" s="777" t="s">
        <v>139</v>
      </c>
      <c r="AC275" s="779">
        <f>+AC274+0.01</f>
        <v>8.1499999999999986</v>
      </c>
      <c r="AD275" s="1062" t="s">
        <v>1106</v>
      </c>
      <c r="AE275" s="777" t="s">
        <v>139</v>
      </c>
      <c r="AF275" s="1230">
        <v>44</v>
      </c>
      <c r="AG275" s="1080">
        <v>63050</v>
      </c>
      <c r="AH275" s="774">
        <f t="shared" si="77"/>
        <v>2774200</v>
      </c>
      <c r="AI275" s="1062" t="s">
        <v>1106</v>
      </c>
      <c r="AJ275" s="777" t="s">
        <v>139</v>
      </c>
      <c r="AK275" s="1201">
        <v>35</v>
      </c>
      <c r="AL275" s="1080">
        <v>63050</v>
      </c>
      <c r="AM275" s="774">
        <f t="shared" si="78"/>
        <v>2206750</v>
      </c>
    </row>
    <row r="276" spans="1:39" s="45" customFormat="1" ht="25.5">
      <c r="A276" s="584"/>
      <c r="B276" s="779">
        <f t="shared" si="79"/>
        <v>8.1599999999999984</v>
      </c>
      <c r="C276" s="782" t="s">
        <v>166</v>
      </c>
      <c r="D276" s="777" t="s">
        <v>139</v>
      </c>
      <c r="E276" s="587">
        <v>30</v>
      </c>
      <c r="F276" s="891">
        <v>43840</v>
      </c>
      <c r="G276" s="774">
        <f t="shared" si="76"/>
        <v>1315200</v>
      </c>
      <c r="H276" s="576"/>
      <c r="I276" s="575"/>
      <c r="J276" s="575"/>
      <c r="K276" s="575"/>
      <c r="L276" s="577"/>
      <c r="M276" s="578"/>
      <c r="N276" s="585"/>
      <c r="O276" s="95"/>
      <c r="P276" s="579"/>
      <c r="Q276" s="580"/>
      <c r="R276" s="580"/>
      <c r="S276" s="581"/>
      <c r="T276" s="582"/>
      <c r="U276" s="79"/>
      <c r="V276" s="621"/>
      <c r="W276" s="808"/>
      <c r="X276" s="44"/>
      <c r="Y276" s="44"/>
      <c r="Z276" s="44"/>
      <c r="AA276" s="1062" t="s">
        <v>166</v>
      </c>
      <c r="AB276" s="777" t="s">
        <v>139</v>
      </c>
      <c r="AC276" s="779">
        <f>+AC275+0.01</f>
        <v>8.1599999999999984</v>
      </c>
      <c r="AD276" s="1062" t="s">
        <v>166</v>
      </c>
      <c r="AE276" s="777" t="s">
        <v>139</v>
      </c>
      <c r="AF276" s="1230">
        <v>38</v>
      </c>
      <c r="AG276" s="1090">
        <v>43840</v>
      </c>
      <c r="AH276" s="774">
        <f t="shared" si="77"/>
        <v>1665920</v>
      </c>
      <c r="AI276" s="1062" t="s">
        <v>166</v>
      </c>
      <c r="AJ276" s="777" t="s">
        <v>139</v>
      </c>
      <c r="AK276" s="1201">
        <v>30</v>
      </c>
      <c r="AL276" s="1090">
        <v>43840</v>
      </c>
      <c r="AM276" s="774">
        <f t="shared" si="78"/>
        <v>1315200</v>
      </c>
    </row>
    <row r="277" spans="1:39" s="45" customFormat="1" ht="38.25">
      <c r="A277" s="584"/>
      <c r="B277" s="779">
        <f t="shared" si="79"/>
        <v>8.1699999999999982</v>
      </c>
      <c r="C277" s="782" t="s">
        <v>1104</v>
      </c>
      <c r="D277" s="846" t="s">
        <v>22</v>
      </c>
      <c r="E277" s="782">
        <v>4</v>
      </c>
      <c r="F277" s="893">
        <v>158050</v>
      </c>
      <c r="G277" s="774">
        <f t="shared" si="76"/>
        <v>632200</v>
      </c>
      <c r="H277" s="576"/>
      <c r="I277" s="575"/>
      <c r="J277" s="575"/>
      <c r="K277" s="575"/>
      <c r="L277" s="577"/>
      <c r="M277" s="578"/>
      <c r="N277" s="585"/>
      <c r="O277" s="95"/>
      <c r="P277" s="579"/>
      <c r="Q277" s="580"/>
      <c r="R277" s="580"/>
      <c r="S277" s="581"/>
      <c r="T277" s="582"/>
      <c r="U277" s="79"/>
      <c r="V277" s="621"/>
      <c r="W277" s="808">
        <v>26500</v>
      </c>
      <c r="X277" s="894"/>
      <c r="Y277" s="44"/>
      <c r="Z277" s="44"/>
      <c r="AA277" s="1062" t="s">
        <v>1104</v>
      </c>
      <c r="AB277" s="1087" t="s">
        <v>22</v>
      </c>
      <c r="AC277" s="779">
        <f>+AC276+0.01</f>
        <v>8.1699999999999982</v>
      </c>
      <c r="AD277" s="1062" t="s">
        <v>1104</v>
      </c>
      <c r="AE277" s="1087" t="s">
        <v>22</v>
      </c>
      <c r="AF277" s="1229">
        <v>4</v>
      </c>
      <c r="AG277" s="1091">
        <v>158050</v>
      </c>
      <c r="AH277" s="774">
        <f>+AF277*AG277</f>
        <v>632200</v>
      </c>
      <c r="AI277" s="1062" t="s">
        <v>1104</v>
      </c>
      <c r="AJ277" s="1087" t="s">
        <v>22</v>
      </c>
      <c r="AK277" s="1200">
        <v>4</v>
      </c>
      <c r="AL277" s="1091">
        <v>158050</v>
      </c>
      <c r="AM277" s="774">
        <f>+AK277*AL277</f>
        <v>632200</v>
      </c>
    </row>
    <row r="278" spans="1:39" s="45" customFormat="1" ht="17.25" thickBot="1">
      <c r="A278" s="584"/>
      <c r="B278" s="779"/>
      <c r="C278" s="782"/>
      <c r="D278" s="846"/>
      <c r="E278" s="782"/>
      <c r="F278" s="893"/>
      <c r="G278" s="774"/>
      <c r="H278" s="576"/>
      <c r="I278" s="575"/>
      <c r="J278" s="575"/>
      <c r="K278" s="575"/>
      <c r="L278" s="577"/>
      <c r="M278" s="578"/>
      <c r="N278" s="585"/>
      <c r="O278" s="95"/>
      <c r="P278" s="579"/>
      <c r="Q278" s="580"/>
      <c r="R278" s="580"/>
      <c r="S278" s="581"/>
      <c r="T278" s="582"/>
      <c r="U278" s="79"/>
      <c r="V278" s="621"/>
      <c r="W278" s="890">
        <v>158050</v>
      </c>
      <c r="X278" s="44"/>
      <c r="Y278" s="44"/>
      <c r="Z278" s="44"/>
      <c r="AA278" s="1062"/>
      <c r="AB278" s="1087"/>
      <c r="AC278" s="779"/>
      <c r="AD278" s="1062"/>
      <c r="AE278" s="1087"/>
      <c r="AF278" s="1229"/>
      <c r="AG278" s="1091"/>
      <c r="AH278" s="774"/>
      <c r="AI278" s="1064"/>
      <c r="AJ278" s="1065"/>
      <c r="AK278" s="1200"/>
      <c r="AL278" s="1091"/>
      <c r="AM278" s="774"/>
    </row>
    <row r="279" spans="1:39" s="45" customFormat="1" ht="15.75" thickBot="1">
      <c r="A279" s="584"/>
      <c r="B279" s="592"/>
      <c r="C279" s="114"/>
      <c r="D279" s="115"/>
      <c r="E279" s="116"/>
      <c r="F279" s="117" t="s">
        <v>1100</v>
      </c>
      <c r="G279" s="1109">
        <f>SUM(G266:G278)</f>
        <v>30398678</v>
      </c>
      <c r="H279" s="576"/>
      <c r="I279" s="575"/>
      <c r="J279" s="575"/>
      <c r="K279" s="575"/>
      <c r="L279" s="577"/>
      <c r="M279" s="578"/>
      <c r="N279" s="585"/>
      <c r="O279" s="95"/>
      <c r="P279" s="579"/>
      <c r="Q279" s="580"/>
      <c r="R279" s="580"/>
      <c r="S279" s="581"/>
      <c r="T279" s="582"/>
      <c r="U279" s="79"/>
      <c r="V279" s="621"/>
      <c r="W279" s="808"/>
      <c r="X279" s="44"/>
      <c r="Y279" s="44"/>
      <c r="Z279" s="44"/>
      <c r="AA279" s="1064"/>
      <c r="AB279" s="1065"/>
      <c r="AC279" s="592"/>
      <c r="AD279" s="1064"/>
      <c r="AE279" s="1065"/>
      <c r="AF279" s="1227"/>
      <c r="AG279" s="1073" t="s">
        <v>1100</v>
      </c>
      <c r="AH279" s="1117">
        <f>SUM(AH266:AH278)</f>
        <v>43332528</v>
      </c>
      <c r="AI279" s="593"/>
      <c r="AJ279" s="999"/>
      <c r="AK279" s="1198"/>
      <c r="AL279" s="1073" t="s">
        <v>1100</v>
      </c>
      <c r="AM279" s="1117">
        <f>SUM(AM266:AM278)</f>
        <v>42414358</v>
      </c>
    </row>
    <row r="280" spans="1:39" s="45" customFormat="1" ht="15.75" thickBot="1">
      <c r="A280" s="584"/>
      <c r="B280" s="592"/>
      <c r="C280" s="140"/>
      <c r="D280" s="23"/>
      <c r="E280" s="107"/>
      <c r="F280" s="25"/>
      <c r="G280" s="1110"/>
      <c r="H280" s="576"/>
      <c r="I280" s="575"/>
      <c r="J280" s="575"/>
      <c r="K280" s="575"/>
      <c r="L280" s="577"/>
      <c r="M280" s="578"/>
      <c r="N280" s="585"/>
      <c r="O280" s="95"/>
      <c r="P280" s="579"/>
      <c r="Q280" s="580"/>
      <c r="R280" s="580"/>
      <c r="S280" s="581"/>
      <c r="T280" s="582"/>
      <c r="U280" s="79"/>
      <c r="V280" s="621"/>
      <c r="W280" s="808"/>
      <c r="X280" s="44"/>
      <c r="Y280" s="44"/>
      <c r="Z280" s="44"/>
      <c r="AA280" s="593"/>
      <c r="AB280" s="999"/>
      <c r="AC280" s="592"/>
      <c r="AD280" s="593"/>
      <c r="AE280" s="999"/>
      <c r="AF280" s="1232"/>
      <c r="AG280" s="575"/>
      <c r="AH280" s="795"/>
      <c r="AI280" s="1074"/>
      <c r="AJ280" s="1075"/>
      <c r="AK280" s="1203"/>
      <c r="AL280" s="575"/>
      <c r="AM280" s="795"/>
    </row>
    <row r="281" spans="1:39" s="45" customFormat="1" ht="15.75" thickBot="1">
      <c r="A281" s="584"/>
      <c r="B281" s="1026"/>
      <c r="C281" s="871"/>
      <c r="D281" s="873"/>
      <c r="E281" s="874"/>
      <c r="F281" s="1180" t="s">
        <v>1024</v>
      </c>
      <c r="G281" s="1108">
        <f>+G279+G264</f>
        <v>66769738</v>
      </c>
      <c r="H281" s="576"/>
      <c r="I281" s="575"/>
      <c r="J281" s="575"/>
      <c r="K281" s="575"/>
      <c r="L281" s="577"/>
      <c r="M281" s="578"/>
      <c r="N281" s="585"/>
      <c r="O281" s="95"/>
      <c r="P281" s="579"/>
      <c r="Q281" s="580"/>
      <c r="R281" s="580"/>
      <c r="S281" s="581"/>
      <c r="T281" s="582"/>
      <c r="U281" s="79"/>
      <c r="V281" s="621"/>
      <c r="W281" s="808"/>
      <c r="X281" s="44"/>
      <c r="Y281" s="44"/>
      <c r="Z281" s="44"/>
      <c r="AA281" s="1074"/>
      <c r="AB281" s="1075"/>
      <c r="AC281" s="1122"/>
      <c r="AD281" s="1074"/>
      <c r="AE281" s="1075"/>
      <c r="AF281" s="1227"/>
      <c r="AG281" s="1181" t="s">
        <v>1024</v>
      </c>
      <c r="AH281" s="1115">
        <f>+AH279+AH264</f>
        <v>84641488</v>
      </c>
      <c r="AI281" s="593"/>
      <c r="AJ281" s="827"/>
      <c r="AK281" s="1198"/>
      <c r="AL281" s="1181" t="s">
        <v>1024</v>
      </c>
      <c r="AM281" s="1115">
        <f>+AM279+AM264</f>
        <v>78785418</v>
      </c>
    </row>
    <row r="282" spans="1:39" s="45" customFormat="1" ht="15.75" thickBot="1">
      <c r="A282" s="584"/>
      <c r="B282" s="592"/>
      <c r="C282" s="593"/>
      <c r="D282" s="827"/>
      <c r="E282" s="594"/>
      <c r="F282" s="575"/>
      <c r="G282" s="792"/>
      <c r="H282" s="576"/>
      <c r="I282" s="575"/>
      <c r="J282" s="575"/>
      <c r="K282" s="575"/>
      <c r="L282" s="577"/>
      <c r="M282" s="578"/>
      <c r="N282" s="585"/>
      <c r="O282" s="95"/>
      <c r="P282" s="579"/>
      <c r="Q282" s="580"/>
      <c r="R282" s="580"/>
      <c r="S282" s="581"/>
      <c r="T282" s="582"/>
      <c r="U282" s="79"/>
      <c r="V282" s="621"/>
      <c r="W282" s="808"/>
      <c r="X282" s="44"/>
      <c r="Y282" s="44"/>
      <c r="Z282" s="44"/>
      <c r="AA282" s="593"/>
      <c r="AB282" s="827"/>
      <c r="AC282" s="592"/>
      <c r="AD282" s="593"/>
      <c r="AE282" s="827"/>
      <c r="AF282" s="1223"/>
      <c r="AG282" s="575"/>
      <c r="AH282" s="792"/>
      <c r="AI282" s="1060" t="s">
        <v>1038</v>
      </c>
      <c r="AJ282" s="1061"/>
      <c r="AK282" s="1194"/>
      <c r="AL282" s="575"/>
      <c r="AM282" s="792"/>
    </row>
    <row r="283" spans="1:39" s="45" customFormat="1">
      <c r="A283" s="584"/>
      <c r="B283" s="592">
        <v>9</v>
      </c>
      <c r="C283" s="75" t="s">
        <v>1038</v>
      </c>
      <c r="D283" s="76"/>
      <c r="E283" s="76"/>
      <c r="F283" s="76"/>
      <c r="G283" s="126"/>
      <c r="H283" s="576"/>
      <c r="I283" s="575"/>
      <c r="J283" s="575"/>
      <c r="K283" s="575"/>
      <c r="L283" s="577"/>
      <c r="M283" s="578"/>
      <c r="N283" s="585"/>
      <c r="O283" s="95"/>
      <c r="P283" s="579"/>
      <c r="Q283" s="580"/>
      <c r="R283" s="580"/>
      <c r="S283" s="581"/>
      <c r="T283" s="582"/>
      <c r="U283" s="79"/>
      <c r="V283" s="621"/>
      <c r="W283" s="808"/>
      <c r="X283" s="44"/>
      <c r="Y283" s="44"/>
      <c r="Z283" s="44"/>
      <c r="AA283" s="1060" t="s">
        <v>1038</v>
      </c>
      <c r="AB283" s="1061"/>
      <c r="AC283" s="592">
        <v>9</v>
      </c>
      <c r="AD283" s="1060" t="s">
        <v>1038</v>
      </c>
      <c r="AE283" s="1061"/>
      <c r="AF283" s="1221"/>
      <c r="AG283" s="1061"/>
      <c r="AH283" s="1113"/>
      <c r="AK283" s="1192"/>
      <c r="AL283" s="1061"/>
      <c r="AM283" s="1113"/>
    </row>
    <row r="284" spans="1:39" s="45" customFormat="1" ht="38.25">
      <c r="A284" s="584"/>
      <c r="B284" s="592">
        <v>9.1</v>
      </c>
      <c r="C284" s="102" t="s">
        <v>943</v>
      </c>
      <c r="D284" s="772" t="s">
        <v>139</v>
      </c>
      <c r="E284" s="587">
        <v>135</v>
      </c>
      <c r="F284" s="587">
        <v>2610</v>
      </c>
      <c r="G284" s="774">
        <f>+E284*F284</f>
        <v>352350</v>
      </c>
      <c r="H284" s="576"/>
      <c r="I284" s="575"/>
      <c r="J284" s="575"/>
      <c r="K284" s="575"/>
      <c r="L284" s="577"/>
      <c r="M284" s="578"/>
      <c r="N284" s="585"/>
      <c r="O284" s="95"/>
      <c r="P284" s="579"/>
      <c r="Q284" s="580"/>
      <c r="R284" s="580"/>
      <c r="S284" s="581"/>
      <c r="T284" s="582"/>
      <c r="U284" s="79"/>
      <c r="V284" s="621"/>
      <c r="W284" s="808"/>
      <c r="X284" s="44"/>
      <c r="Y284" s="44"/>
      <c r="Z284" s="44"/>
      <c r="AA284" s="102" t="s">
        <v>943</v>
      </c>
      <c r="AB284" s="772" t="s">
        <v>139</v>
      </c>
      <c r="AC284" s="592">
        <v>9.1</v>
      </c>
      <c r="AD284" s="102" t="s">
        <v>943</v>
      </c>
      <c r="AE284" s="772" t="s">
        <v>139</v>
      </c>
      <c r="AF284" s="1230">
        <v>135</v>
      </c>
      <c r="AG284" s="587">
        <v>2610</v>
      </c>
      <c r="AH284" s="774">
        <f>+AF284*AG284</f>
        <v>352350</v>
      </c>
      <c r="AI284" s="102" t="s">
        <v>943</v>
      </c>
      <c r="AJ284" s="772" t="s">
        <v>139</v>
      </c>
      <c r="AK284" s="1201">
        <v>135</v>
      </c>
      <c r="AL284" s="587">
        <v>2610</v>
      </c>
      <c r="AM284" s="774">
        <f>+AK284*AL284</f>
        <v>352350</v>
      </c>
    </row>
    <row r="285" spans="1:39" s="45" customFormat="1" ht="25.5">
      <c r="A285" s="584"/>
      <c r="B285" s="592">
        <v>9.1999999999999993</v>
      </c>
      <c r="C285" s="102" t="s">
        <v>1046</v>
      </c>
      <c r="D285" s="772"/>
      <c r="E285" s="587"/>
      <c r="F285" s="587"/>
      <c r="G285" s="774"/>
      <c r="H285" s="576"/>
      <c r="I285" s="575"/>
      <c r="J285" s="575"/>
      <c r="K285" s="575"/>
      <c r="L285" s="577"/>
      <c r="M285" s="578"/>
      <c r="N285" s="585"/>
      <c r="O285" s="95"/>
      <c r="P285" s="579"/>
      <c r="Q285" s="580"/>
      <c r="R285" s="580"/>
      <c r="S285" s="581"/>
      <c r="T285" s="582"/>
      <c r="U285" s="79"/>
      <c r="V285" s="621"/>
      <c r="W285" s="808"/>
      <c r="X285" s="44"/>
      <c r="Y285" s="44"/>
      <c r="Z285" s="44"/>
      <c r="AA285" s="102" t="s">
        <v>1046</v>
      </c>
      <c r="AB285" s="772"/>
      <c r="AC285" s="592">
        <v>9.1999999999999993</v>
      </c>
      <c r="AD285" s="102" t="s">
        <v>1046</v>
      </c>
      <c r="AE285" s="772"/>
      <c r="AF285" s="1230"/>
      <c r="AG285" s="587"/>
      <c r="AH285" s="774"/>
      <c r="AI285" s="102" t="s">
        <v>1046</v>
      </c>
      <c r="AJ285" s="772"/>
      <c r="AK285" s="1201"/>
      <c r="AL285" s="587"/>
      <c r="AM285" s="774"/>
    </row>
    <row r="286" spans="1:39" s="45" customFormat="1" ht="38.25">
      <c r="A286" s="584"/>
      <c r="B286" s="592" t="s">
        <v>1048</v>
      </c>
      <c r="C286" s="593" t="s">
        <v>1039</v>
      </c>
      <c r="D286" s="827" t="s">
        <v>56</v>
      </c>
      <c r="E286" s="594">
        <v>240</v>
      </c>
      <c r="F286" s="575">
        <v>81410</v>
      </c>
      <c r="G286" s="774">
        <f t="shared" ref="G286:G335" si="80">+E286*F286</f>
        <v>19538400</v>
      </c>
      <c r="H286" s="576"/>
      <c r="I286" s="575"/>
      <c r="J286" s="575"/>
      <c r="K286" s="575"/>
      <c r="L286" s="577"/>
      <c r="M286" s="578"/>
      <c r="N286" s="585"/>
      <c r="O286" s="95"/>
      <c r="P286" s="579"/>
      <c r="Q286" s="580"/>
      <c r="R286" s="580"/>
      <c r="S286" s="581"/>
      <c r="T286" s="582"/>
      <c r="U286" s="79"/>
      <c r="V286" s="621"/>
      <c r="W286" s="808"/>
      <c r="X286" s="44"/>
      <c r="Y286" s="44"/>
      <c r="Z286" s="44"/>
      <c r="AA286" s="593" t="s">
        <v>1483</v>
      </c>
      <c r="AB286" s="827" t="s">
        <v>56</v>
      </c>
      <c r="AC286" s="592" t="s">
        <v>1048</v>
      </c>
      <c r="AD286" s="593" t="s">
        <v>1483</v>
      </c>
      <c r="AE286" s="827" t="s">
        <v>56</v>
      </c>
      <c r="AF286" s="1223">
        <v>240</v>
      </c>
      <c r="AG286" s="575">
        <v>81410</v>
      </c>
      <c r="AH286" s="774">
        <f t="shared" ref="AH286:AH316" si="81">+AF286*AG286</f>
        <v>19538400</v>
      </c>
      <c r="AI286" s="593" t="s">
        <v>1483</v>
      </c>
      <c r="AJ286" s="827" t="s">
        <v>56</v>
      </c>
      <c r="AK286" s="1194">
        <v>240</v>
      </c>
      <c r="AL286" s="575">
        <v>81410</v>
      </c>
      <c r="AM286" s="774">
        <f t="shared" ref="AM286:AM316" si="82">+AK286*AL286</f>
        <v>19538400</v>
      </c>
    </row>
    <row r="287" spans="1:39" s="45" customFormat="1" ht="38.25">
      <c r="A287" s="584"/>
      <c r="B287" s="592">
        <v>9.3000000000000007</v>
      </c>
      <c r="C287" s="593" t="s">
        <v>1047</v>
      </c>
      <c r="D287" s="827"/>
      <c r="E287" s="594"/>
      <c r="F287" s="575"/>
      <c r="G287" s="774"/>
      <c r="H287" s="576"/>
      <c r="I287" s="575"/>
      <c r="J287" s="575"/>
      <c r="K287" s="575"/>
      <c r="L287" s="577"/>
      <c r="M287" s="578"/>
      <c r="N287" s="585"/>
      <c r="O287" s="95"/>
      <c r="P287" s="579"/>
      <c r="Q287" s="580"/>
      <c r="R287" s="580"/>
      <c r="S287" s="581"/>
      <c r="T287" s="582"/>
      <c r="U287" s="79"/>
      <c r="V287" s="621"/>
      <c r="W287" s="808"/>
      <c r="X287" s="44"/>
      <c r="Y287" s="44"/>
      <c r="Z287" s="44"/>
      <c r="AA287" s="593" t="s">
        <v>1047</v>
      </c>
      <c r="AB287" s="827"/>
      <c r="AC287" s="592">
        <v>9.3000000000000007</v>
      </c>
      <c r="AD287" s="593" t="s">
        <v>1047</v>
      </c>
      <c r="AE287" s="827"/>
      <c r="AF287" s="1223"/>
      <c r="AG287" s="575"/>
      <c r="AH287" s="774"/>
      <c r="AI287" s="593" t="s">
        <v>1047</v>
      </c>
      <c r="AJ287" s="827"/>
      <c r="AK287" s="1194"/>
      <c r="AL287" s="575"/>
      <c r="AM287" s="774"/>
    </row>
    <row r="288" spans="1:39" s="45" customFormat="1" ht="76.5">
      <c r="A288" s="584"/>
      <c r="B288" s="592" t="s">
        <v>1049</v>
      </c>
      <c r="C288" s="593" t="s">
        <v>1040</v>
      </c>
      <c r="D288" s="827" t="s">
        <v>139</v>
      </c>
      <c r="E288" s="594">
        <v>2.2999999999999998</v>
      </c>
      <c r="F288" s="1056">
        <v>312309</v>
      </c>
      <c r="G288" s="774">
        <f t="shared" si="80"/>
        <v>718310.7</v>
      </c>
      <c r="H288" s="576"/>
      <c r="I288" s="575"/>
      <c r="J288" s="575"/>
      <c r="K288" s="575"/>
      <c r="L288" s="577"/>
      <c r="M288" s="578"/>
      <c r="N288" s="585"/>
      <c r="O288" s="95"/>
      <c r="P288" s="579"/>
      <c r="Q288" s="580"/>
      <c r="R288" s="580"/>
      <c r="S288" s="581"/>
      <c r="T288" s="582"/>
      <c r="U288" s="79"/>
      <c r="V288" s="621"/>
      <c r="W288" s="808"/>
      <c r="X288" s="44"/>
      <c r="Y288" s="44"/>
      <c r="Z288" s="44"/>
      <c r="AA288" s="593" t="s">
        <v>1040</v>
      </c>
      <c r="AB288" s="827" t="s">
        <v>139</v>
      </c>
      <c r="AC288" s="592" t="s">
        <v>1049</v>
      </c>
      <c r="AD288" s="593" t="s">
        <v>1040</v>
      </c>
      <c r="AE288" s="827" t="s">
        <v>139</v>
      </c>
      <c r="AF288" s="1223">
        <v>2.2999999999999998</v>
      </c>
      <c r="AG288" s="575">
        <v>312309</v>
      </c>
      <c r="AH288" s="774">
        <f t="shared" si="81"/>
        <v>718310.7</v>
      </c>
      <c r="AI288" s="593" t="s">
        <v>1040</v>
      </c>
      <c r="AJ288" s="827" t="s">
        <v>139</v>
      </c>
      <c r="AK288" s="1194">
        <v>2.2999999999999998</v>
      </c>
      <c r="AL288" s="575">
        <v>312309</v>
      </c>
      <c r="AM288" s="774">
        <f t="shared" si="82"/>
        <v>718310.7</v>
      </c>
    </row>
    <row r="289" spans="1:39" s="45" customFormat="1" ht="51">
      <c r="A289" s="584"/>
      <c r="B289" s="592" t="s">
        <v>1050</v>
      </c>
      <c r="C289" s="593" t="s">
        <v>1415</v>
      </c>
      <c r="D289" s="827" t="s">
        <v>56</v>
      </c>
      <c r="E289" s="594">
        <v>39</v>
      </c>
      <c r="F289" s="587">
        <v>17220</v>
      </c>
      <c r="G289" s="774">
        <f t="shared" si="80"/>
        <v>671580</v>
      </c>
      <c r="H289" s="576"/>
      <c r="I289" s="575"/>
      <c r="J289" s="575"/>
      <c r="K289" s="575"/>
      <c r="L289" s="577"/>
      <c r="M289" s="578"/>
      <c r="N289" s="585"/>
      <c r="O289" s="95"/>
      <c r="P289" s="579"/>
      <c r="Q289" s="580"/>
      <c r="R289" s="580"/>
      <c r="S289" s="581"/>
      <c r="T289" s="582"/>
      <c r="U289" s="79"/>
      <c r="V289" s="621"/>
      <c r="W289" s="808"/>
      <c r="X289" s="44"/>
      <c r="Y289" s="44"/>
      <c r="Z289" s="44"/>
      <c r="AA289" s="593" t="s">
        <v>1415</v>
      </c>
      <c r="AB289" s="827" t="s">
        <v>56</v>
      </c>
      <c r="AC289" s="592" t="s">
        <v>1050</v>
      </c>
      <c r="AD289" s="593" t="s">
        <v>1415</v>
      </c>
      <c r="AE289" s="827" t="s">
        <v>56</v>
      </c>
      <c r="AF289" s="1223">
        <v>18</v>
      </c>
      <c r="AG289" s="587">
        <v>17220</v>
      </c>
      <c r="AH289" s="774">
        <f t="shared" si="81"/>
        <v>309960</v>
      </c>
      <c r="AI289" s="593" t="s">
        <v>1415</v>
      </c>
      <c r="AJ289" s="827" t="s">
        <v>56</v>
      </c>
      <c r="AK289" s="1194">
        <v>39</v>
      </c>
      <c r="AL289" s="587">
        <v>17220</v>
      </c>
      <c r="AM289" s="774">
        <f t="shared" si="82"/>
        <v>671580</v>
      </c>
    </row>
    <row r="290" spans="1:39" s="45" customFormat="1" ht="153">
      <c r="A290" s="584"/>
      <c r="B290" s="592" t="s">
        <v>1051</v>
      </c>
      <c r="C290" s="593" t="s">
        <v>1414</v>
      </c>
      <c r="D290" s="827" t="s">
        <v>139</v>
      </c>
      <c r="E290" s="594">
        <v>6.9</v>
      </c>
      <c r="F290" s="575">
        <v>467430</v>
      </c>
      <c r="G290" s="774">
        <f t="shared" si="80"/>
        <v>3225267</v>
      </c>
      <c r="H290" s="576"/>
      <c r="I290" s="575"/>
      <c r="J290" s="575"/>
      <c r="K290" s="575"/>
      <c r="L290" s="577"/>
      <c r="M290" s="578"/>
      <c r="N290" s="585"/>
      <c r="O290" s="95"/>
      <c r="P290" s="579"/>
      <c r="Q290" s="580"/>
      <c r="R290" s="580"/>
      <c r="S290" s="581"/>
      <c r="T290" s="582"/>
      <c r="U290" s="79"/>
      <c r="V290" s="621"/>
      <c r="W290" s="808"/>
      <c r="X290" s="1031"/>
      <c r="Y290" s="44"/>
      <c r="Z290" s="44"/>
      <c r="AA290" s="593" t="s">
        <v>1414</v>
      </c>
      <c r="AB290" s="827" t="s">
        <v>139</v>
      </c>
      <c r="AC290" s="592" t="s">
        <v>1051</v>
      </c>
      <c r="AD290" s="593" t="s">
        <v>1414</v>
      </c>
      <c r="AE290" s="827" t="s">
        <v>139</v>
      </c>
      <c r="AF290" s="1223">
        <v>6.5</v>
      </c>
      <c r="AG290" s="575">
        <v>467430</v>
      </c>
      <c r="AH290" s="774">
        <f t="shared" si="81"/>
        <v>3038295</v>
      </c>
      <c r="AI290" s="593" t="s">
        <v>1414</v>
      </c>
      <c r="AJ290" s="827" t="s">
        <v>139</v>
      </c>
      <c r="AK290" s="1194">
        <v>6.9</v>
      </c>
      <c r="AL290" s="575">
        <v>467430</v>
      </c>
      <c r="AM290" s="774">
        <f t="shared" si="82"/>
        <v>3225267</v>
      </c>
    </row>
    <row r="291" spans="1:39" s="45" customFormat="1" ht="51">
      <c r="A291" s="584"/>
      <c r="B291" s="1257" t="s">
        <v>1051</v>
      </c>
      <c r="C291" s="593" t="s">
        <v>1416</v>
      </c>
      <c r="D291" s="827" t="s">
        <v>139</v>
      </c>
      <c r="E291" s="594">
        <v>6.24</v>
      </c>
      <c r="F291" s="575">
        <v>656039</v>
      </c>
      <c r="G291" s="774">
        <f t="shared" si="80"/>
        <v>4093683.3600000003</v>
      </c>
      <c r="H291" s="576"/>
      <c r="I291" s="575"/>
      <c r="J291" s="575"/>
      <c r="K291" s="575"/>
      <c r="L291" s="577"/>
      <c r="M291" s="578"/>
      <c r="N291" s="585"/>
      <c r="O291" s="95"/>
      <c r="P291" s="579"/>
      <c r="Q291" s="580"/>
      <c r="R291" s="580"/>
      <c r="S291" s="581"/>
      <c r="T291" s="582"/>
      <c r="U291" s="79"/>
      <c r="V291" s="621"/>
      <c r="W291" s="808"/>
      <c r="X291" s="44"/>
      <c r="Y291" s="44"/>
      <c r="Z291" s="44"/>
      <c r="AA291" s="593" t="s">
        <v>1416</v>
      </c>
      <c r="AB291" s="827" t="s">
        <v>139</v>
      </c>
      <c r="AC291" s="592" t="s">
        <v>1052</v>
      </c>
      <c r="AD291" s="593" t="s">
        <v>1416</v>
      </c>
      <c r="AE291" s="827" t="s">
        <v>139</v>
      </c>
      <c r="AF291" s="1223">
        <v>8.6999999999999993</v>
      </c>
      <c r="AG291" s="575">
        <v>656039</v>
      </c>
      <c r="AH291" s="774">
        <f t="shared" si="81"/>
        <v>5707539.2999999998</v>
      </c>
      <c r="AI291" s="593" t="s">
        <v>1416</v>
      </c>
      <c r="AJ291" s="827" t="s">
        <v>139</v>
      </c>
      <c r="AK291" s="1194">
        <v>6.24</v>
      </c>
      <c r="AL291" s="575">
        <v>656039</v>
      </c>
      <c r="AM291" s="774">
        <f t="shared" si="82"/>
        <v>4093683.3600000003</v>
      </c>
    </row>
    <row r="292" spans="1:39" s="45" customFormat="1" ht="51">
      <c r="A292" s="584"/>
      <c r="B292" s="592" t="s">
        <v>1052</v>
      </c>
      <c r="C292" s="593" t="s">
        <v>1417</v>
      </c>
      <c r="D292" s="827" t="s">
        <v>139</v>
      </c>
      <c r="E292" s="594">
        <v>7.6</v>
      </c>
      <c r="F292" s="575">
        <f>+F291</f>
        <v>656039</v>
      </c>
      <c r="G292" s="774">
        <f t="shared" si="80"/>
        <v>4985896.3999999994</v>
      </c>
      <c r="H292" s="576"/>
      <c r="I292" s="575"/>
      <c r="J292" s="575"/>
      <c r="K292" s="575"/>
      <c r="L292" s="577"/>
      <c r="M292" s="578"/>
      <c r="N292" s="585"/>
      <c r="O292" s="95"/>
      <c r="P292" s="579"/>
      <c r="Q292" s="580"/>
      <c r="R292" s="580"/>
      <c r="S292" s="581"/>
      <c r="T292" s="582"/>
      <c r="U292" s="79"/>
      <c r="V292" s="621"/>
      <c r="W292" s="808"/>
      <c r="X292" s="44"/>
      <c r="Y292" s="44"/>
      <c r="Z292" s="44"/>
      <c r="AA292" s="593" t="s">
        <v>1417</v>
      </c>
      <c r="AB292" s="827" t="s">
        <v>139</v>
      </c>
      <c r="AC292" s="592" t="s">
        <v>1053</v>
      </c>
      <c r="AD292" s="593" t="s">
        <v>1417</v>
      </c>
      <c r="AE292" s="827" t="s">
        <v>139</v>
      </c>
      <c r="AF292" s="1223">
        <v>7.6</v>
      </c>
      <c r="AG292" s="575">
        <f>+AG291</f>
        <v>656039</v>
      </c>
      <c r="AH292" s="774">
        <f t="shared" si="81"/>
        <v>4985896.3999999994</v>
      </c>
      <c r="AI292" s="593" t="s">
        <v>1417</v>
      </c>
      <c r="AJ292" s="827" t="s">
        <v>139</v>
      </c>
      <c r="AK292" s="1194">
        <v>7.6</v>
      </c>
      <c r="AL292" s="575">
        <f>+AL291</f>
        <v>656039</v>
      </c>
      <c r="AM292" s="774">
        <f t="shared" si="82"/>
        <v>4985896.3999999994</v>
      </c>
    </row>
    <row r="293" spans="1:39" s="45" customFormat="1" ht="51">
      <c r="A293" s="584"/>
      <c r="B293" s="592" t="s">
        <v>1053</v>
      </c>
      <c r="C293" s="593" t="s">
        <v>1418</v>
      </c>
      <c r="D293" s="827" t="s">
        <v>139</v>
      </c>
      <c r="E293" s="594">
        <v>2.5</v>
      </c>
      <c r="F293" s="575">
        <v>640640</v>
      </c>
      <c r="G293" s="774">
        <f t="shared" si="80"/>
        <v>1601600</v>
      </c>
      <c r="H293" s="576"/>
      <c r="I293" s="575"/>
      <c r="J293" s="575"/>
      <c r="K293" s="575"/>
      <c r="L293" s="577"/>
      <c r="M293" s="578"/>
      <c r="N293" s="585"/>
      <c r="O293" s="95"/>
      <c r="P293" s="579"/>
      <c r="Q293" s="580"/>
      <c r="R293" s="580"/>
      <c r="S293" s="581"/>
      <c r="T293" s="582"/>
      <c r="U293" s="79"/>
      <c r="V293" s="621"/>
      <c r="W293" s="808"/>
      <c r="X293" s="44"/>
      <c r="Y293" s="44"/>
      <c r="Z293" s="44"/>
      <c r="AA293" s="593" t="s">
        <v>1418</v>
      </c>
      <c r="AB293" s="827" t="s">
        <v>139</v>
      </c>
      <c r="AC293" s="592" t="s">
        <v>1492</v>
      </c>
      <c r="AD293" s="593" t="s">
        <v>1418</v>
      </c>
      <c r="AE293" s="827" t="s">
        <v>139</v>
      </c>
      <c r="AF293" s="1223">
        <v>2.5</v>
      </c>
      <c r="AG293" s="575">
        <v>640640</v>
      </c>
      <c r="AH293" s="774">
        <f t="shared" si="81"/>
        <v>1601600</v>
      </c>
      <c r="AI293" s="593" t="s">
        <v>1418</v>
      </c>
      <c r="AJ293" s="827" t="s">
        <v>139</v>
      </c>
      <c r="AK293" s="1194">
        <v>2.5</v>
      </c>
      <c r="AL293" s="575">
        <v>640640</v>
      </c>
      <c r="AM293" s="774">
        <f t="shared" si="82"/>
        <v>1601600</v>
      </c>
    </row>
    <row r="294" spans="1:39" s="45" customFormat="1" ht="25.5">
      <c r="A294" s="584"/>
      <c r="B294" s="592">
        <v>9.4</v>
      </c>
      <c r="C294" s="593" t="s">
        <v>1054</v>
      </c>
      <c r="D294" s="827"/>
      <c r="E294" s="594"/>
      <c r="F294" s="575"/>
      <c r="G294" s="774"/>
      <c r="H294" s="576"/>
      <c r="I294" s="575"/>
      <c r="J294" s="575"/>
      <c r="K294" s="575"/>
      <c r="L294" s="577"/>
      <c r="M294" s="578"/>
      <c r="N294" s="585"/>
      <c r="O294" s="95"/>
      <c r="P294" s="579"/>
      <c r="Q294" s="580"/>
      <c r="R294" s="580"/>
      <c r="S294" s="581"/>
      <c r="T294" s="582"/>
      <c r="U294" s="79"/>
      <c r="V294" s="621"/>
      <c r="W294" s="808"/>
      <c r="X294" s="44"/>
      <c r="Y294" s="44"/>
      <c r="Z294" s="44"/>
      <c r="AA294" s="593" t="s">
        <v>1054</v>
      </c>
      <c r="AB294" s="827"/>
      <c r="AC294" s="592">
        <v>9.4</v>
      </c>
      <c r="AD294" s="593" t="s">
        <v>1054</v>
      </c>
      <c r="AE294" s="827"/>
      <c r="AF294" s="1223"/>
      <c r="AG294" s="575"/>
      <c r="AH294" s="774"/>
      <c r="AI294" s="593" t="s">
        <v>1054</v>
      </c>
      <c r="AJ294" s="827"/>
      <c r="AK294" s="1194"/>
      <c r="AL294" s="575"/>
      <c r="AM294" s="774"/>
    </row>
    <row r="295" spans="1:39" s="45" customFormat="1" ht="63.75">
      <c r="A295" s="584"/>
      <c r="B295" s="592" t="s">
        <v>1055</v>
      </c>
      <c r="C295" s="102" t="s">
        <v>522</v>
      </c>
      <c r="D295" s="777" t="s">
        <v>142</v>
      </c>
      <c r="E295" s="780">
        <v>1500</v>
      </c>
      <c r="F295" s="587">
        <v>3100</v>
      </c>
      <c r="G295" s="774">
        <f>+E295*F295</f>
        <v>4650000</v>
      </c>
      <c r="H295" s="576"/>
      <c r="I295" s="575"/>
      <c r="J295" s="575"/>
      <c r="K295" s="575"/>
      <c r="L295" s="577"/>
      <c r="M295" s="578"/>
      <c r="N295" s="585"/>
      <c r="O295" s="95"/>
      <c r="P295" s="579"/>
      <c r="Q295" s="580"/>
      <c r="R295" s="580"/>
      <c r="S295" s="581"/>
      <c r="T295" s="582"/>
      <c r="U295" s="79"/>
      <c r="V295" s="621"/>
      <c r="W295" s="808"/>
      <c r="X295" s="44"/>
      <c r="Y295" s="44"/>
      <c r="Z295" s="44"/>
      <c r="AA295" s="102" t="s">
        <v>522</v>
      </c>
      <c r="AB295" s="777" t="s">
        <v>142</v>
      </c>
      <c r="AC295" s="592" t="s">
        <v>1055</v>
      </c>
      <c r="AD295" s="102" t="s">
        <v>522</v>
      </c>
      <c r="AE295" s="777" t="s">
        <v>142</v>
      </c>
      <c r="AF295" s="1222">
        <v>1500</v>
      </c>
      <c r="AG295" s="587">
        <v>3100</v>
      </c>
      <c r="AH295" s="774">
        <f>+AF295*AG295</f>
        <v>4650000</v>
      </c>
      <c r="AI295" s="102" t="s">
        <v>522</v>
      </c>
      <c r="AJ295" s="777" t="s">
        <v>142</v>
      </c>
      <c r="AK295" s="1193">
        <v>1500</v>
      </c>
      <c r="AL295" s="587">
        <v>3100</v>
      </c>
      <c r="AM295" s="774">
        <f>+AK295*AL295</f>
        <v>4650000</v>
      </c>
    </row>
    <row r="296" spans="1:39" s="45" customFormat="1" ht="63.75">
      <c r="A296" s="584"/>
      <c r="B296" s="592" t="s">
        <v>1056</v>
      </c>
      <c r="C296" s="102" t="s">
        <v>1044</v>
      </c>
      <c r="D296" s="777" t="s">
        <v>142</v>
      </c>
      <c r="E296" s="780">
        <v>2580</v>
      </c>
      <c r="F296" s="587">
        <v>3100</v>
      </c>
      <c r="G296" s="774">
        <f t="shared" ref="G296" si="83">+E296*F296</f>
        <v>7998000</v>
      </c>
      <c r="H296" s="576"/>
      <c r="I296" s="575"/>
      <c r="J296" s="575"/>
      <c r="K296" s="575"/>
      <c r="L296" s="577"/>
      <c r="M296" s="578"/>
      <c r="N296" s="585"/>
      <c r="O296" s="95"/>
      <c r="P296" s="579"/>
      <c r="Q296" s="580"/>
      <c r="R296" s="580"/>
      <c r="S296" s="581"/>
      <c r="T296" s="582"/>
      <c r="U296" s="79"/>
      <c r="V296" s="621"/>
      <c r="W296" s="808"/>
      <c r="X296" s="44"/>
      <c r="Y296" s="44"/>
      <c r="Z296" s="44"/>
      <c r="AA296" s="102" t="s">
        <v>1044</v>
      </c>
      <c r="AB296" s="777" t="s">
        <v>142</v>
      </c>
      <c r="AC296" s="592" t="s">
        <v>1056</v>
      </c>
      <c r="AD296" s="102" t="s">
        <v>1044</v>
      </c>
      <c r="AE296" s="777" t="s">
        <v>142</v>
      </c>
      <c r="AF296" s="1222">
        <v>2580</v>
      </c>
      <c r="AG296" s="587">
        <v>3100</v>
      </c>
      <c r="AH296" s="774">
        <f>+AF296*AG296</f>
        <v>7998000</v>
      </c>
      <c r="AI296" s="102" t="s">
        <v>1044</v>
      </c>
      <c r="AJ296" s="777" t="s">
        <v>142</v>
      </c>
      <c r="AK296" s="1193">
        <v>2580</v>
      </c>
      <c r="AL296" s="587">
        <v>3100</v>
      </c>
      <c r="AM296" s="774">
        <f>+AK296*AL296</f>
        <v>7998000</v>
      </c>
    </row>
    <row r="297" spans="1:39" s="45" customFormat="1">
      <c r="A297" s="584"/>
      <c r="B297" s="592">
        <v>9.5</v>
      </c>
      <c r="C297" s="593" t="s">
        <v>64</v>
      </c>
      <c r="D297" s="827"/>
      <c r="E297" s="594"/>
      <c r="F297" s="575"/>
      <c r="G297" s="774"/>
      <c r="H297" s="576"/>
      <c r="I297" s="575"/>
      <c r="J297" s="575"/>
      <c r="K297" s="575"/>
      <c r="L297" s="577"/>
      <c r="M297" s="578"/>
      <c r="N297" s="585"/>
      <c r="O297" s="95"/>
      <c r="P297" s="579"/>
      <c r="Q297" s="580"/>
      <c r="R297" s="580"/>
      <c r="S297" s="581"/>
      <c r="T297" s="582"/>
      <c r="U297" s="79"/>
      <c r="V297" s="621"/>
      <c r="W297" s="808"/>
      <c r="X297" s="44"/>
      <c r="Y297" s="44"/>
      <c r="Z297" s="44"/>
      <c r="AA297" s="593" t="s">
        <v>64</v>
      </c>
      <c r="AB297" s="827"/>
      <c r="AC297" s="592">
        <v>9.5</v>
      </c>
      <c r="AD297" s="593" t="s">
        <v>64</v>
      </c>
      <c r="AE297" s="827"/>
      <c r="AF297" s="1223"/>
      <c r="AG297" s="575"/>
      <c r="AH297" s="774"/>
      <c r="AI297" s="593" t="s">
        <v>64</v>
      </c>
      <c r="AJ297" s="827"/>
      <c r="AK297" s="1194"/>
      <c r="AL297" s="575"/>
      <c r="AM297" s="774"/>
    </row>
    <row r="298" spans="1:39" s="45" customFormat="1" ht="153">
      <c r="A298" s="584"/>
      <c r="B298" s="592" t="s">
        <v>1447</v>
      </c>
      <c r="C298" s="1035" t="s">
        <v>1413</v>
      </c>
      <c r="D298" s="974" t="s">
        <v>500</v>
      </c>
      <c r="E298" s="967">
        <v>241</v>
      </c>
      <c r="F298" s="968">
        <v>37320</v>
      </c>
      <c r="G298" s="774">
        <f t="shared" si="80"/>
        <v>8994120</v>
      </c>
      <c r="H298" s="576"/>
      <c r="I298" s="575"/>
      <c r="J298" s="575"/>
      <c r="K298" s="575"/>
      <c r="L298" s="577"/>
      <c r="M298" s="578"/>
      <c r="N298" s="585"/>
      <c r="O298" s="95"/>
      <c r="P298" s="579"/>
      <c r="Q298" s="580"/>
      <c r="R298" s="580"/>
      <c r="S298" s="581"/>
      <c r="T298" s="582"/>
      <c r="U298" s="79"/>
      <c r="V298" s="621"/>
      <c r="W298" s="808"/>
      <c r="X298" s="44"/>
      <c r="Y298" s="44"/>
      <c r="Z298" s="44"/>
      <c r="AA298" s="1035" t="s">
        <v>1413</v>
      </c>
      <c r="AB298" s="974" t="s">
        <v>500</v>
      </c>
      <c r="AC298" s="592" t="s">
        <v>1447</v>
      </c>
      <c r="AD298" s="1035" t="s">
        <v>1413</v>
      </c>
      <c r="AE298" s="974" t="s">
        <v>500</v>
      </c>
      <c r="AF298" s="1223">
        <v>241</v>
      </c>
      <c r="AG298" s="968">
        <v>37320</v>
      </c>
      <c r="AH298" s="774">
        <f t="shared" si="81"/>
        <v>8994120</v>
      </c>
      <c r="AI298" s="1035" t="s">
        <v>1413</v>
      </c>
      <c r="AJ298" s="974" t="s">
        <v>500</v>
      </c>
      <c r="AK298" s="1194">
        <v>241</v>
      </c>
      <c r="AL298" s="968">
        <v>37320</v>
      </c>
      <c r="AM298" s="774">
        <f t="shared" si="82"/>
        <v>8994120</v>
      </c>
    </row>
    <row r="299" spans="1:39" s="45" customFormat="1" ht="51">
      <c r="A299" s="584"/>
      <c r="B299" s="592" t="s">
        <v>1448</v>
      </c>
      <c r="C299" s="1035" t="s">
        <v>1440</v>
      </c>
      <c r="D299" s="974"/>
      <c r="E299" s="1048"/>
      <c r="F299" s="968"/>
      <c r="G299" s="990">
        <f t="shared" si="80"/>
        <v>0</v>
      </c>
      <c r="H299" s="576"/>
      <c r="I299" s="575"/>
      <c r="J299" s="575"/>
      <c r="K299" s="575"/>
      <c r="L299" s="577"/>
      <c r="M299" s="578"/>
      <c r="N299" s="585"/>
      <c r="O299" s="95"/>
      <c r="P299" s="579"/>
      <c r="Q299" s="580"/>
      <c r="R299" s="580"/>
      <c r="S299" s="581"/>
      <c r="T299" s="582"/>
      <c r="U299" s="79"/>
      <c r="V299" s="621"/>
      <c r="W299" s="808"/>
      <c r="X299" s="44"/>
      <c r="Y299" s="44"/>
      <c r="Z299" s="44"/>
      <c r="AA299" s="1035" t="s">
        <v>1484</v>
      </c>
      <c r="AB299" s="974"/>
      <c r="AC299" s="592" t="s">
        <v>1448</v>
      </c>
      <c r="AD299" s="1035" t="s">
        <v>1484</v>
      </c>
      <c r="AE299" s="974"/>
      <c r="AF299" s="1223"/>
      <c r="AG299" s="968"/>
      <c r="AH299" s="774"/>
      <c r="AI299" s="1035" t="s">
        <v>1484</v>
      </c>
      <c r="AJ299" s="974"/>
      <c r="AK299" s="1194"/>
      <c r="AL299" s="968"/>
      <c r="AM299" s="774"/>
    </row>
    <row r="300" spans="1:39" s="45" customFormat="1" ht="63.75">
      <c r="A300" s="584"/>
      <c r="B300" s="592" t="s">
        <v>1449</v>
      </c>
      <c r="C300" s="1035" t="s">
        <v>1441</v>
      </c>
      <c r="D300" s="974" t="s">
        <v>500</v>
      </c>
      <c r="E300" s="1049">
        <v>12.7</v>
      </c>
      <c r="F300" s="1050">
        <v>28670</v>
      </c>
      <c r="G300" s="774">
        <f t="shared" si="80"/>
        <v>364109</v>
      </c>
      <c r="H300" s="576"/>
      <c r="I300" s="575"/>
      <c r="J300" s="575"/>
      <c r="K300" s="575"/>
      <c r="L300" s="577"/>
      <c r="M300" s="578"/>
      <c r="N300" s="585"/>
      <c r="O300" s="95"/>
      <c r="P300" s="579"/>
      <c r="Q300" s="580"/>
      <c r="R300" s="580"/>
      <c r="S300" s="581"/>
      <c r="T300" s="582"/>
      <c r="U300" s="79"/>
      <c r="V300" s="621"/>
      <c r="W300" s="808"/>
      <c r="X300" s="44"/>
      <c r="Y300" s="44"/>
      <c r="Z300" s="44"/>
      <c r="AA300" s="1035" t="s">
        <v>1441</v>
      </c>
      <c r="AB300" s="974" t="s">
        <v>500</v>
      </c>
      <c r="AC300" s="592" t="s">
        <v>1493</v>
      </c>
      <c r="AD300" s="1035" t="s">
        <v>1441</v>
      </c>
      <c r="AE300" s="974" t="s">
        <v>500</v>
      </c>
      <c r="AF300" s="1223">
        <v>13</v>
      </c>
      <c r="AG300" s="968">
        <v>28670</v>
      </c>
      <c r="AH300" s="774">
        <f>+AF300*AG300</f>
        <v>372710</v>
      </c>
      <c r="AI300" s="1035" t="s">
        <v>1441</v>
      </c>
      <c r="AJ300" s="974" t="s">
        <v>500</v>
      </c>
      <c r="AK300" s="1194">
        <v>13</v>
      </c>
      <c r="AL300" s="968">
        <v>28670</v>
      </c>
      <c r="AM300" s="774">
        <f>+AK300*AL300</f>
        <v>372710</v>
      </c>
    </row>
    <row r="301" spans="1:39" s="45" customFormat="1" ht="51">
      <c r="A301" s="584"/>
      <c r="B301" s="592" t="s">
        <v>1450</v>
      </c>
      <c r="C301" s="1035" t="s">
        <v>1442</v>
      </c>
      <c r="D301" s="974" t="s">
        <v>56</v>
      </c>
      <c r="E301" s="1051">
        <v>192.51</v>
      </c>
      <c r="F301" s="968">
        <v>26250</v>
      </c>
      <c r="G301" s="774">
        <f t="shared" si="80"/>
        <v>5053387.5</v>
      </c>
      <c r="H301" s="576"/>
      <c r="I301" s="575"/>
      <c r="J301" s="575"/>
      <c r="K301" s="575"/>
      <c r="L301" s="577"/>
      <c r="M301" s="578"/>
      <c r="N301" s="585"/>
      <c r="O301" s="95"/>
      <c r="P301" s="579"/>
      <c r="Q301" s="580"/>
      <c r="R301" s="580"/>
      <c r="S301" s="581"/>
      <c r="T301" s="582"/>
      <c r="U301" s="79"/>
      <c r="V301" s="621"/>
      <c r="W301" s="808"/>
      <c r="X301" s="44"/>
      <c r="Y301" s="44"/>
      <c r="Z301" s="44"/>
      <c r="AA301" s="1035" t="s">
        <v>1485</v>
      </c>
      <c r="AB301" s="974" t="s">
        <v>56</v>
      </c>
      <c r="AC301" s="592" t="s">
        <v>1494</v>
      </c>
      <c r="AD301" s="1035" t="s">
        <v>1485</v>
      </c>
      <c r="AE301" s="974" t="s">
        <v>56</v>
      </c>
      <c r="AF301" s="1223">
        <v>192.5</v>
      </c>
      <c r="AG301" s="968">
        <v>26250</v>
      </c>
      <c r="AH301" s="774">
        <f t="shared" si="81"/>
        <v>5053125</v>
      </c>
      <c r="AI301" s="1035" t="s">
        <v>1485</v>
      </c>
      <c r="AJ301" s="974" t="s">
        <v>56</v>
      </c>
      <c r="AK301" s="1194">
        <v>192.5</v>
      </c>
      <c r="AL301" s="968">
        <v>26250</v>
      </c>
      <c r="AM301" s="774">
        <f t="shared" si="82"/>
        <v>5053125</v>
      </c>
    </row>
    <row r="302" spans="1:39" s="45" customFormat="1" ht="51">
      <c r="A302" s="584"/>
      <c r="B302" s="592" t="s">
        <v>1451</v>
      </c>
      <c r="C302" s="1035" t="s">
        <v>1443</v>
      </c>
      <c r="D302" s="974" t="s">
        <v>56</v>
      </c>
      <c r="E302" s="1048">
        <v>69</v>
      </c>
      <c r="F302" s="968">
        <v>15000</v>
      </c>
      <c r="G302" s="774">
        <f t="shared" si="80"/>
        <v>1035000</v>
      </c>
      <c r="H302" s="576"/>
      <c r="I302" s="575"/>
      <c r="J302" s="575"/>
      <c r="K302" s="575"/>
      <c r="L302" s="577"/>
      <c r="M302" s="578"/>
      <c r="N302" s="585"/>
      <c r="O302" s="95"/>
      <c r="P302" s="579"/>
      <c r="Q302" s="580"/>
      <c r="R302" s="580"/>
      <c r="S302" s="581"/>
      <c r="T302" s="582"/>
      <c r="U302" s="79"/>
      <c r="V302" s="621"/>
      <c r="W302" s="808"/>
      <c r="X302" s="44"/>
      <c r="Y302" s="44"/>
      <c r="Z302" s="44"/>
      <c r="AA302" s="1035" t="s">
        <v>1486</v>
      </c>
      <c r="AB302" s="974" t="s">
        <v>56</v>
      </c>
      <c r="AC302" s="592" t="s">
        <v>1495</v>
      </c>
      <c r="AD302" s="1035" t="s">
        <v>1486</v>
      </c>
      <c r="AE302" s="974" t="s">
        <v>56</v>
      </c>
      <c r="AF302" s="1223">
        <v>69</v>
      </c>
      <c r="AG302" s="968">
        <v>15000</v>
      </c>
      <c r="AH302" s="774">
        <f t="shared" si="81"/>
        <v>1035000</v>
      </c>
      <c r="AI302" s="1035" t="s">
        <v>1486</v>
      </c>
      <c r="AJ302" s="974" t="s">
        <v>22</v>
      </c>
      <c r="AK302" s="1194">
        <v>69</v>
      </c>
      <c r="AL302" s="968">
        <v>15000</v>
      </c>
      <c r="AM302" s="774">
        <f t="shared" si="82"/>
        <v>1035000</v>
      </c>
    </row>
    <row r="303" spans="1:39" s="45" customFormat="1" ht="51">
      <c r="A303" s="584"/>
      <c r="B303" s="592" t="s">
        <v>1452</v>
      </c>
      <c r="C303" s="1035" t="s">
        <v>1444</v>
      </c>
      <c r="D303" s="974" t="s">
        <v>56</v>
      </c>
      <c r="E303" s="1048">
        <v>308</v>
      </c>
      <c r="F303" s="968">
        <v>24050</v>
      </c>
      <c r="G303" s="774">
        <f t="shared" si="80"/>
        <v>7407400</v>
      </c>
      <c r="H303" s="576"/>
      <c r="I303" s="575"/>
      <c r="J303" s="575"/>
      <c r="K303" s="575"/>
      <c r="L303" s="577"/>
      <c r="M303" s="578"/>
      <c r="N303" s="585"/>
      <c r="O303" s="95"/>
      <c r="P303" s="579"/>
      <c r="Q303" s="580"/>
      <c r="R303" s="580"/>
      <c r="S303" s="581"/>
      <c r="T303" s="582"/>
      <c r="U303" s="79"/>
      <c r="V303" s="621"/>
      <c r="W303" s="808"/>
      <c r="X303" s="44"/>
      <c r="Y303" s="44"/>
      <c r="Z303" s="44"/>
      <c r="AA303" s="1035" t="s">
        <v>1487</v>
      </c>
      <c r="AB303" s="974" t="s">
        <v>56</v>
      </c>
      <c r="AC303" s="592" t="s">
        <v>1496</v>
      </c>
      <c r="AD303" s="1035" t="s">
        <v>1487</v>
      </c>
      <c r="AE303" s="974" t="s">
        <v>56</v>
      </c>
      <c r="AF303" s="1223">
        <v>308</v>
      </c>
      <c r="AG303" s="968">
        <v>24050</v>
      </c>
      <c r="AH303" s="774">
        <f t="shared" si="81"/>
        <v>7407400</v>
      </c>
      <c r="AI303" s="1035" t="s">
        <v>1487</v>
      </c>
      <c r="AJ303" s="974" t="s">
        <v>22</v>
      </c>
      <c r="AK303" s="1194">
        <v>308</v>
      </c>
      <c r="AL303" s="968">
        <v>24050</v>
      </c>
      <c r="AM303" s="774">
        <f t="shared" si="82"/>
        <v>7407400</v>
      </c>
    </row>
    <row r="304" spans="1:39" s="45" customFormat="1" ht="51">
      <c r="A304" s="584"/>
      <c r="B304" s="592" t="s">
        <v>1453</v>
      </c>
      <c r="C304" s="1035" t="s">
        <v>1445</v>
      </c>
      <c r="D304" s="974" t="s">
        <v>56</v>
      </c>
      <c r="E304" s="1048">
        <v>414</v>
      </c>
      <c r="F304" s="968">
        <v>53610</v>
      </c>
      <c r="G304" s="774">
        <f t="shared" si="80"/>
        <v>22194540</v>
      </c>
      <c r="H304" s="576"/>
      <c r="I304" s="575"/>
      <c r="J304" s="575"/>
      <c r="K304" s="575"/>
      <c r="L304" s="577"/>
      <c r="M304" s="578"/>
      <c r="N304" s="585"/>
      <c r="O304" s="95"/>
      <c r="P304" s="579"/>
      <c r="Q304" s="580"/>
      <c r="R304" s="580"/>
      <c r="S304" s="581"/>
      <c r="T304" s="582"/>
      <c r="U304" s="79"/>
      <c r="V304" s="621"/>
      <c r="W304" s="808"/>
      <c r="X304" s="44"/>
      <c r="Y304" s="44"/>
      <c r="Z304" s="44"/>
      <c r="AA304" s="1035" t="s">
        <v>1488</v>
      </c>
      <c r="AB304" s="974" t="s">
        <v>56</v>
      </c>
      <c r="AC304" s="592" t="s">
        <v>1497</v>
      </c>
      <c r="AD304" s="1035" t="s">
        <v>1488</v>
      </c>
      <c r="AE304" s="974" t="s">
        <v>56</v>
      </c>
      <c r="AF304" s="1223">
        <v>414</v>
      </c>
      <c r="AG304" s="968">
        <v>31970</v>
      </c>
      <c r="AH304" s="774">
        <f t="shared" si="81"/>
        <v>13235580</v>
      </c>
      <c r="AI304" s="1035" t="s">
        <v>1488</v>
      </c>
      <c r="AJ304" s="974" t="s">
        <v>22</v>
      </c>
      <c r="AK304" s="1194">
        <v>414</v>
      </c>
      <c r="AL304" s="968">
        <v>31970</v>
      </c>
      <c r="AM304" s="774">
        <f t="shared" si="82"/>
        <v>13235580</v>
      </c>
    </row>
    <row r="305" spans="1:39" s="45" customFormat="1" ht="38.25">
      <c r="A305" s="584"/>
      <c r="B305" s="592">
        <v>9.6</v>
      </c>
      <c r="C305" s="1035" t="s">
        <v>1446</v>
      </c>
      <c r="D305" s="974" t="s">
        <v>500</v>
      </c>
      <c r="E305" s="1048">
        <v>57.4</v>
      </c>
      <c r="F305" s="968">
        <v>43880</v>
      </c>
      <c r="G305" s="774">
        <f t="shared" si="80"/>
        <v>2518712</v>
      </c>
      <c r="H305" s="576"/>
      <c r="I305" s="575"/>
      <c r="J305" s="575"/>
      <c r="K305" s="575"/>
      <c r="L305" s="577"/>
      <c r="M305" s="578"/>
      <c r="N305" s="585"/>
      <c r="O305" s="95"/>
      <c r="P305" s="579"/>
      <c r="Q305" s="580"/>
      <c r="R305" s="580"/>
      <c r="S305" s="581"/>
      <c r="T305" s="582"/>
      <c r="U305" s="79"/>
      <c r="V305" s="621"/>
      <c r="W305" s="808"/>
      <c r="X305" s="44"/>
      <c r="Y305" s="44"/>
      <c r="Z305" s="44"/>
      <c r="AA305" s="1035" t="s">
        <v>1489</v>
      </c>
      <c r="AB305" s="974" t="s">
        <v>500</v>
      </c>
      <c r="AC305" s="592">
        <v>9.6</v>
      </c>
      <c r="AD305" s="1035" t="s">
        <v>1489</v>
      </c>
      <c r="AE305" s="974" t="s">
        <v>500</v>
      </c>
      <c r="AF305" s="1223">
        <v>57.4</v>
      </c>
      <c r="AG305" s="968">
        <v>40500</v>
      </c>
      <c r="AH305" s="774">
        <f t="shared" si="81"/>
        <v>2324700</v>
      </c>
      <c r="AI305" s="1035" t="s">
        <v>1489</v>
      </c>
      <c r="AJ305" s="974" t="s">
        <v>500</v>
      </c>
      <c r="AK305" s="1194">
        <v>57.4</v>
      </c>
      <c r="AL305" s="968">
        <v>40500</v>
      </c>
      <c r="AM305" s="774">
        <f t="shared" si="82"/>
        <v>2324700</v>
      </c>
    </row>
    <row r="306" spans="1:39" s="45" customFormat="1" ht="76.5">
      <c r="A306" s="584"/>
      <c r="B306" s="592">
        <v>9.6999999999999993</v>
      </c>
      <c r="C306" s="1052" t="s">
        <v>1419</v>
      </c>
      <c r="D306" s="1053" t="s">
        <v>500</v>
      </c>
      <c r="E306" s="1055">
        <v>13</v>
      </c>
      <c r="F306" s="1054">
        <v>34480</v>
      </c>
      <c r="G306" s="867">
        <f t="shared" si="80"/>
        <v>448240</v>
      </c>
      <c r="H306" s="576"/>
      <c r="I306" s="575"/>
      <c r="J306" s="575"/>
      <c r="K306" s="575"/>
      <c r="L306" s="577"/>
      <c r="M306" s="578"/>
      <c r="N306" s="585"/>
      <c r="O306" s="95"/>
      <c r="P306" s="579"/>
      <c r="Q306" s="580"/>
      <c r="R306" s="580"/>
      <c r="S306" s="581"/>
      <c r="T306" s="582"/>
      <c r="U306" s="79"/>
      <c r="V306" s="621"/>
      <c r="W306" s="808"/>
      <c r="X306" s="44"/>
      <c r="Y306" s="44"/>
      <c r="Z306" s="44"/>
      <c r="AA306" s="1035" t="s">
        <v>1419</v>
      </c>
      <c r="AB306" s="974" t="s">
        <v>500</v>
      </c>
      <c r="AC306" s="592">
        <f>+AC305+0.1</f>
        <v>9.6999999999999993</v>
      </c>
      <c r="AD306" s="1035" t="s">
        <v>1419</v>
      </c>
      <c r="AE306" s="974" t="s">
        <v>500</v>
      </c>
      <c r="AF306" s="1223">
        <v>13</v>
      </c>
      <c r="AG306" s="968">
        <v>34480</v>
      </c>
      <c r="AH306" s="774">
        <f t="shared" si="81"/>
        <v>448240</v>
      </c>
      <c r="AI306" s="1035" t="s">
        <v>1419</v>
      </c>
      <c r="AJ306" s="974" t="s">
        <v>500</v>
      </c>
      <c r="AK306" s="1194">
        <v>13</v>
      </c>
      <c r="AL306" s="968">
        <v>34480</v>
      </c>
      <c r="AM306" s="774">
        <f t="shared" si="82"/>
        <v>448240</v>
      </c>
    </row>
    <row r="307" spans="1:39" s="45" customFormat="1" ht="63.75">
      <c r="A307" s="584"/>
      <c r="B307" s="1257">
        <v>9.8000000000000007</v>
      </c>
      <c r="C307" s="1035" t="s">
        <v>1059</v>
      </c>
      <c r="D307" s="974" t="s">
        <v>56</v>
      </c>
      <c r="E307" s="1055">
        <v>125</v>
      </c>
      <c r="F307" s="968">
        <v>29541</v>
      </c>
      <c r="G307" s="774">
        <f t="shared" si="80"/>
        <v>3692625</v>
      </c>
      <c r="H307" s="576"/>
      <c r="I307" s="575"/>
      <c r="J307" s="575"/>
      <c r="K307" s="575"/>
      <c r="L307" s="577"/>
      <c r="M307" s="578"/>
      <c r="N307" s="585"/>
      <c r="O307" s="95"/>
      <c r="P307" s="579"/>
      <c r="Q307" s="580"/>
      <c r="R307" s="580"/>
      <c r="S307" s="581"/>
      <c r="T307" s="582"/>
      <c r="U307" s="79"/>
      <c r="V307" s="621"/>
      <c r="W307" s="808"/>
      <c r="X307" s="44"/>
      <c r="Y307" s="44"/>
      <c r="Z307" s="44"/>
      <c r="AA307" s="1035" t="s">
        <v>1059</v>
      </c>
      <c r="AB307" s="974" t="s">
        <v>56</v>
      </c>
      <c r="AC307" s="592">
        <f t="shared" ref="AC307:AC308" si="84">+AC306+0.1</f>
        <v>9.7999999999999989</v>
      </c>
      <c r="AD307" s="1035" t="s">
        <v>1059</v>
      </c>
      <c r="AE307" s="974" t="s">
        <v>56</v>
      </c>
      <c r="AF307" s="1223">
        <v>94</v>
      </c>
      <c r="AG307" s="968">
        <v>29541</v>
      </c>
      <c r="AH307" s="774">
        <f t="shared" si="81"/>
        <v>2776854</v>
      </c>
      <c r="AI307" s="1035" t="s">
        <v>1059</v>
      </c>
      <c r="AJ307" s="974" t="s">
        <v>56</v>
      </c>
      <c r="AK307" s="1194">
        <v>125</v>
      </c>
      <c r="AL307" s="968">
        <v>29541</v>
      </c>
      <c r="AM307" s="774">
        <f t="shared" si="82"/>
        <v>3692625</v>
      </c>
    </row>
    <row r="308" spans="1:39" s="45" customFormat="1">
      <c r="A308" s="584"/>
      <c r="B308" s="592">
        <v>9.9</v>
      </c>
      <c r="C308" s="593" t="s">
        <v>1060</v>
      </c>
      <c r="D308" s="827"/>
      <c r="E308" s="594"/>
      <c r="F308" s="575"/>
      <c r="G308" s="774"/>
      <c r="H308" s="576"/>
      <c r="I308" s="575"/>
      <c r="J308" s="575"/>
      <c r="K308" s="575"/>
      <c r="L308" s="577"/>
      <c r="M308" s="578"/>
      <c r="N308" s="585"/>
      <c r="O308" s="95"/>
      <c r="P308" s="579"/>
      <c r="Q308" s="580"/>
      <c r="R308" s="580"/>
      <c r="S308" s="581"/>
      <c r="T308" s="582"/>
      <c r="U308" s="79"/>
      <c r="V308" s="621"/>
      <c r="W308" s="808"/>
      <c r="X308" s="44"/>
      <c r="Y308" s="44"/>
      <c r="Z308" s="44"/>
      <c r="AA308" s="593" t="s">
        <v>1060</v>
      </c>
      <c r="AB308" s="827"/>
      <c r="AC308" s="592">
        <f t="shared" si="84"/>
        <v>9.8999999999999986</v>
      </c>
      <c r="AD308" s="593" t="s">
        <v>1060</v>
      </c>
      <c r="AE308" s="827"/>
      <c r="AF308" s="1223"/>
      <c r="AG308" s="575"/>
      <c r="AH308" s="774"/>
      <c r="AI308" s="593" t="s">
        <v>1060</v>
      </c>
      <c r="AJ308" s="827"/>
      <c r="AK308" s="1194"/>
      <c r="AL308" s="575"/>
      <c r="AM308" s="774"/>
    </row>
    <row r="309" spans="1:39" s="45" customFormat="1" ht="63.75">
      <c r="A309" s="584"/>
      <c r="B309" s="884" t="s">
        <v>1089</v>
      </c>
      <c r="C309" s="593" t="s">
        <v>1061</v>
      </c>
      <c r="D309" s="827" t="s">
        <v>56</v>
      </c>
      <c r="E309" s="1055">
        <v>203</v>
      </c>
      <c r="F309" s="575">
        <v>17130</v>
      </c>
      <c r="G309" s="774">
        <f t="shared" si="80"/>
        <v>3477390</v>
      </c>
      <c r="H309" s="576"/>
      <c r="I309" s="575"/>
      <c r="J309" s="575"/>
      <c r="K309" s="575"/>
      <c r="L309" s="577"/>
      <c r="M309" s="578"/>
      <c r="N309" s="585"/>
      <c r="O309" s="95"/>
      <c r="P309" s="579"/>
      <c r="Q309" s="580"/>
      <c r="R309" s="580"/>
      <c r="S309" s="581"/>
      <c r="T309" s="582"/>
      <c r="U309" s="79"/>
      <c r="V309" s="621"/>
      <c r="W309" s="808"/>
      <c r="X309" s="44"/>
      <c r="Y309" s="44"/>
      <c r="Z309" s="44"/>
      <c r="AA309" s="593" t="s">
        <v>1061</v>
      </c>
      <c r="AB309" s="827" t="s">
        <v>56</v>
      </c>
      <c r="AC309" s="592" t="s">
        <v>1089</v>
      </c>
      <c r="AD309" s="593" t="s">
        <v>1061</v>
      </c>
      <c r="AE309" s="827" t="s">
        <v>56</v>
      </c>
      <c r="AF309" s="1223">
        <v>159</v>
      </c>
      <c r="AG309" s="575">
        <v>17130</v>
      </c>
      <c r="AH309" s="774">
        <f t="shared" si="81"/>
        <v>2723670</v>
      </c>
      <c r="AI309" s="593" t="s">
        <v>1061</v>
      </c>
      <c r="AJ309" s="827" t="s">
        <v>56</v>
      </c>
      <c r="AK309" s="1194">
        <v>203</v>
      </c>
      <c r="AL309" s="575">
        <v>17130</v>
      </c>
      <c r="AM309" s="774">
        <f t="shared" si="82"/>
        <v>3477390</v>
      </c>
    </row>
    <row r="310" spans="1:39" s="45" customFormat="1" ht="51">
      <c r="A310" s="584"/>
      <c r="B310" s="884" t="s">
        <v>1090</v>
      </c>
      <c r="C310" s="593" t="s">
        <v>1062</v>
      </c>
      <c r="D310" s="827" t="s">
        <v>56</v>
      </c>
      <c r="E310" s="1055">
        <v>60</v>
      </c>
      <c r="F310" s="575">
        <v>34392</v>
      </c>
      <c r="G310" s="774">
        <f t="shared" si="80"/>
        <v>2063520</v>
      </c>
      <c r="H310" s="576"/>
      <c r="I310" s="575"/>
      <c r="J310" s="575"/>
      <c r="K310" s="575"/>
      <c r="L310" s="577"/>
      <c r="M310" s="578"/>
      <c r="N310" s="585"/>
      <c r="O310" s="95"/>
      <c r="P310" s="579"/>
      <c r="Q310" s="580"/>
      <c r="R310" s="580"/>
      <c r="S310" s="581"/>
      <c r="T310" s="582"/>
      <c r="U310" s="79"/>
      <c r="V310" s="621"/>
      <c r="W310" s="808"/>
      <c r="X310" s="44"/>
      <c r="Y310" s="44"/>
      <c r="Z310" s="44"/>
      <c r="AA310" s="593" t="s">
        <v>1062</v>
      </c>
      <c r="AB310" s="827" t="s">
        <v>56</v>
      </c>
      <c r="AC310" s="592" t="s">
        <v>1090</v>
      </c>
      <c r="AD310" s="593" t="s">
        <v>1062</v>
      </c>
      <c r="AE310" s="827" t="s">
        <v>56</v>
      </c>
      <c r="AF310" s="1223">
        <v>60</v>
      </c>
      <c r="AG310" s="575">
        <v>34392</v>
      </c>
      <c r="AH310" s="774">
        <f t="shared" si="81"/>
        <v>2063520</v>
      </c>
      <c r="AI310" s="593" t="s">
        <v>1062</v>
      </c>
      <c r="AJ310" s="827" t="s">
        <v>56</v>
      </c>
      <c r="AK310" s="1194">
        <v>60</v>
      </c>
      <c r="AL310" s="575">
        <v>34392</v>
      </c>
      <c r="AM310" s="774">
        <f t="shared" si="82"/>
        <v>2063520</v>
      </c>
    </row>
    <row r="311" spans="1:39" s="45" customFormat="1" ht="76.5">
      <c r="A311" s="584"/>
      <c r="B311" s="1258">
        <v>9.1</v>
      </c>
      <c r="C311" s="593" t="s">
        <v>1063</v>
      </c>
      <c r="D311" s="827" t="s">
        <v>56</v>
      </c>
      <c r="E311" s="594">
        <v>164</v>
      </c>
      <c r="F311" s="575">
        <v>25070</v>
      </c>
      <c r="G311" s="774">
        <f t="shared" si="80"/>
        <v>4111480</v>
      </c>
      <c r="H311" s="576"/>
      <c r="I311" s="575"/>
      <c r="J311" s="575"/>
      <c r="K311" s="575"/>
      <c r="L311" s="577"/>
      <c r="M311" s="578"/>
      <c r="N311" s="585"/>
      <c r="O311" s="95"/>
      <c r="P311" s="579"/>
      <c r="Q311" s="580"/>
      <c r="R311" s="580"/>
      <c r="S311" s="581"/>
      <c r="T311" s="582"/>
      <c r="U311" s="79"/>
      <c r="V311" s="621"/>
      <c r="W311" s="808"/>
      <c r="X311" s="44"/>
      <c r="Y311" s="44"/>
      <c r="Z311" s="44"/>
      <c r="AA311" s="593" t="s">
        <v>1063</v>
      </c>
      <c r="AB311" s="827" t="s">
        <v>56</v>
      </c>
      <c r="AC311" s="884">
        <v>9.1</v>
      </c>
      <c r="AD311" s="593" t="s">
        <v>1063</v>
      </c>
      <c r="AE311" s="827" t="s">
        <v>56</v>
      </c>
      <c r="AF311" s="1223">
        <v>168</v>
      </c>
      <c r="AG311" s="575">
        <v>25070</v>
      </c>
      <c r="AH311" s="774">
        <f t="shared" si="81"/>
        <v>4211760</v>
      </c>
      <c r="AI311" s="593" t="s">
        <v>1063</v>
      </c>
      <c r="AJ311" s="827" t="s">
        <v>56</v>
      </c>
      <c r="AK311" s="1194">
        <v>164</v>
      </c>
      <c r="AL311" s="575">
        <v>25070</v>
      </c>
      <c r="AM311" s="774">
        <f t="shared" si="82"/>
        <v>4111480</v>
      </c>
    </row>
    <row r="312" spans="1:39" s="45" customFormat="1" ht="51">
      <c r="A312" s="584"/>
      <c r="B312" s="884">
        <v>9.11</v>
      </c>
      <c r="C312" s="593" t="s">
        <v>1064</v>
      </c>
      <c r="D312" s="827" t="s">
        <v>56</v>
      </c>
      <c r="E312" s="594">
        <v>131</v>
      </c>
      <c r="F312" s="575">
        <v>44727</v>
      </c>
      <c r="G312" s="774">
        <f t="shared" si="80"/>
        <v>5859237</v>
      </c>
      <c r="H312" s="576"/>
      <c r="I312" s="575"/>
      <c r="J312" s="575"/>
      <c r="K312" s="575"/>
      <c r="L312" s="577"/>
      <c r="M312" s="578"/>
      <c r="N312" s="585"/>
      <c r="O312" s="95"/>
      <c r="P312" s="579"/>
      <c r="Q312" s="580"/>
      <c r="R312" s="580"/>
      <c r="S312" s="581"/>
      <c r="T312" s="582"/>
      <c r="U312" s="79"/>
      <c r="V312" s="621"/>
      <c r="W312" s="808"/>
      <c r="X312" s="44"/>
      <c r="Y312" s="44"/>
      <c r="Z312" s="44"/>
      <c r="AA312" s="593" t="s">
        <v>1064</v>
      </c>
      <c r="AB312" s="827" t="s">
        <v>56</v>
      </c>
      <c r="AC312" s="592">
        <v>9.11</v>
      </c>
      <c r="AD312" s="593" t="s">
        <v>1064</v>
      </c>
      <c r="AE312" s="827" t="s">
        <v>56</v>
      </c>
      <c r="AF312" s="1223">
        <v>131</v>
      </c>
      <c r="AG312" s="575">
        <v>44727</v>
      </c>
      <c r="AH312" s="774">
        <f t="shared" si="81"/>
        <v>5859237</v>
      </c>
      <c r="AI312" s="593" t="s">
        <v>1064</v>
      </c>
      <c r="AJ312" s="827" t="s">
        <v>56</v>
      </c>
      <c r="AK312" s="1194">
        <v>131</v>
      </c>
      <c r="AL312" s="575">
        <v>44727</v>
      </c>
      <c r="AM312" s="774">
        <f t="shared" si="82"/>
        <v>5859237</v>
      </c>
    </row>
    <row r="313" spans="1:39" s="45" customFormat="1" ht="25.5">
      <c r="A313" s="584"/>
      <c r="B313" s="884">
        <v>9.1199999999999992</v>
      </c>
      <c r="C313" s="593" t="s">
        <v>1065</v>
      </c>
      <c r="D313" s="827" t="s">
        <v>56</v>
      </c>
      <c r="E313" s="1055">
        <v>8</v>
      </c>
      <c r="F313" s="575">
        <v>90513</v>
      </c>
      <c r="G313" s="774">
        <f t="shared" si="80"/>
        <v>724104</v>
      </c>
      <c r="H313" s="576"/>
      <c r="I313" s="575"/>
      <c r="J313" s="575"/>
      <c r="K313" s="575"/>
      <c r="L313" s="577"/>
      <c r="M313" s="578"/>
      <c r="N313" s="585"/>
      <c r="O313" s="95"/>
      <c r="P313" s="579"/>
      <c r="Q313" s="580"/>
      <c r="R313" s="580"/>
      <c r="S313" s="581"/>
      <c r="T313" s="582"/>
      <c r="U313" s="79"/>
      <c r="V313" s="621"/>
      <c r="W313" s="808"/>
      <c r="X313" s="44"/>
      <c r="Y313" s="44"/>
      <c r="Z313" s="44"/>
      <c r="AA313" s="593" t="s">
        <v>1065</v>
      </c>
      <c r="AB313" s="827" t="s">
        <v>56</v>
      </c>
      <c r="AC313" s="592">
        <v>9.1199999999999992</v>
      </c>
      <c r="AD313" s="593" t="s">
        <v>1065</v>
      </c>
      <c r="AE313" s="827" t="s">
        <v>56</v>
      </c>
      <c r="AF313" s="1223">
        <v>8</v>
      </c>
      <c r="AG313" s="575">
        <v>90513</v>
      </c>
      <c r="AH313" s="774">
        <f t="shared" si="81"/>
        <v>724104</v>
      </c>
      <c r="AI313" s="593" t="s">
        <v>1065</v>
      </c>
      <c r="AJ313" s="827" t="s">
        <v>56</v>
      </c>
      <c r="AK313" s="1194">
        <v>8</v>
      </c>
      <c r="AL313" s="575">
        <v>90513</v>
      </c>
      <c r="AM313" s="774">
        <f t="shared" si="82"/>
        <v>724104</v>
      </c>
    </row>
    <row r="314" spans="1:39" s="45" customFormat="1" ht="25.5">
      <c r="A314" s="584"/>
      <c r="B314" s="884">
        <v>9.1300000000000008</v>
      </c>
      <c r="C314" s="593" t="s">
        <v>1071</v>
      </c>
      <c r="D314" s="827"/>
      <c r="E314" s="594"/>
      <c r="F314" s="575"/>
      <c r="G314" s="774"/>
      <c r="H314" s="576"/>
      <c r="I314" s="575"/>
      <c r="J314" s="575"/>
      <c r="K314" s="575"/>
      <c r="L314" s="577"/>
      <c r="M314" s="578"/>
      <c r="N314" s="585"/>
      <c r="O314" s="95"/>
      <c r="P314" s="579"/>
      <c r="Q314" s="580"/>
      <c r="R314" s="580"/>
      <c r="S314" s="581"/>
      <c r="T314" s="582"/>
      <c r="U314" s="79"/>
      <c r="V314" s="621"/>
      <c r="W314" s="808"/>
      <c r="X314" s="44"/>
      <c r="Y314" s="44"/>
      <c r="Z314" s="44"/>
      <c r="AA314" s="593" t="s">
        <v>1071</v>
      </c>
      <c r="AB314" s="827"/>
      <c r="AC314" s="592" t="s">
        <v>1498</v>
      </c>
      <c r="AD314" s="593" t="s">
        <v>1071</v>
      </c>
      <c r="AE314" s="827"/>
      <c r="AF314" s="1223"/>
      <c r="AG314" s="575"/>
      <c r="AH314" s="774"/>
      <c r="AI314" s="593" t="s">
        <v>1071</v>
      </c>
      <c r="AJ314" s="827"/>
      <c r="AK314" s="1194"/>
      <c r="AL314" s="575"/>
      <c r="AM314" s="774"/>
    </row>
    <row r="315" spans="1:39" s="45" customFormat="1" ht="89.25">
      <c r="A315" s="584"/>
      <c r="B315" s="884" t="s">
        <v>1454</v>
      </c>
      <c r="C315" s="593" t="s">
        <v>1073</v>
      </c>
      <c r="D315" s="827" t="s">
        <v>22</v>
      </c>
      <c r="E315" s="594">
        <v>1</v>
      </c>
      <c r="F315" s="575">
        <v>618839</v>
      </c>
      <c r="G315" s="774">
        <f t="shared" si="80"/>
        <v>618839</v>
      </c>
      <c r="H315" s="576"/>
      <c r="I315" s="575"/>
      <c r="J315" s="575"/>
      <c r="K315" s="575"/>
      <c r="L315" s="577"/>
      <c r="M315" s="578"/>
      <c r="N315" s="585"/>
      <c r="O315" s="95"/>
      <c r="P315" s="579"/>
      <c r="Q315" s="580"/>
      <c r="R315" s="580"/>
      <c r="S315" s="581"/>
      <c r="T315" s="582"/>
      <c r="U315" s="79"/>
      <c r="V315" s="621"/>
      <c r="W315" s="808"/>
      <c r="X315" s="44"/>
      <c r="Y315" s="44"/>
      <c r="Z315" s="44"/>
      <c r="AA315" s="593" t="s">
        <v>1073</v>
      </c>
      <c r="AB315" s="827" t="s">
        <v>22</v>
      </c>
      <c r="AC315" s="592" t="s">
        <v>1454</v>
      </c>
      <c r="AD315" s="593" t="s">
        <v>1073</v>
      </c>
      <c r="AE315" s="827" t="s">
        <v>22</v>
      </c>
      <c r="AF315" s="1223">
        <v>1</v>
      </c>
      <c r="AG315" s="575">
        <v>618839</v>
      </c>
      <c r="AH315" s="774">
        <f t="shared" si="81"/>
        <v>618839</v>
      </c>
      <c r="AI315" s="593" t="s">
        <v>1073</v>
      </c>
      <c r="AJ315" s="827" t="s">
        <v>22</v>
      </c>
      <c r="AK315" s="1194">
        <v>1</v>
      </c>
      <c r="AL315" s="575">
        <v>618839</v>
      </c>
      <c r="AM315" s="774">
        <f t="shared" si="82"/>
        <v>618839</v>
      </c>
    </row>
    <row r="316" spans="1:39" s="45" customFormat="1" ht="89.25">
      <c r="A316" s="584"/>
      <c r="B316" s="884" t="s">
        <v>1455</v>
      </c>
      <c r="C316" s="593" t="s">
        <v>1078</v>
      </c>
      <c r="D316" s="827" t="s">
        <v>56</v>
      </c>
      <c r="E316" s="1055">
        <v>22</v>
      </c>
      <c r="F316" s="575">
        <v>138273</v>
      </c>
      <c r="G316" s="774">
        <f t="shared" si="80"/>
        <v>3042006</v>
      </c>
      <c r="H316" s="576"/>
      <c r="I316" s="575"/>
      <c r="J316" s="575"/>
      <c r="K316" s="575"/>
      <c r="L316" s="577"/>
      <c r="M316" s="578"/>
      <c r="N316" s="585"/>
      <c r="O316" s="95"/>
      <c r="P316" s="579"/>
      <c r="Q316" s="580"/>
      <c r="R316" s="580"/>
      <c r="S316" s="581"/>
      <c r="T316" s="582"/>
      <c r="U316" s="79"/>
      <c r="V316" s="621"/>
      <c r="W316" s="808"/>
      <c r="X316" s="44"/>
      <c r="Y316" s="44"/>
      <c r="Z316" s="44"/>
      <c r="AA316" s="593" t="s">
        <v>1078</v>
      </c>
      <c r="AB316" s="827" t="s">
        <v>56</v>
      </c>
      <c r="AC316" s="592" t="s">
        <v>1455</v>
      </c>
      <c r="AD316" s="593" t="s">
        <v>1078</v>
      </c>
      <c r="AE316" s="827" t="s">
        <v>56</v>
      </c>
      <c r="AF316" s="1223">
        <v>22</v>
      </c>
      <c r="AG316" s="575">
        <v>138273</v>
      </c>
      <c r="AH316" s="774">
        <f t="shared" si="81"/>
        <v>3042006</v>
      </c>
      <c r="AI316" s="593" t="s">
        <v>1078</v>
      </c>
      <c r="AJ316" s="827" t="s">
        <v>56</v>
      </c>
      <c r="AK316" s="1194">
        <v>22</v>
      </c>
      <c r="AL316" s="575">
        <v>138273</v>
      </c>
      <c r="AM316" s="774">
        <f t="shared" si="82"/>
        <v>3042006</v>
      </c>
    </row>
    <row r="317" spans="1:39" s="45" customFormat="1" ht="51">
      <c r="A317" s="584"/>
      <c r="B317" s="884" t="s">
        <v>1456</v>
      </c>
      <c r="C317" s="593" t="s">
        <v>1080</v>
      </c>
      <c r="D317" s="827" t="s">
        <v>500</v>
      </c>
      <c r="E317" s="1055">
        <v>9</v>
      </c>
      <c r="F317" s="575">
        <v>144255</v>
      </c>
      <c r="G317" s="774">
        <f t="shared" si="80"/>
        <v>1298295</v>
      </c>
      <c r="H317" s="576"/>
      <c r="I317" s="575"/>
      <c r="J317" s="575"/>
      <c r="K317" s="575"/>
      <c r="L317" s="577"/>
      <c r="M317" s="578"/>
      <c r="N317" s="585"/>
      <c r="O317" s="95"/>
      <c r="P317" s="579"/>
      <c r="Q317" s="580"/>
      <c r="R317" s="580"/>
      <c r="S317" s="581"/>
      <c r="T317" s="582"/>
      <c r="U317" s="79"/>
      <c r="V317" s="621"/>
      <c r="W317" s="808"/>
      <c r="X317" s="44"/>
      <c r="Y317" s="44"/>
      <c r="Z317" s="44"/>
      <c r="AA317" s="593" t="s">
        <v>1490</v>
      </c>
      <c r="AB317" s="827" t="s">
        <v>22</v>
      </c>
      <c r="AC317" s="1123" t="s">
        <v>1457</v>
      </c>
      <c r="AD317" s="593" t="s">
        <v>1080</v>
      </c>
      <c r="AE317" s="827" t="s">
        <v>500</v>
      </c>
      <c r="AF317" s="1223">
        <v>9</v>
      </c>
      <c r="AG317" s="575">
        <v>144255</v>
      </c>
      <c r="AH317" s="774">
        <f>+AF317*AG317</f>
        <v>1298295</v>
      </c>
      <c r="AI317" s="593" t="s">
        <v>1080</v>
      </c>
      <c r="AJ317" s="827" t="s">
        <v>500</v>
      </c>
      <c r="AK317" s="1194">
        <v>9</v>
      </c>
      <c r="AL317" s="575">
        <v>144255</v>
      </c>
      <c r="AM317" s="774">
        <f>+AK317*AL317</f>
        <v>1298295</v>
      </c>
    </row>
    <row r="318" spans="1:39" s="45" customFormat="1" ht="51">
      <c r="A318" s="584"/>
      <c r="B318" s="884" t="s">
        <v>1457</v>
      </c>
      <c r="C318" s="593" t="s">
        <v>1469</v>
      </c>
      <c r="D318" s="827" t="s">
        <v>22</v>
      </c>
      <c r="E318" s="1048">
        <v>1</v>
      </c>
      <c r="F318" s="575">
        <v>856320</v>
      </c>
      <c r="G318" s="774">
        <f t="shared" si="80"/>
        <v>856320</v>
      </c>
      <c r="H318" s="576"/>
      <c r="I318" s="575"/>
      <c r="J318" s="575"/>
      <c r="K318" s="575"/>
      <c r="L318" s="577"/>
      <c r="M318" s="578"/>
      <c r="N318" s="585"/>
      <c r="O318" s="95"/>
      <c r="P318" s="579"/>
      <c r="Q318" s="580"/>
      <c r="R318" s="580"/>
      <c r="S318" s="581"/>
      <c r="T318" s="582"/>
      <c r="U318" s="79"/>
      <c r="V318" s="621"/>
      <c r="W318" s="808"/>
      <c r="X318" s="44"/>
      <c r="Y318" s="44"/>
      <c r="Z318" s="44"/>
      <c r="AA318" s="593" t="s">
        <v>1491</v>
      </c>
      <c r="AB318" s="827" t="s">
        <v>139</v>
      </c>
      <c r="AC318" s="1123">
        <v>9.14</v>
      </c>
      <c r="AD318" s="593" t="s">
        <v>1490</v>
      </c>
      <c r="AE318" s="827" t="s">
        <v>22</v>
      </c>
      <c r="AF318" s="1223">
        <v>1</v>
      </c>
      <c r="AG318" s="575">
        <v>856320</v>
      </c>
      <c r="AH318" s="774">
        <f>+AF318*AG318</f>
        <v>856320</v>
      </c>
      <c r="AI318" s="593" t="s">
        <v>1490</v>
      </c>
      <c r="AJ318" s="827" t="s">
        <v>22</v>
      </c>
      <c r="AK318" s="1194">
        <v>1</v>
      </c>
      <c r="AL318" s="575">
        <v>856320</v>
      </c>
      <c r="AM318" s="774">
        <f>+AK318*AL318</f>
        <v>856320</v>
      </c>
    </row>
    <row r="319" spans="1:39" s="45" customFormat="1" ht="51">
      <c r="A319" s="584"/>
      <c r="B319" s="884" t="s">
        <v>1458</v>
      </c>
      <c r="C319" s="593" t="s">
        <v>1470</v>
      </c>
      <c r="D319" s="827" t="s">
        <v>139</v>
      </c>
      <c r="E319" s="1048">
        <v>0.7</v>
      </c>
      <c r="F319" s="575">
        <v>670050</v>
      </c>
      <c r="G319" s="774">
        <f t="shared" si="80"/>
        <v>469034.99999999994</v>
      </c>
      <c r="H319" s="576"/>
      <c r="I319" s="575"/>
      <c r="J319" s="575"/>
      <c r="K319" s="575"/>
      <c r="L319" s="577"/>
      <c r="M319" s="578"/>
      <c r="N319" s="585"/>
      <c r="O319" s="95"/>
      <c r="P319" s="579"/>
      <c r="Q319" s="580"/>
      <c r="R319" s="580"/>
      <c r="S319" s="581"/>
      <c r="T319" s="582"/>
      <c r="U319" s="79"/>
      <c r="V319" s="621"/>
      <c r="W319" s="808"/>
      <c r="X319" s="44"/>
      <c r="Y319" s="44"/>
      <c r="Z319" s="44"/>
      <c r="AA319" s="593" t="s">
        <v>1081</v>
      </c>
      <c r="AB319" s="827" t="s">
        <v>22</v>
      </c>
      <c r="AC319" s="1123">
        <v>9.15</v>
      </c>
      <c r="AD319" s="593" t="s">
        <v>1491</v>
      </c>
      <c r="AE319" s="827" t="s">
        <v>139</v>
      </c>
      <c r="AF319" s="1223">
        <v>0.7</v>
      </c>
      <c r="AG319" s="575">
        <v>670050</v>
      </c>
      <c r="AH319" s="774">
        <f>+AF319*AG319</f>
        <v>469034.99999999994</v>
      </c>
      <c r="AI319" s="593" t="s">
        <v>1491</v>
      </c>
      <c r="AJ319" s="827" t="s">
        <v>139</v>
      </c>
      <c r="AK319" s="1194">
        <v>0.7</v>
      </c>
      <c r="AL319" s="575">
        <v>670050</v>
      </c>
      <c r="AM319" s="774">
        <f>+AK319*AL319</f>
        <v>469034.99999999994</v>
      </c>
    </row>
    <row r="320" spans="1:39" s="45" customFormat="1" ht="76.5">
      <c r="A320" s="584"/>
      <c r="B320" s="884" t="s">
        <v>1458</v>
      </c>
      <c r="C320" s="593" t="s">
        <v>1081</v>
      </c>
      <c r="D320" s="827" t="s">
        <v>22</v>
      </c>
      <c r="E320" s="594">
        <v>4</v>
      </c>
      <c r="F320" s="575">
        <v>273344</v>
      </c>
      <c r="G320" s="774">
        <f t="shared" si="80"/>
        <v>1093376</v>
      </c>
      <c r="H320" s="576"/>
      <c r="I320" s="575"/>
      <c r="J320" s="575"/>
      <c r="K320" s="575"/>
      <c r="L320" s="577"/>
      <c r="M320" s="578"/>
      <c r="N320" s="585"/>
      <c r="O320" s="95"/>
      <c r="P320" s="579"/>
      <c r="Q320" s="580"/>
      <c r="R320" s="580"/>
      <c r="S320" s="581"/>
      <c r="T320" s="582"/>
      <c r="U320" s="79"/>
      <c r="V320" s="621"/>
      <c r="W320" s="808"/>
      <c r="X320" s="44"/>
      <c r="Y320" s="44"/>
      <c r="Z320" s="44"/>
      <c r="AA320" s="593" t="s">
        <v>1083</v>
      </c>
      <c r="AB320" s="827"/>
      <c r="AC320" s="592">
        <v>9.16</v>
      </c>
      <c r="AD320" s="593" t="s">
        <v>1081</v>
      </c>
      <c r="AE320" s="827" t="s">
        <v>22</v>
      </c>
      <c r="AF320" s="1223">
        <v>4</v>
      </c>
      <c r="AG320" s="575">
        <v>273344</v>
      </c>
      <c r="AH320" s="774">
        <f>+AF320*AG320</f>
        <v>1093376</v>
      </c>
      <c r="AI320" s="593" t="s">
        <v>1081</v>
      </c>
      <c r="AJ320" s="827" t="s">
        <v>22</v>
      </c>
      <c r="AK320" s="1194">
        <v>4</v>
      </c>
      <c r="AL320" s="575">
        <v>273344</v>
      </c>
      <c r="AM320" s="774">
        <f>+AK320*AL320</f>
        <v>1093376</v>
      </c>
    </row>
    <row r="321" spans="1:39" s="45" customFormat="1" ht="76.5">
      <c r="A321" s="105"/>
      <c r="B321" s="884">
        <v>9.14</v>
      </c>
      <c r="C321" s="593" t="s">
        <v>1083</v>
      </c>
      <c r="D321" s="827"/>
      <c r="E321" s="594"/>
      <c r="F321" s="575"/>
      <c r="G321" s="774"/>
      <c r="H321" s="576"/>
      <c r="I321" s="25"/>
      <c r="J321" s="25"/>
      <c r="K321" s="25"/>
      <c r="L321" s="109"/>
      <c r="M321" s="110"/>
      <c r="N321" s="111"/>
      <c r="O321" s="95"/>
      <c r="P321" s="96"/>
      <c r="Q321" s="97"/>
      <c r="R321" s="97"/>
      <c r="S321" s="98"/>
      <c r="T321" s="99"/>
      <c r="U321" s="79"/>
      <c r="V321" s="621"/>
      <c r="W321" s="807"/>
      <c r="X321" s="44"/>
      <c r="Y321" s="44"/>
      <c r="Z321" s="44"/>
      <c r="AA321" s="593" t="s">
        <v>1084</v>
      </c>
      <c r="AB321" s="827" t="s">
        <v>22</v>
      </c>
      <c r="AC321" s="592" t="s">
        <v>1468</v>
      </c>
      <c r="AD321" s="593" t="s">
        <v>1083</v>
      </c>
      <c r="AE321" s="827"/>
      <c r="AF321" s="1223"/>
      <c r="AG321" s="575"/>
      <c r="AH321" s="774"/>
      <c r="AI321" s="593" t="s">
        <v>1083</v>
      </c>
      <c r="AJ321" s="827"/>
      <c r="AK321" s="1194"/>
      <c r="AL321" s="575"/>
      <c r="AM321" s="774"/>
    </row>
    <row r="322" spans="1:39" s="45" customFormat="1" ht="90" thickBot="1">
      <c r="A322" s="112" t="s">
        <v>46</v>
      </c>
      <c r="B322" s="884" t="s">
        <v>1459</v>
      </c>
      <c r="C322" s="593" t="s">
        <v>1084</v>
      </c>
      <c r="D322" s="827" t="s">
        <v>22</v>
      </c>
      <c r="E322" s="594">
        <v>7</v>
      </c>
      <c r="F322" s="575">
        <v>431569</v>
      </c>
      <c r="G322" s="774">
        <f t="shared" si="80"/>
        <v>3020983</v>
      </c>
      <c r="H322" s="576"/>
      <c r="I322" s="25"/>
      <c r="J322" s="25"/>
      <c r="K322" s="25"/>
      <c r="L322" s="109"/>
      <c r="M322" s="110"/>
      <c r="N322" s="119">
        <v>70604756</v>
      </c>
      <c r="O322" s="95"/>
      <c r="P322" s="120">
        <v>0</v>
      </c>
      <c r="Q322" s="121">
        <v>1148857</v>
      </c>
      <c r="R322" s="121">
        <v>22977151</v>
      </c>
      <c r="S322" s="122">
        <v>46478682</v>
      </c>
      <c r="T322" s="123">
        <v>0</v>
      </c>
      <c r="U322" s="79"/>
      <c r="V322" s="621"/>
      <c r="W322" s="807"/>
      <c r="X322" s="44"/>
      <c r="Y322" s="44"/>
      <c r="Z322" s="44"/>
      <c r="AA322" s="593" t="s">
        <v>1085</v>
      </c>
      <c r="AB322" s="827"/>
      <c r="AC322" s="592">
        <v>9.17</v>
      </c>
      <c r="AD322" s="593" t="s">
        <v>1084</v>
      </c>
      <c r="AE322" s="827" t="s">
        <v>22</v>
      </c>
      <c r="AF322" s="1223">
        <v>7</v>
      </c>
      <c r="AG322" s="575">
        <v>431569</v>
      </c>
      <c r="AH322" s="774">
        <f>+AF322*AG322</f>
        <v>3020983</v>
      </c>
      <c r="AI322" s="593" t="s">
        <v>1084</v>
      </c>
      <c r="AJ322" s="827" t="s">
        <v>22</v>
      </c>
      <c r="AK322" s="1194">
        <v>7</v>
      </c>
      <c r="AL322" s="575">
        <v>431569</v>
      </c>
      <c r="AM322" s="774">
        <f>+AK322*AL322</f>
        <v>3020983</v>
      </c>
    </row>
    <row r="323" spans="1:39" s="45" customFormat="1" ht="76.5">
      <c r="A323" s="124"/>
      <c r="B323" s="884">
        <v>9.15</v>
      </c>
      <c r="C323" s="593" t="s">
        <v>1085</v>
      </c>
      <c r="D323" s="827"/>
      <c r="E323" s="594"/>
      <c r="F323" s="575"/>
      <c r="G323" s="774"/>
      <c r="H323" s="917"/>
      <c r="I323" s="917"/>
      <c r="J323" s="917"/>
      <c r="K323" s="917"/>
      <c r="L323" s="917"/>
      <c r="M323" s="917"/>
      <c r="N323" s="917"/>
      <c r="O323" s="917"/>
      <c r="P323" s="917"/>
      <c r="Q323" s="917"/>
      <c r="R323" s="917"/>
      <c r="S323" s="917"/>
      <c r="T323" s="917"/>
      <c r="U323" s="917"/>
      <c r="V323" s="621"/>
      <c r="W323" s="807"/>
      <c r="X323" s="44"/>
      <c r="Y323" s="44"/>
      <c r="Z323" s="44"/>
      <c r="AA323" s="887" t="s">
        <v>1086</v>
      </c>
      <c r="AB323" s="827" t="s">
        <v>56</v>
      </c>
      <c r="AC323" s="592" t="s">
        <v>1499</v>
      </c>
      <c r="AD323" s="593" t="s">
        <v>1085</v>
      </c>
      <c r="AE323" s="827"/>
      <c r="AF323" s="1223"/>
      <c r="AG323" s="575"/>
      <c r="AH323" s="774"/>
      <c r="AI323" s="593" t="s">
        <v>1085</v>
      </c>
      <c r="AJ323" s="827"/>
      <c r="AK323" s="1194"/>
      <c r="AL323" s="575"/>
      <c r="AM323" s="774"/>
    </row>
    <row r="324" spans="1:39" s="156" customFormat="1" ht="77.25" thickBot="1">
      <c r="A324" s="144" t="s">
        <v>93</v>
      </c>
      <c r="B324" s="884" t="s">
        <v>1460</v>
      </c>
      <c r="C324" s="887" t="s">
        <v>1086</v>
      </c>
      <c r="D324" s="827" t="s">
        <v>56</v>
      </c>
      <c r="E324" s="1055">
        <v>135</v>
      </c>
      <c r="F324" s="575">
        <v>5550</v>
      </c>
      <c r="G324" s="774">
        <f t="shared" si="80"/>
        <v>749250</v>
      </c>
      <c r="H324" s="794"/>
      <c r="I324" s="148"/>
      <c r="J324" s="148"/>
      <c r="K324" s="148"/>
      <c r="L324" s="149">
        <v>408574527</v>
      </c>
      <c r="M324" s="150">
        <v>307710574</v>
      </c>
      <c r="N324" s="151">
        <v>307710574</v>
      </c>
      <c r="O324" s="152"/>
      <c r="P324" s="153">
        <v>0</v>
      </c>
      <c r="Q324" s="154">
        <v>7490404</v>
      </c>
      <c r="R324" s="154">
        <v>92935290</v>
      </c>
      <c r="S324" s="154">
        <v>207282823</v>
      </c>
      <c r="T324" s="154">
        <v>0</v>
      </c>
      <c r="U324" s="155"/>
      <c r="V324" s="806"/>
      <c r="W324" s="809"/>
      <c r="X324" s="793"/>
      <c r="Y324" s="793"/>
      <c r="Z324" s="793"/>
      <c r="AA324" s="887" t="s">
        <v>1087</v>
      </c>
      <c r="AB324" s="827" t="s">
        <v>56</v>
      </c>
      <c r="AC324" s="592" t="s">
        <v>1500</v>
      </c>
      <c r="AD324" s="887" t="s">
        <v>1086</v>
      </c>
      <c r="AE324" s="827" t="s">
        <v>56</v>
      </c>
      <c r="AF324" s="1223">
        <v>135</v>
      </c>
      <c r="AG324" s="575">
        <v>5550</v>
      </c>
      <c r="AH324" s="774">
        <f>+AF324*AG324</f>
        <v>749250</v>
      </c>
      <c r="AI324" s="887" t="s">
        <v>1086</v>
      </c>
      <c r="AJ324" s="827" t="s">
        <v>56</v>
      </c>
      <c r="AK324" s="1194">
        <v>135</v>
      </c>
      <c r="AL324" s="575">
        <v>5550</v>
      </c>
      <c r="AM324" s="774">
        <f>+AK324*AL324</f>
        <v>749250</v>
      </c>
    </row>
    <row r="325" spans="1:39" s="45" customFormat="1" ht="27" customHeight="1">
      <c r="A325" s="66"/>
      <c r="B325" s="884" t="s">
        <v>1461</v>
      </c>
      <c r="C325" s="887" t="s">
        <v>1087</v>
      </c>
      <c r="D325" s="827" t="s">
        <v>56</v>
      </c>
      <c r="E325" s="594">
        <v>71</v>
      </c>
      <c r="F325" s="575">
        <v>10638</v>
      </c>
      <c r="G325" s="774">
        <f t="shared" si="80"/>
        <v>755298</v>
      </c>
      <c r="H325" s="58"/>
      <c r="I325" s="58"/>
      <c r="J325" s="58"/>
      <c r="K325" s="58"/>
      <c r="L325" s="58"/>
      <c r="M325" s="19"/>
      <c r="N325" s="158">
        <v>0</v>
      </c>
      <c r="O325" s="159"/>
      <c r="P325" s="159"/>
      <c r="Q325" s="159"/>
      <c r="R325" s="159"/>
      <c r="S325" s="159"/>
      <c r="T325" s="159"/>
      <c r="U325" s="160"/>
      <c r="V325" s="805"/>
      <c r="W325" s="807"/>
      <c r="X325" s="44"/>
      <c r="Y325" s="44"/>
      <c r="Z325" s="44"/>
      <c r="AA325" s="887" t="s">
        <v>1092</v>
      </c>
      <c r="AB325" s="827"/>
      <c r="AC325" s="592">
        <v>9.18</v>
      </c>
      <c r="AD325" s="887" t="s">
        <v>1087</v>
      </c>
      <c r="AE325" s="827" t="s">
        <v>56</v>
      </c>
      <c r="AF325" s="1223">
        <v>71</v>
      </c>
      <c r="AG325" s="575">
        <v>10638</v>
      </c>
      <c r="AH325" s="774">
        <f>+AF325*AG325</f>
        <v>755298</v>
      </c>
      <c r="AI325" s="887" t="s">
        <v>1087</v>
      </c>
      <c r="AJ325" s="827" t="s">
        <v>56</v>
      </c>
      <c r="AK325" s="1194">
        <v>71</v>
      </c>
      <c r="AL325" s="575">
        <v>10638</v>
      </c>
      <c r="AM325" s="774">
        <f>+AK325*AL325</f>
        <v>755298</v>
      </c>
    </row>
    <row r="326" spans="1:39" s="45" customFormat="1" ht="76.5">
      <c r="A326" s="161" t="s">
        <v>95</v>
      </c>
      <c r="B326" s="884" t="s">
        <v>1462</v>
      </c>
      <c r="C326" s="887"/>
      <c r="D326" s="827"/>
      <c r="E326" s="594"/>
      <c r="F326" s="575"/>
      <c r="G326" s="774"/>
      <c r="H326" s="166"/>
      <c r="I326" s="166"/>
      <c r="J326" s="166"/>
      <c r="K326" s="166"/>
      <c r="L326" s="166"/>
      <c r="M326" s="167"/>
      <c r="N326" s="168"/>
      <c r="O326" s="159"/>
      <c r="P326" s="159"/>
      <c r="Q326" s="159"/>
      <c r="R326" s="159"/>
      <c r="S326" s="159"/>
      <c r="T326" s="159"/>
      <c r="U326" s="58"/>
      <c r="V326" s="805"/>
      <c r="W326" s="807"/>
      <c r="X326" s="44"/>
      <c r="Y326" s="44"/>
      <c r="Z326" s="44"/>
      <c r="AA326" s="887" t="s">
        <v>1094</v>
      </c>
      <c r="AB326" s="827" t="s">
        <v>56</v>
      </c>
      <c r="AC326" s="592" t="s">
        <v>1501</v>
      </c>
      <c r="AF326" s="1220"/>
      <c r="AK326" s="1194"/>
      <c r="AL326" s="575"/>
      <c r="AM326" s="774"/>
    </row>
    <row r="327" spans="1:39" s="45" customFormat="1" ht="51">
      <c r="A327" s="169" t="s">
        <v>97</v>
      </c>
      <c r="B327" s="884">
        <v>9.16</v>
      </c>
      <c r="C327" s="887" t="s">
        <v>1092</v>
      </c>
      <c r="D327" s="827"/>
      <c r="E327" s="594"/>
      <c r="F327" s="575"/>
      <c r="G327" s="774"/>
      <c r="H327" s="174"/>
      <c r="I327" s="174"/>
      <c r="J327" s="174"/>
      <c r="K327" s="174"/>
      <c r="L327" s="174"/>
      <c r="M327" s="175"/>
      <c r="N327" s="173">
        <v>307710574</v>
      </c>
      <c r="O327" s="176"/>
      <c r="P327" s="176"/>
      <c r="Q327" s="176"/>
      <c r="R327" s="176"/>
      <c r="S327" s="176"/>
      <c r="T327" s="176"/>
      <c r="U327" s="19"/>
      <c r="V327" s="805"/>
      <c r="W327" s="807"/>
      <c r="X327" s="174"/>
      <c r="Y327" s="44"/>
      <c r="Z327" s="44"/>
      <c r="AA327" s="887" t="s">
        <v>1112</v>
      </c>
      <c r="AB327" s="827" t="s">
        <v>56</v>
      </c>
      <c r="AC327" s="592" t="s">
        <v>1502</v>
      </c>
      <c r="AD327" s="887" t="s">
        <v>1092</v>
      </c>
      <c r="AE327" s="827"/>
      <c r="AF327" s="1223"/>
      <c r="AG327" s="575"/>
      <c r="AH327" s="774"/>
      <c r="AI327" s="887" t="s">
        <v>1092</v>
      </c>
      <c r="AJ327" s="827"/>
      <c r="AK327" s="1194"/>
      <c r="AM327" s="774">
        <f>+AK327*AL328</f>
        <v>0</v>
      </c>
    </row>
    <row r="328" spans="1:39" s="45" customFormat="1" ht="76.5">
      <c r="A328" s="169" t="s">
        <v>99</v>
      </c>
      <c r="B328" s="884" t="s">
        <v>1468</v>
      </c>
      <c r="C328" s="887" t="s">
        <v>1094</v>
      </c>
      <c r="D328" s="827" t="s">
        <v>56</v>
      </c>
      <c r="E328" s="594"/>
      <c r="F328" s="575">
        <v>61850</v>
      </c>
      <c r="G328" s="774">
        <f t="shared" si="80"/>
        <v>0</v>
      </c>
      <c r="H328" s="182"/>
      <c r="I328" s="182"/>
      <c r="J328" s="182"/>
      <c r="K328" s="182"/>
      <c r="L328" s="182"/>
      <c r="M328" s="183"/>
      <c r="N328" s="181">
        <v>56926456</v>
      </c>
      <c r="O328" s="184"/>
      <c r="P328" s="184"/>
      <c r="Q328" s="184"/>
      <c r="R328" s="184"/>
      <c r="S328" s="184"/>
      <c r="T328" s="184"/>
      <c r="U328" s="19"/>
      <c r="V328" s="805"/>
      <c r="W328" s="807"/>
      <c r="X328" s="182"/>
      <c r="Y328" s="44"/>
      <c r="Z328" s="44"/>
      <c r="AA328" s="102" t="s">
        <v>984</v>
      </c>
      <c r="AB328" s="777" t="s">
        <v>139</v>
      </c>
      <c r="AC328" s="592" t="s">
        <v>1503</v>
      </c>
      <c r="AD328" s="887" t="s">
        <v>1094</v>
      </c>
      <c r="AE328" s="827" t="s">
        <v>56</v>
      </c>
      <c r="AF328" s="1223"/>
      <c r="AG328" s="575">
        <v>61850</v>
      </c>
      <c r="AH328" s="774">
        <f>+AF328*AG328</f>
        <v>0</v>
      </c>
      <c r="AI328" s="887" t="s">
        <v>1094</v>
      </c>
      <c r="AJ328" s="827" t="s">
        <v>56</v>
      </c>
      <c r="AK328" s="1194">
        <v>93</v>
      </c>
      <c r="AL328" s="575">
        <v>61850</v>
      </c>
      <c r="AM328" s="774">
        <f>+AK328*AL329</f>
        <v>3538464</v>
      </c>
    </row>
    <row r="329" spans="1:39" s="45" customFormat="1" ht="51">
      <c r="A329" s="185" t="s">
        <v>101</v>
      </c>
      <c r="B329" s="884" t="s">
        <v>1463</v>
      </c>
      <c r="C329" s="887" t="s">
        <v>1112</v>
      </c>
      <c r="D329" s="827" t="s">
        <v>56</v>
      </c>
      <c r="E329" s="967">
        <v>93</v>
      </c>
      <c r="F329" s="968">
        <v>38048</v>
      </c>
      <c r="G329" s="774">
        <f t="shared" si="80"/>
        <v>3538464</v>
      </c>
      <c r="H329" s="182"/>
      <c r="I329" s="182"/>
      <c r="J329" s="182"/>
      <c r="K329" s="182"/>
      <c r="L329" s="182"/>
      <c r="M329" s="183"/>
      <c r="N329" s="190">
        <v>15385529</v>
      </c>
      <c r="O329" s="184"/>
      <c r="P329" s="184"/>
      <c r="Q329" s="184"/>
      <c r="R329" s="184"/>
      <c r="S329" s="184"/>
      <c r="T329" s="184"/>
      <c r="U329" s="182"/>
      <c r="V329" s="805"/>
      <c r="W329" s="807"/>
      <c r="X329" s="182"/>
      <c r="Y329" s="44"/>
      <c r="Z329" s="44"/>
      <c r="AA329" s="887" t="s">
        <v>1097</v>
      </c>
      <c r="AB329" s="827" t="s">
        <v>56</v>
      </c>
      <c r="AC329" s="592" t="s">
        <v>1504</v>
      </c>
      <c r="AD329" s="887" t="s">
        <v>1112</v>
      </c>
      <c r="AE329" s="827" t="s">
        <v>56</v>
      </c>
      <c r="AF329" s="1223">
        <v>93</v>
      </c>
      <c r="AG329" s="968">
        <v>38048</v>
      </c>
      <c r="AH329" s="774">
        <f>+AF329*AG329</f>
        <v>3538464</v>
      </c>
      <c r="AI329" s="887" t="s">
        <v>1112</v>
      </c>
      <c r="AJ329" s="827" t="s">
        <v>56</v>
      </c>
      <c r="AK329" s="1193">
        <f>+AK328*0.2</f>
        <v>18.600000000000001</v>
      </c>
      <c r="AL329" s="968">
        <v>38048</v>
      </c>
      <c r="AM329" s="774">
        <f>+AK329*AL330</f>
        <v>1172730</v>
      </c>
    </row>
    <row r="330" spans="1:39" s="45" customFormat="1" ht="51">
      <c r="A330" s="185"/>
      <c r="B330" s="884" t="s">
        <v>1464</v>
      </c>
      <c r="C330" s="102" t="s">
        <v>984</v>
      </c>
      <c r="D330" s="777" t="s">
        <v>139</v>
      </c>
      <c r="E330" s="969">
        <f>+E329*0.2</f>
        <v>18.600000000000001</v>
      </c>
      <c r="F330" s="964">
        <v>63050</v>
      </c>
      <c r="G330" s="774">
        <f t="shared" si="80"/>
        <v>1172730</v>
      </c>
      <c r="H330" s="182"/>
      <c r="I330" s="182"/>
      <c r="J330" s="182"/>
      <c r="K330" s="182"/>
      <c r="L330" s="182"/>
      <c r="M330" s="183"/>
      <c r="N330" s="895"/>
      <c r="O330" s="184"/>
      <c r="P330" s="184"/>
      <c r="Q330" s="184"/>
      <c r="R330" s="184"/>
      <c r="S330" s="184"/>
      <c r="T330" s="184"/>
      <c r="U330" s="182"/>
      <c r="V330" s="805"/>
      <c r="W330" s="807"/>
      <c r="X330" s="182"/>
      <c r="Y330" s="44"/>
      <c r="Z330" s="44"/>
      <c r="AA330" s="887" t="s">
        <v>1109</v>
      </c>
      <c r="AB330" s="827"/>
      <c r="AC330" s="592" t="s">
        <v>1505</v>
      </c>
      <c r="AD330" s="102" t="s">
        <v>984</v>
      </c>
      <c r="AE330" s="777" t="s">
        <v>139</v>
      </c>
      <c r="AF330" s="1222">
        <f>+AF329*0.2</f>
        <v>18.600000000000001</v>
      </c>
      <c r="AG330" s="1080">
        <v>63050</v>
      </c>
      <c r="AH330" s="774">
        <f>+AF330*AG330</f>
        <v>1172730</v>
      </c>
      <c r="AI330" s="102" t="s">
        <v>984</v>
      </c>
      <c r="AJ330" s="777" t="s">
        <v>139</v>
      </c>
      <c r="AK330" s="1194">
        <v>145</v>
      </c>
      <c r="AL330" s="1080">
        <v>63050</v>
      </c>
      <c r="AM330" s="774">
        <f>+AK330*AL331</f>
        <v>1104900</v>
      </c>
    </row>
    <row r="331" spans="1:39" s="45" customFormat="1" ht="28.5" customHeight="1">
      <c r="A331" s="185" t="s">
        <v>103</v>
      </c>
      <c r="B331" s="884" t="s">
        <v>1465</v>
      </c>
      <c r="C331" s="887" t="s">
        <v>1097</v>
      </c>
      <c r="D331" s="827" t="s">
        <v>56</v>
      </c>
      <c r="E331" s="1058">
        <v>145</v>
      </c>
      <c r="F331" s="1179">
        <v>7620</v>
      </c>
      <c r="G331" s="774">
        <f t="shared" si="80"/>
        <v>1104900</v>
      </c>
      <c r="H331" s="182"/>
      <c r="I331" s="182"/>
      <c r="J331" s="182"/>
      <c r="K331" s="182"/>
      <c r="L331" s="182"/>
      <c r="M331" s="183"/>
      <c r="N331" s="190">
        <v>24616846</v>
      </c>
      <c r="O331" s="184"/>
      <c r="P331" s="184"/>
      <c r="Q331" s="184"/>
      <c r="R331" s="184"/>
      <c r="S331" s="184"/>
      <c r="T331" s="184"/>
      <c r="U331" s="182"/>
      <c r="V331" s="805"/>
      <c r="W331" s="807"/>
      <c r="X331" s="182"/>
      <c r="Y331" s="44"/>
      <c r="Z331" s="44"/>
      <c r="AA331" s="897" t="s">
        <v>1111</v>
      </c>
      <c r="AB331" s="827" t="s">
        <v>22</v>
      </c>
      <c r="AC331" s="592">
        <v>9.19</v>
      </c>
      <c r="AD331" s="887" t="s">
        <v>1097</v>
      </c>
      <c r="AE331" s="827" t="s">
        <v>56</v>
      </c>
      <c r="AF331" s="1223">
        <v>143.80000000000001</v>
      </c>
      <c r="AG331" s="575">
        <v>7620</v>
      </c>
      <c r="AH331" s="774">
        <f>+AF331*AG331</f>
        <v>1095756</v>
      </c>
      <c r="AI331" s="887" t="s">
        <v>1097</v>
      </c>
      <c r="AJ331" s="827" t="s">
        <v>56</v>
      </c>
      <c r="AK331" s="1194"/>
      <c r="AL331" s="575">
        <v>7620</v>
      </c>
      <c r="AM331" s="774"/>
    </row>
    <row r="332" spans="1:39" s="45" customFormat="1" ht="51.75" thickBot="1">
      <c r="A332" s="185"/>
      <c r="B332" s="884" t="s">
        <v>1466</v>
      </c>
      <c r="C332" s="887" t="s">
        <v>1109</v>
      </c>
      <c r="D332" s="827"/>
      <c r="E332" s="594"/>
      <c r="F332" s="575"/>
      <c r="G332" s="774"/>
      <c r="H332" s="182"/>
      <c r="I332" s="182"/>
      <c r="J332" s="182"/>
      <c r="K332" s="182"/>
      <c r="L332" s="182"/>
      <c r="M332" s="183"/>
      <c r="N332" s="895"/>
      <c r="O332" s="184"/>
      <c r="P332" s="184"/>
      <c r="Q332" s="184"/>
      <c r="R332" s="184"/>
      <c r="S332" s="184"/>
      <c r="T332" s="184"/>
      <c r="U332" s="182"/>
      <c r="V332" s="805"/>
      <c r="W332" s="807"/>
      <c r="X332" s="182"/>
      <c r="Y332" s="44"/>
      <c r="Z332" s="44"/>
      <c r="AA332" s="1074"/>
      <c r="AB332" s="1075"/>
      <c r="AC332" s="1124"/>
      <c r="AD332" s="887" t="s">
        <v>1109</v>
      </c>
      <c r="AE332" s="827"/>
      <c r="AF332" s="1223"/>
      <c r="AG332" s="575"/>
      <c r="AH332" s="774"/>
      <c r="AI332" s="887" t="s">
        <v>1109</v>
      </c>
      <c r="AJ332" s="827"/>
      <c r="AK332" s="1194">
        <v>1</v>
      </c>
      <c r="AL332" s="575"/>
      <c r="AM332" s="774">
        <f>+AK332*AL333</f>
        <v>3287880</v>
      </c>
    </row>
    <row r="333" spans="1:39" s="45" customFormat="1" ht="255.75" thickBot="1">
      <c r="A333" s="185"/>
      <c r="B333" s="884" t="s">
        <v>1467</v>
      </c>
      <c r="C333" s="897" t="s">
        <v>1111</v>
      </c>
      <c r="D333" s="827" t="s">
        <v>22</v>
      </c>
      <c r="E333" s="594">
        <v>1</v>
      </c>
      <c r="F333" s="575">
        <f>2739900*1.2</f>
        <v>3287880</v>
      </c>
      <c r="G333" s="774">
        <f t="shared" si="80"/>
        <v>3287880</v>
      </c>
      <c r="H333" s="182"/>
      <c r="I333" s="182"/>
      <c r="J333" s="182"/>
      <c r="K333" s="182"/>
      <c r="L333" s="182"/>
      <c r="M333" s="183"/>
      <c r="N333" s="895"/>
      <c r="O333" s="184"/>
      <c r="P333" s="184"/>
      <c r="Q333" s="184"/>
      <c r="R333" s="184"/>
      <c r="S333" s="184"/>
      <c r="T333" s="184"/>
      <c r="U333" s="182"/>
      <c r="V333" s="805"/>
      <c r="W333" s="807"/>
      <c r="X333" s="896"/>
      <c r="Y333" s="44"/>
      <c r="Z333" s="44"/>
      <c r="AA333" s="887"/>
      <c r="AB333" s="827"/>
      <c r="AC333" s="827"/>
      <c r="AD333" s="897" t="s">
        <v>1111</v>
      </c>
      <c r="AE333" s="827" t="s">
        <v>22</v>
      </c>
      <c r="AF333" s="1223">
        <v>1</v>
      </c>
      <c r="AG333" s="575">
        <f>2739900*1.2</f>
        <v>3287880</v>
      </c>
      <c r="AH333" s="774">
        <f>+AF333*AG333</f>
        <v>3287880</v>
      </c>
      <c r="AI333" s="897" t="s">
        <v>1111</v>
      </c>
      <c r="AJ333" s="827" t="s">
        <v>22</v>
      </c>
      <c r="AL333" s="575">
        <f>2739900*1.2</f>
        <v>3287880</v>
      </c>
    </row>
    <row r="334" spans="1:39" s="45" customFormat="1" ht="15.75" customHeight="1" thickBot="1">
      <c r="A334" s="185"/>
      <c r="B334" s="884"/>
      <c r="C334" s="871"/>
      <c r="D334" s="873"/>
      <c r="E334" s="874"/>
      <c r="F334" s="1180" t="s">
        <v>1098</v>
      </c>
      <c r="G334" s="1004">
        <f>SUM(G284:G333)</f>
        <v>136786327.96000001</v>
      </c>
      <c r="H334" s="195"/>
      <c r="I334" s="195"/>
      <c r="J334" s="195"/>
      <c r="K334" s="195"/>
      <c r="L334" s="195"/>
      <c r="M334" s="196"/>
      <c r="N334" s="199">
        <v>3938695</v>
      </c>
      <c r="O334" s="197"/>
      <c r="P334" s="197"/>
      <c r="Q334" s="197"/>
      <c r="R334" s="197"/>
      <c r="S334" s="197"/>
      <c r="T334" s="197"/>
      <c r="U334" s="198"/>
      <c r="V334" s="805"/>
      <c r="W334" s="807"/>
      <c r="X334" s="195"/>
      <c r="Y334" s="44"/>
      <c r="Z334" s="44"/>
      <c r="AA334" s="1060" t="s">
        <v>1136</v>
      </c>
      <c r="AB334" s="1061"/>
      <c r="AC334" s="1104">
        <v>10</v>
      </c>
      <c r="AD334" s="1074"/>
      <c r="AE334" s="1075"/>
      <c r="AF334" s="1227"/>
      <c r="AG334" s="1181" t="s">
        <v>1098</v>
      </c>
      <c r="AH334" s="1115">
        <f>SUM(AH284:AH333)</f>
        <v>127128603.40000001</v>
      </c>
      <c r="AK334" s="1227"/>
      <c r="AL334" s="1181" t="s">
        <v>1098</v>
      </c>
      <c r="AM334" s="1115">
        <f>SUM(AM284:AM333)</f>
        <v>127641694.46000001</v>
      </c>
    </row>
    <row r="335" spans="1:39" s="45" customFormat="1" ht="15.75" thickBot="1">
      <c r="A335" s="185"/>
      <c r="B335" s="884"/>
      <c r="C335" s="887"/>
      <c r="D335" s="827"/>
      <c r="E335" s="594"/>
      <c r="F335" s="575"/>
      <c r="G335" s="792">
        <f t="shared" si="80"/>
        <v>0</v>
      </c>
      <c r="H335" s="204">
        <v>0</v>
      </c>
      <c r="I335" s="203">
        <v>100867526</v>
      </c>
      <c r="J335" s="204">
        <v>0</v>
      </c>
      <c r="K335" s="204">
        <v>0</v>
      </c>
      <c r="L335" s="204">
        <v>0</v>
      </c>
      <c r="M335" s="205"/>
      <c r="N335" s="206">
        <v>408578100</v>
      </c>
      <c r="O335" s="207"/>
      <c r="P335" s="207"/>
      <c r="Q335" s="207"/>
      <c r="R335" s="207"/>
      <c r="S335" s="207"/>
      <c r="T335" s="207"/>
      <c r="U335" s="16"/>
      <c r="V335" s="805"/>
      <c r="W335" s="807"/>
      <c r="X335" s="208"/>
      <c r="Y335" s="44"/>
      <c r="Z335" s="44"/>
      <c r="AA335" s="1092" t="s">
        <v>1137</v>
      </c>
      <c r="AB335" s="905"/>
      <c r="AC335" s="827">
        <v>10.1</v>
      </c>
      <c r="AD335" s="887"/>
      <c r="AE335" s="827"/>
      <c r="AF335" s="1223"/>
      <c r="AG335" s="575"/>
      <c r="AH335" s="792">
        <f>+AF335*AG335</f>
        <v>0</v>
      </c>
    </row>
    <row r="336" spans="1:39" s="45" customFormat="1" ht="60.75" thickBot="1">
      <c r="A336" s="185"/>
      <c r="B336" s="884"/>
      <c r="C336" s="75" t="s">
        <v>1136</v>
      </c>
      <c r="D336" s="76"/>
      <c r="E336" s="76"/>
      <c r="F336" s="76"/>
      <c r="G336" s="126"/>
      <c r="H336" s="208"/>
      <c r="I336" s="899"/>
      <c r="J336" s="208"/>
      <c r="K336" s="208"/>
      <c r="L336" s="208"/>
      <c r="M336" s="900"/>
      <c r="N336" s="901"/>
      <c r="O336" s="207"/>
      <c r="P336" s="207"/>
      <c r="Q336" s="207"/>
      <c r="R336" s="207"/>
      <c r="S336" s="207"/>
      <c r="T336" s="207"/>
      <c r="U336" s="16"/>
      <c r="V336" s="805"/>
      <c r="W336" s="807"/>
      <c r="X336" s="208"/>
      <c r="Y336" s="44"/>
      <c r="Z336" s="44"/>
      <c r="AA336" s="1093" t="s">
        <v>1115</v>
      </c>
      <c r="AB336" s="914" t="s">
        <v>1138</v>
      </c>
      <c r="AC336" s="827" t="s">
        <v>1142</v>
      </c>
      <c r="AD336" s="1060" t="s">
        <v>1136</v>
      </c>
      <c r="AE336" s="1061"/>
      <c r="AF336" s="1221"/>
      <c r="AG336" s="1061"/>
      <c r="AH336" s="1113"/>
      <c r="AI336" s="1060" t="s">
        <v>1136</v>
      </c>
      <c r="AJ336" s="1061"/>
      <c r="AK336" s="1194"/>
      <c r="AL336" s="575"/>
      <c r="AM336" s="792">
        <f>+AK336*AL336</f>
        <v>0</v>
      </c>
    </row>
    <row r="337" spans="1:39" s="45" customFormat="1" ht="90">
      <c r="A337" s="185"/>
      <c r="B337" s="884"/>
      <c r="C337" s="911" t="s">
        <v>1137</v>
      </c>
      <c r="D337" s="905"/>
      <c r="E337" s="905"/>
      <c r="F337" s="905"/>
      <c r="G337" s="906"/>
      <c r="H337" s="208"/>
      <c r="I337" s="899"/>
      <c r="J337" s="208"/>
      <c r="K337" s="208"/>
      <c r="L337" s="208"/>
      <c r="M337" s="900"/>
      <c r="N337" s="901"/>
      <c r="O337" s="207"/>
      <c r="P337" s="207"/>
      <c r="Q337" s="207"/>
      <c r="R337" s="207"/>
      <c r="S337" s="207"/>
      <c r="T337" s="207"/>
      <c r="U337" s="16"/>
      <c r="V337" s="805"/>
      <c r="W337" s="807"/>
      <c r="X337" s="208"/>
      <c r="Y337" s="44"/>
      <c r="Z337" s="44"/>
      <c r="AA337" s="907" t="s">
        <v>1116</v>
      </c>
      <c r="AB337" s="912" t="s">
        <v>1138</v>
      </c>
      <c r="AC337" s="827" t="s">
        <v>1143</v>
      </c>
      <c r="AD337" s="1092" t="s">
        <v>1137</v>
      </c>
      <c r="AE337" s="905"/>
      <c r="AF337" s="1233"/>
      <c r="AG337" s="905"/>
      <c r="AH337" s="906"/>
      <c r="AI337" s="1092" t="s">
        <v>1137</v>
      </c>
      <c r="AJ337" s="905"/>
      <c r="AK337" s="1192"/>
      <c r="AL337" s="1061"/>
      <c r="AM337" s="1113"/>
    </row>
    <row r="338" spans="1:39" s="45" customFormat="1" ht="75">
      <c r="A338" s="185"/>
      <c r="B338" s="884"/>
      <c r="C338" s="1183" t="s">
        <v>1115</v>
      </c>
      <c r="D338" s="914" t="s">
        <v>1138</v>
      </c>
      <c r="E338" s="930">
        <v>4</v>
      </c>
      <c r="F338" s="915">
        <v>664280</v>
      </c>
      <c r="G338" s="795">
        <f>+F338*E338</f>
        <v>2657120</v>
      </c>
      <c r="H338" s="208"/>
      <c r="I338" s="899"/>
      <c r="J338" s="208"/>
      <c r="K338" s="208"/>
      <c r="L338" s="208"/>
      <c r="M338" s="900"/>
      <c r="N338" s="901"/>
      <c r="O338" s="207"/>
      <c r="P338" s="207"/>
      <c r="Q338" s="207"/>
      <c r="R338" s="207"/>
      <c r="S338" s="207"/>
      <c r="T338" s="207"/>
      <c r="U338" s="16"/>
      <c r="V338" s="805"/>
      <c r="W338" s="807"/>
      <c r="X338" s="208"/>
      <c r="Y338" s="44"/>
      <c r="Z338" s="44"/>
      <c r="AA338" s="907" t="s">
        <v>1117</v>
      </c>
      <c r="AB338" s="912" t="s">
        <v>1138</v>
      </c>
      <c r="AC338" s="827" t="s">
        <v>1144</v>
      </c>
      <c r="AD338" s="1093" t="s">
        <v>1115</v>
      </c>
      <c r="AE338" s="914" t="s">
        <v>1138</v>
      </c>
      <c r="AF338" s="1234">
        <v>4</v>
      </c>
      <c r="AG338" s="915">
        <v>664280</v>
      </c>
      <c r="AH338" s="795">
        <f>+AG338*AF338</f>
        <v>2657120</v>
      </c>
      <c r="AI338" s="1093" t="s">
        <v>1115</v>
      </c>
      <c r="AJ338" s="914" t="s">
        <v>22</v>
      </c>
      <c r="AK338" s="1204"/>
      <c r="AL338" s="905"/>
      <c r="AM338" s="906"/>
    </row>
    <row r="339" spans="1:39" s="45" customFormat="1" ht="105">
      <c r="A339" s="185"/>
      <c r="B339" s="884"/>
      <c r="C339" s="907" t="s">
        <v>1116</v>
      </c>
      <c r="D339" s="912" t="s">
        <v>1138</v>
      </c>
      <c r="E339" s="931">
        <v>8</v>
      </c>
      <c r="F339" s="922">
        <v>250000</v>
      </c>
      <c r="G339" s="795">
        <f t="shared" ref="G339:G381" si="85">+F339*E339</f>
        <v>2000000</v>
      </c>
      <c r="H339" s="208"/>
      <c r="I339" s="899"/>
      <c r="J339" s="208"/>
      <c r="K339" s="208"/>
      <c r="L339" s="208"/>
      <c r="M339" s="900"/>
      <c r="N339" s="901"/>
      <c r="O339" s="207"/>
      <c r="P339" s="207"/>
      <c r="Q339" s="207"/>
      <c r="R339" s="207"/>
      <c r="S339" s="207"/>
      <c r="T339" s="207"/>
      <c r="U339" s="16"/>
      <c r="V339" s="805"/>
      <c r="W339" s="807"/>
      <c r="X339" s="208"/>
      <c r="Y339" s="44"/>
      <c r="Z339" s="44"/>
      <c r="AA339" s="907" t="s">
        <v>1118</v>
      </c>
      <c r="AB339" s="912" t="s">
        <v>1138</v>
      </c>
      <c r="AC339" s="827" t="s">
        <v>1145</v>
      </c>
      <c r="AD339" s="907" t="s">
        <v>1116</v>
      </c>
      <c r="AE339" s="912" t="s">
        <v>1138</v>
      </c>
      <c r="AF339" s="1235">
        <v>8</v>
      </c>
      <c r="AG339" s="922">
        <v>250000</v>
      </c>
      <c r="AH339" s="795">
        <f t="shared" ref="AH339:AH381" si="86">+AG339*AF339</f>
        <v>2000000</v>
      </c>
      <c r="AI339" s="907" t="s">
        <v>1116</v>
      </c>
      <c r="AJ339" s="914" t="s">
        <v>22</v>
      </c>
      <c r="AK339" s="1205">
        <v>4</v>
      </c>
      <c r="AL339" s="915">
        <v>664280</v>
      </c>
      <c r="AM339" s="795">
        <f>+AL339*AK339</f>
        <v>2657120</v>
      </c>
    </row>
    <row r="340" spans="1:39" s="45" customFormat="1" ht="90">
      <c r="A340" s="185"/>
      <c r="B340" s="884"/>
      <c r="C340" s="907" t="s">
        <v>1117</v>
      </c>
      <c r="D340" s="912" t="s">
        <v>1138</v>
      </c>
      <c r="E340" s="931">
        <v>8</v>
      </c>
      <c r="F340" s="922">
        <v>45000</v>
      </c>
      <c r="G340" s="795">
        <f t="shared" si="85"/>
        <v>360000</v>
      </c>
      <c r="H340" s="208"/>
      <c r="I340" s="899"/>
      <c r="J340" s="208"/>
      <c r="K340" s="208"/>
      <c r="L340" s="208"/>
      <c r="M340" s="900"/>
      <c r="N340" s="901"/>
      <c r="O340" s="207"/>
      <c r="P340" s="207"/>
      <c r="Q340" s="207"/>
      <c r="R340" s="207"/>
      <c r="S340" s="207"/>
      <c r="T340" s="207"/>
      <c r="U340" s="16"/>
      <c r="V340" s="805"/>
      <c r="W340" s="807"/>
      <c r="X340" s="208"/>
      <c r="Y340" s="44"/>
      <c r="Z340" s="44"/>
      <c r="AA340" s="907" t="s">
        <v>1119</v>
      </c>
      <c r="AB340" s="912" t="s">
        <v>1138</v>
      </c>
      <c r="AC340" s="827" t="s">
        <v>1146</v>
      </c>
      <c r="AD340" s="907" t="s">
        <v>1117</v>
      </c>
      <c r="AE340" s="912" t="s">
        <v>1138</v>
      </c>
      <c r="AF340" s="1235">
        <v>8</v>
      </c>
      <c r="AG340" s="922">
        <v>45000</v>
      </c>
      <c r="AH340" s="795">
        <f t="shared" si="86"/>
        <v>360000</v>
      </c>
      <c r="AI340" s="907" t="s">
        <v>1117</v>
      </c>
      <c r="AJ340" s="914" t="s">
        <v>22</v>
      </c>
      <c r="AK340" s="1206">
        <v>8</v>
      </c>
      <c r="AL340" s="922">
        <v>250000</v>
      </c>
      <c r="AM340" s="795">
        <f t="shared" ref="AM340:AM382" si="87">+AL340*AK340</f>
        <v>2000000</v>
      </c>
    </row>
    <row r="341" spans="1:39" s="45" customFormat="1" ht="90">
      <c r="A341" s="185"/>
      <c r="B341" s="827" t="s">
        <v>1145</v>
      </c>
      <c r="C341" s="907" t="s">
        <v>1118</v>
      </c>
      <c r="D341" s="912" t="s">
        <v>1138</v>
      </c>
      <c r="E341" s="931">
        <v>4</v>
      </c>
      <c r="F341" s="922">
        <v>40000</v>
      </c>
      <c r="G341" s="795">
        <f t="shared" si="85"/>
        <v>160000</v>
      </c>
      <c r="H341" s="208"/>
      <c r="I341" s="899"/>
      <c r="J341" s="208"/>
      <c r="K341" s="208"/>
      <c r="L341" s="208"/>
      <c r="M341" s="900"/>
      <c r="N341" s="901"/>
      <c r="O341" s="207"/>
      <c r="P341" s="207"/>
      <c r="Q341" s="207"/>
      <c r="R341" s="207"/>
      <c r="S341" s="207"/>
      <c r="T341" s="207"/>
      <c r="U341" s="16"/>
      <c r="V341" s="805"/>
      <c r="W341" s="807"/>
      <c r="X341" s="208"/>
      <c r="Y341" s="44"/>
      <c r="Z341" s="44"/>
      <c r="AA341" s="908" t="s">
        <v>1120</v>
      </c>
      <c r="AB341" s="912" t="s">
        <v>1138</v>
      </c>
      <c r="AC341" s="827" t="s">
        <v>1147</v>
      </c>
      <c r="AD341" s="907" t="s">
        <v>1118</v>
      </c>
      <c r="AE341" s="912" t="s">
        <v>1138</v>
      </c>
      <c r="AF341" s="1235">
        <v>4</v>
      </c>
      <c r="AG341" s="922">
        <v>40000</v>
      </c>
      <c r="AH341" s="795">
        <f t="shared" si="86"/>
        <v>160000</v>
      </c>
      <c r="AI341" s="907" t="s">
        <v>1118</v>
      </c>
      <c r="AJ341" s="914" t="s">
        <v>22</v>
      </c>
      <c r="AK341" s="1206">
        <v>8</v>
      </c>
      <c r="AL341" s="922">
        <v>45000</v>
      </c>
      <c r="AM341" s="795">
        <f t="shared" si="87"/>
        <v>360000</v>
      </c>
    </row>
    <row r="342" spans="1:39" s="45" customFormat="1" ht="60">
      <c r="A342" s="185"/>
      <c r="B342" s="827" t="s">
        <v>1146</v>
      </c>
      <c r="C342" s="907" t="s">
        <v>1119</v>
      </c>
      <c r="D342" s="912" t="s">
        <v>1138</v>
      </c>
      <c r="E342" s="931">
        <v>4</v>
      </c>
      <c r="F342" s="922">
        <v>8000</v>
      </c>
      <c r="G342" s="795">
        <f t="shared" si="85"/>
        <v>32000</v>
      </c>
      <c r="H342" s="208"/>
      <c r="I342" s="899"/>
      <c r="J342" s="208"/>
      <c r="K342" s="208"/>
      <c r="L342" s="208"/>
      <c r="M342" s="900"/>
      <c r="N342" s="901"/>
      <c r="O342" s="207"/>
      <c r="P342" s="207"/>
      <c r="Q342" s="207"/>
      <c r="R342" s="207"/>
      <c r="S342" s="207"/>
      <c r="T342" s="207"/>
      <c r="U342" s="16"/>
      <c r="V342" s="805"/>
      <c r="W342" s="807"/>
      <c r="X342" s="208"/>
      <c r="Y342" s="44"/>
      <c r="Z342" s="44"/>
      <c r="AA342" s="908" t="s">
        <v>1121</v>
      </c>
      <c r="AB342" s="912" t="s">
        <v>1138</v>
      </c>
      <c r="AC342" s="827" t="s">
        <v>1148</v>
      </c>
      <c r="AD342" s="907" t="s">
        <v>1119</v>
      </c>
      <c r="AE342" s="912" t="s">
        <v>1138</v>
      </c>
      <c r="AF342" s="1235">
        <v>4</v>
      </c>
      <c r="AG342" s="922">
        <v>8000</v>
      </c>
      <c r="AH342" s="795">
        <f t="shared" si="86"/>
        <v>32000</v>
      </c>
      <c r="AI342" s="907" t="s">
        <v>1119</v>
      </c>
      <c r="AJ342" s="914" t="s">
        <v>22</v>
      </c>
      <c r="AK342" s="1206">
        <v>4</v>
      </c>
      <c r="AL342" s="922">
        <v>40000</v>
      </c>
      <c r="AM342" s="795">
        <f t="shared" si="87"/>
        <v>160000</v>
      </c>
    </row>
    <row r="343" spans="1:39" s="45" customFormat="1" ht="90">
      <c r="A343" s="185"/>
      <c r="B343" s="827" t="s">
        <v>1147</v>
      </c>
      <c r="C343" s="908" t="s">
        <v>1120</v>
      </c>
      <c r="D343" s="912" t="s">
        <v>1138</v>
      </c>
      <c r="E343" s="931">
        <v>28</v>
      </c>
      <c r="F343" s="922">
        <v>500</v>
      </c>
      <c r="G343" s="795">
        <f t="shared" si="85"/>
        <v>14000</v>
      </c>
      <c r="H343" s="208"/>
      <c r="I343" s="899"/>
      <c r="J343" s="208"/>
      <c r="K343" s="208"/>
      <c r="L343" s="208"/>
      <c r="M343" s="900"/>
      <c r="N343" s="901"/>
      <c r="O343" s="207"/>
      <c r="P343" s="207"/>
      <c r="Q343" s="207"/>
      <c r="R343" s="207"/>
      <c r="S343" s="207"/>
      <c r="T343" s="207"/>
      <c r="U343" s="16"/>
      <c r="V343" s="805"/>
      <c r="W343" s="807"/>
      <c r="X343" s="208"/>
      <c r="Y343" s="44"/>
      <c r="Z343" s="44"/>
      <c r="AA343" s="908" t="s">
        <v>1122</v>
      </c>
      <c r="AB343" s="912" t="s">
        <v>1138</v>
      </c>
      <c r="AC343" s="827" t="s">
        <v>1149</v>
      </c>
      <c r="AD343" s="908" t="s">
        <v>1120</v>
      </c>
      <c r="AE343" s="912" t="s">
        <v>1138</v>
      </c>
      <c r="AF343" s="1235">
        <v>28</v>
      </c>
      <c r="AG343" s="922">
        <v>500</v>
      </c>
      <c r="AH343" s="795">
        <f t="shared" si="86"/>
        <v>14000</v>
      </c>
      <c r="AI343" s="908" t="s">
        <v>1120</v>
      </c>
      <c r="AJ343" s="914" t="s">
        <v>22</v>
      </c>
      <c r="AK343" s="1206">
        <v>4</v>
      </c>
      <c r="AL343" s="922">
        <v>8000</v>
      </c>
      <c r="AM343" s="795">
        <f t="shared" si="87"/>
        <v>32000</v>
      </c>
    </row>
    <row r="344" spans="1:39" s="45" customFormat="1" ht="75">
      <c r="A344" s="185"/>
      <c r="B344" s="827" t="s">
        <v>1148</v>
      </c>
      <c r="C344" s="908" t="s">
        <v>1121</v>
      </c>
      <c r="D344" s="912" t="s">
        <v>1138</v>
      </c>
      <c r="E344" s="931">
        <v>16</v>
      </c>
      <c r="F344" s="922">
        <v>2000</v>
      </c>
      <c r="G344" s="795">
        <f t="shared" si="85"/>
        <v>32000</v>
      </c>
      <c r="H344" s="208"/>
      <c r="I344" s="899"/>
      <c r="J344" s="208"/>
      <c r="K344" s="208"/>
      <c r="L344" s="208"/>
      <c r="M344" s="900"/>
      <c r="N344" s="901"/>
      <c r="O344" s="207"/>
      <c r="P344" s="207"/>
      <c r="Q344" s="207"/>
      <c r="R344" s="207"/>
      <c r="S344" s="207"/>
      <c r="T344" s="207"/>
      <c r="U344" s="16"/>
      <c r="V344" s="805"/>
      <c r="W344" s="807"/>
      <c r="X344" s="208"/>
      <c r="Y344" s="44"/>
      <c r="Z344" s="44"/>
      <c r="AA344" s="908" t="s">
        <v>1123</v>
      </c>
      <c r="AB344" s="912" t="s">
        <v>1138</v>
      </c>
      <c r="AC344" s="827" t="s">
        <v>1150</v>
      </c>
      <c r="AD344" s="908" t="s">
        <v>1121</v>
      </c>
      <c r="AE344" s="912" t="s">
        <v>1138</v>
      </c>
      <c r="AF344" s="1235">
        <v>16</v>
      </c>
      <c r="AG344" s="922">
        <v>2000</v>
      </c>
      <c r="AH344" s="795">
        <f t="shared" si="86"/>
        <v>32000</v>
      </c>
      <c r="AI344" s="908" t="s">
        <v>1121</v>
      </c>
      <c r="AJ344" s="914" t="s">
        <v>22</v>
      </c>
      <c r="AK344" s="1206">
        <v>28</v>
      </c>
      <c r="AL344" s="922">
        <v>500</v>
      </c>
      <c r="AM344" s="795">
        <f t="shared" si="87"/>
        <v>14000</v>
      </c>
    </row>
    <row r="345" spans="1:39" s="45" customFormat="1" ht="105">
      <c r="A345" s="185"/>
      <c r="B345" s="827" t="s">
        <v>1149</v>
      </c>
      <c r="C345" s="908" t="s">
        <v>1122</v>
      </c>
      <c r="D345" s="912" t="s">
        <v>1138</v>
      </c>
      <c r="E345" s="931">
        <v>6</v>
      </c>
      <c r="F345" s="922">
        <v>4800</v>
      </c>
      <c r="G345" s="795">
        <f t="shared" si="85"/>
        <v>28800</v>
      </c>
      <c r="H345" s="208"/>
      <c r="I345" s="899"/>
      <c r="J345" s="208"/>
      <c r="K345" s="208"/>
      <c r="L345" s="208"/>
      <c r="M345" s="900"/>
      <c r="N345" s="901"/>
      <c r="O345" s="207"/>
      <c r="P345" s="207"/>
      <c r="Q345" s="207"/>
      <c r="R345" s="207"/>
      <c r="S345" s="207"/>
      <c r="T345" s="207"/>
      <c r="U345" s="16"/>
      <c r="V345" s="805"/>
      <c r="W345" s="807"/>
      <c r="X345" s="208"/>
      <c r="Y345" s="44"/>
      <c r="Z345" s="44"/>
      <c r="AA345" s="908" t="s">
        <v>1124</v>
      </c>
      <c r="AB345" s="912" t="s">
        <v>1138</v>
      </c>
      <c r="AC345" s="827" t="s">
        <v>1151</v>
      </c>
      <c r="AD345" s="908" t="s">
        <v>1122</v>
      </c>
      <c r="AE345" s="912" t="s">
        <v>1138</v>
      </c>
      <c r="AF345" s="1235">
        <v>6</v>
      </c>
      <c r="AG345" s="922">
        <v>4800</v>
      </c>
      <c r="AH345" s="795">
        <f t="shared" si="86"/>
        <v>28800</v>
      </c>
      <c r="AI345" s="908" t="s">
        <v>1122</v>
      </c>
      <c r="AJ345" s="914" t="s">
        <v>22</v>
      </c>
      <c r="AK345" s="1206">
        <v>16</v>
      </c>
      <c r="AL345" s="922">
        <v>2000</v>
      </c>
      <c r="AM345" s="795">
        <f t="shared" si="87"/>
        <v>32000</v>
      </c>
    </row>
    <row r="346" spans="1:39" s="45" customFormat="1" ht="45">
      <c r="A346" s="185"/>
      <c r="B346" s="827" t="s">
        <v>1150</v>
      </c>
      <c r="C346" s="908" t="s">
        <v>1123</v>
      </c>
      <c r="D346" s="912" t="s">
        <v>1138</v>
      </c>
      <c r="E346" s="931">
        <v>5</v>
      </c>
      <c r="F346" s="922">
        <v>15000</v>
      </c>
      <c r="G346" s="795">
        <f t="shared" si="85"/>
        <v>75000</v>
      </c>
      <c r="H346" s="208"/>
      <c r="I346" s="899"/>
      <c r="J346" s="208"/>
      <c r="K346" s="208"/>
      <c r="L346" s="208"/>
      <c r="M346" s="900"/>
      <c r="N346" s="901"/>
      <c r="O346" s="207"/>
      <c r="P346" s="207"/>
      <c r="Q346" s="207"/>
      <c r="R346" s="207"/>
      <c r="S346" s="207"/>
      <c r="T346" s="207"/>
      <c r="U346" s="16"/>
      <c r="V346" s="805"/>
      <c r="W346" s="807"/>
      <c r="X346" s="208"/>
      <c r="Y346" s="44"/>
      <c r="Z346" s="44"/>
      <c r="AA346" s="907" t="s">
        <v>1125</v>
      </c>
      <c r="AB346" s="912" t="s">
        <v>1138</v>
      </c>
      <c r="AC346" s="827" t="s">
        <v>1152</v>
      </c>
      <c r="AD346" s="908" t="s">
        <v>1123</v>
      </c>
      <c r="AE346" s="912" t="s">
        <v>1138</v>
      </c>
      <c r="AF346" s="1235">
        <v>5</v>
      </c>
      <c r="AG346" s="922">
        <v>15000</v>
      </c>
      <c r="AH346" s="795">
        <f t="shared" si="86"/>
        <v>75000</v>
      </c>
      <c r="AI346" s="908" t="s">
        <v>1123</v>
      </c>
      <c r="AJ346" s="914" t="s">
        <v>22</v>
      </c>
      <c r="AK346" s="1206">
        <v>6</v>
      </c>
      <c r="AL346" s="922">
        <v>4800</v>
      </c>
      <c r="AM346" s="795">
        <f t="shared" si="87"/>
        <v>28800</v>
      </c>
    </row>
    <row r="347" spans="1:39" s="45" customFormat="1" ht="90">
      <c r="A347" s="185"/>
      <c r="B347" s="827" t="s">
        <v>1151</v>
      </c>
      <c r="C347" s="908" t="s">
        <v>1124</v>
      </c>
      <c r="D347" s="912" t="s">
        <v>1138</v>
      </c>
      <c r="E347" s="931">
        <v>5</v>
      </c>
      <c r="F347" s="922">
        <v>1000</v>
      </c>
      <c r="G347" s="795">
        <f t="shared" si="85"/>
        <v>5000</v>
      </c>
      <c r="H347" s="208"/>
      <c r="I347" s="899"/>
      <c r="J347" s="208"/>
      <c r="K347" s="208"/>
      <c r="L347" s="208"/>
      <c r="M347" s="900"/>
      <c r="N347" s="901"/>
      <c r="O347" s="207"/>
      <c r="P347" s="207"/>
      <c r="Q347" s="207"/>
      <c r="R347" s="207"/>
      <c r="S347" s="207"/>
      <c r="T347" s="207"/>
      <c r="U347" s="16"/>
      <c r="V347" s="805"/>
      <c r="W347" s="807"/>
      <c r="X347" s="208"/>
      <c r="Y347" s="44"/>
      <c r="Z347" s="44"/>
      <c r="AA347" s="907" t="s">
        <v>1126</v>
      </c>
      <c r="AB347" s="912" t="s">
        <v>1138</v>
      </c>
      <c r="AC347" s="827" t="s">
        <v>1153</v>
      </c>
      <c r="AD347" s="908" t="s">
        <v>1124</v>
      </c>
      <c r="AE347" s="912" t="s">
        <v>1138</v>
      </c>
      <c r="AF347" s="1235">
        <v>5</v>
      </c>
      <c r="AG347" s="922">
        <v>1000</v>
      </c>
      <c r="AH347" s="795">
        <f t="shared" si="86"/>
        <v>5000</v>
      </c>
      <c r="AI347" s="908" t="s">
        <v>1124</v>
      </c>
      <c r="AJ347" s="914" t="s">
        <v>22</v>
      </c>
      <c r="AK347" s="1206">
        <v>5</v>
      </c>
      <c r="AL347" s="922">
        <v>15000</v>
      </c>
      <c r="AM347" s="795">
        <f t="shared" si="87"/>
        <v>75000</v>
      </c>
    </row>
    <row r="348" spans="1:39" s="45" customFormat="1" ht="60">
      <c r="A348" s="185"/>
      <c r="B348" s="827" t="s">
        <v>1152</v>
      </c>
      <c r="C348" s="907" t="s">
        <v>1125</v>
      </c>
      <c r="D348" s="912" t="s">
        <v>1138</v>
      </c>
      <c r="E348" s="931">
        <v>10</v>
      </c>
      <c r="F348" s="922">
        <v>20000</v>
      </c>
      <c r="G348" s="795">
        <f t="shared" si="85"/>
        <v>200000</v>
      </c>
      <c r="H348" s="208"/>
      <c r="I348" s="899"/>
      <c r="J348" s="208"/>
      <c r="K348" s="208"/>
      <c r="L348" s="208"/>
      <c r="M348" s="900"/>
      <c r="N348" s="901"/>
      <c r="O348" s="207"/>
      <c r="P348" s="207"/>
      <c r="Q348" s="207"/>
      <c r="R348" s="207"/>
      <c r="S348" s="207"/>
      <c r="T348" s="207"/>
      <c r="U348" s="16"/>
      <c r="V348" s="805"/>
      <c r="W348" s="807"/>
      <c r="X348" s="208"/>
      <c r="Y348" s="44"/>
      <c r="Z348" s="44"/>
      <c r="AA348" s="907" t="s">
        <v>1127</v>
      </c>
      <c r="AB348" s="912" t="s">
        <v>1138</v>
      </c>
      <c r="AC348" s="827" t="s">
        <v>1154</v>
      </c>
      <c r="AD348" s="907" t="s">
        <v>1125</v>
      </c>
      <c r="AE348" s="912" t="s">
        <v>1138</v>
      </c>
      <c r="AF348" s="1235">
        <v>10</v>
      </c>
      <c r="AG348" s="922">
        <v>20000</v>
      </c>
      <c r="AH348" s="795">
        <f t="shared" si="86"/>
        <v>200000</v>
      </c>
      <c r="AI348" s="907" t="s">
        <v>1125</v>
      </c>
      <c r="AJ348" s="914" t="s">
        <v>22</v>
      </c>
      <c r="AK348" s="1206">
        <v>5</v>
      </c>
      <c r="AL348" s="922">
        <v>1000</v>
      </c>
      <c r="AM348" s="795">
        <f t="shared" si="87"/>
        <v>5000</v>
      </c>
    </row>
    <row r="349" spans="1:39" s="45" customFormat="1" ht="60">
      <c r="A349" s="185"/>
      <c r="B349" s="827" t="s">
        <v>1153</v>
      </c>
      <c r="C349" s="907" t="s">
        <v>1126</v>
      </c>
      <c r="D349" s="912" t="s">
        <v>1138</v>
      </c>
      <c r="E349" s="931">
        <v>4</v>
      </c>
      <c r="F349" s="922">
        <v>25000</v>
      </c>
      <c r="G349" s="795">
        <f t="shared" si="85"/>
        <v>100000</v>
      </c>
      <c r="H349" s="208"/>
      <c r="I349" s="899"/>
      <c r="J349" s="208"/>
      <c r="K349" s="208"/>
      <c r="L349" s="208"/>
      <c r="M349" s="900"/>
      <c r="N349" s="901"/>
      <c r="O349" s="207"/>
      <c r="P349" s="207"/>
      <c r="Q349" s="207"/>
      <c r="R349" s="207"/>
      <c r="S349" s="207"/>
      <c r="T349" s="207"/>
      <c r="U349" s="16"/>
      <c r="V349" s="805"/>
      <c r="W349" s="807"/>
      <c r="X349" s="208"/>
      <c r="Y349" s="44"/>
      <c r="Z349" s="44"/>
      <c r="AA349" s="907" t="s">
        <v>1128</v>
      </c>
      <c r="AB349" s="912" t="s">
        <v>1139</v>
      </c>
      <c r="AC349" s="827" t="s">
        <v>1155</v>
      </c>
      <c r="AD349" s="907" t="s">
        <v>1126</v>
      </c>
      <c r="AE349" s="912" t="s">
        <v>1138</v>
      </c>
      <c r="AF349" s="1235">
        <v>4</v>
      </c>
      <c r="AG349" s="922">
        <v>25000</v>
      </c>
      <c r="AH349" s="795">
        <f t="shared" si="86"/>
        <v>100000</v>
      </c>
      <c r="AI349" s="907" t="s">
        <v>1126</v>
      </c>
      <c r="AJ349" s="914" t="s">
        <v>22</v>
      </c>
      <c r="AK349" s="1206">
        <v>10</v>
      </c>
      <c r="AL349" s="922">
        <v>20000</v>
      </c>
      <c r="AM349" s="795">
        <f t="shared" si="87"/>
        <v>200000</v>
      </c>
    </row>
    <row r="350" spans="1:39" s="45" customFormat="1" ht="45">
      <c r="A350" s="185"/>
      <c r="B350" s="827" t="s">
        <v>1154</v>
      </c>
      <c r="C350" s="907" t="s">
        <v>1127</v>
      </c>
      <c r="D350" s="912" t="s">
        <v>1138</v>
      </c>
      <c r="E350" s="931">
        <v>4</v>
      </c>
      <c r="F350" s="922">
        <v>17780</v>
      </c>
      <c r="G350" s="795">
        <f t="shared" si="85"/>
        <v>71120</v>
      </c>
      <c r="H350" s="208"/>
      <c r="I350" s="899"/>
      <c r="J350" s="208"/>
      <c r="K350" s="208"/>
      <c r="L350" s="208"/>
      <c r="M350" s="900"/>
      <c r="N350" s="901"/>
      <c r="O350" s="207"/>
      <c r="P350" s="207"/>
      <c r="Q350" s="207"/>
      <c r="R350" s="207"/>
      <c r="S350" s="207"/>
      <c r="T350" s="207"/>
      <c r="U350" s="16"/>
      <c r="V350" s="805"/>
      <c r="W350" s="807"/>
      <c r="X350" s="208"/>
      <c r="Y350" s="44"/>
      <c r="Z350" s="44"/>
      <c r="AA350" s="907" t="s">
        <v>1129</v>
      </c>
      <c r="AB350" s="912" t="s">
        <v>1138</v>
      </c>
      <c r="AC350" s="827" t="s">
        <v>1156</v>
      </c>
      <c r="AD350" s="907" t="s">
        <v>1127</v>
      </c>
      <c r="AE350" s="912" t="s">
        <v>1138</v>
      </c>
      <c r="AF350" s="1235">
        <v>4</v>
      </c>
      <c r="AG350" s="922">
        <v>17780</v>
      </c>
      <c r="AH350" s="795">
        <f t="shared" si="86"/>
        <v>71120</v>
      </c>
      <c r="AI350" s="907" t="s">
        <v>1127</v>
      </c>
      <c r="AJ350" s="914" t="s">
        <v>22</v>
      </c>
      <c r="AK350" s="1206">
        <v>4</v>
      </c>
      <c r="AL350" s="922">
        <v>25000</v>
      </c>
      <c r="AM350" s="795">
        <f t="shared" si="87"/>
        <v>100000</v>
      </c>
    </row>
    <row r="351" spans="1:39" s="45" customFormat="1" ht="105">
      <c r="A351" s="185"/>
      <c r="B351" s="827" t="s">
        <v>1155</v>
      </c>
      <c r="C351" s="1184" t="s">
        <v>1128</v>
      </c>
      <c r="D351" s="1185" t="s">
        <v>1139</v>
      </c>
      <c r="E351" s="1186">
        <v>605</v>
      </c>
      <c r="F351" s="1187">
        <v>2643</v>
      </c>
      <c r="G351" s="1188">
        <f t="shared" si="85"/>
        <v>1599015</v>
      </c>
      <c r="H351" s="208"/>
      <c r="I351" s="899"/>
      <c r="J351" s="208"/>
      <c r="K351" s="208"/>
      <c r="L351" s="208"/>
      <c r="M351" s="900"/>
      <c r="N351" s="901"/>
      <c r="O351" s="207"/>
      <c r="P351" s="207"/>
      <c r="Q351" s="207"/>
      <c r="R351" s="207"/>
      <c r="S351" s="207"/>
      <c r="T351" s="207"/>
      <c r="U351" s="16"/>
      <c r="V351" s="805"/>
      <c r="W351" s="807"/>
      <c r="X351" s="208"/>
      <c r="Y351" s="44"/>
      <c r="Z351" s="44"/>
      <c r="AA351" s="907" t="s">
        <v>1130</v>
      </c>
      <c r="AB351" s="912" t="s">
        <v>1138</v>
      </c>
      <c r="AC351" s="827" t="s">
        <v>1157</v>
      </c>
      <c r="AD351" s="907" t="s">
        <v>1128</v>
      </c>
      <c r="AE351" s="912" t="s">
        <v>1139</v>
      </c>
      <c r="AF351" s="1235">
        <v>605</v>
      </c>
      <c r="AG351" s="922">
        <v>2643</v>
      </c>
      <c r="AH351" s="795">
        <f t="shared" si="86"/>
        <v>1599015</v>
      </c>
      <c r="AI351" s="907" t="s">
        <v>1128</v>
      </c>
      <c r="AJ351" s="912" t="s">
        <v>1139</v>
      </c>
      <c r="AK351" s="1206">
        <v>4</v>
      </c>
      <c r="AL351" s="922">
        <v>17780</v>
      </c>
      <c r="AM351" s="795">
        <f t="shared" si="87"/>
        <v>71120</v>
      </c>
    </row>
    <row r="352" spans="1:39" s="45" customFormat="1" ht="75">
      <c r="A352" s="185"/>
      <c r="B352" s="827" t="s">
        <v>1156</v>
      </c>
      <c r="C352" s="1184" t="s">
        <v>1129</v>
      </c>
      <c r="D352" s="1185" t="s">
        <v>1138</v>
      </c>
      <c r="E352" s="1186">
        <v>3</v>
      </c>
      <c r="F352" s="1187">
        <v>17000</v>
      </c>
      <c r="G352" s="1188">
        <f t="shared" si="85"/>
        <v>51000</v>
      </c>
      <c r="H352" s="208"/>
      <c r="I352" s="899"/>
      <c r="J352" s="208"/>
      <c r="K352" s="208"/>
      <c r="L352" s="208"/>
      <c r="M352" s="900"/>
      <c r="N352" s="901"/>
      <c r="O352" s="207"/>
      <c r="P352" s="207"/>
      <c r="Q352" s="207"/>
      <c r="R352" s="207"/>
      <c r="S352" s="207"/>
      <c r="T352" s="207"/>
      <c r="U352" s="16"/>
      <c r="V352" s="805"/>
      <c r="W352" s="807"/>
      <c r="X352" s="208"/>
      <c r="Y352" s="44"/>
      <c r="Z352" s="44"/>
      <c r="AA352" s="907" t="s">
        <v>1131</v>
      </c>
      <c r="AB352" s="912" t="s">
        <v>1138</v>
      </c>
      <c r="AC352" s="827" t="s">
        <v>1158</v>
      </c>
      <c r="AD352" s="907" t="s">
        <v>1129</v>
      </c>
      <c r="AE352" s="912" t="s">
        <v>1138</v>
      </c>
      <c r="AF352" s="1235">
        <v>3</v>
      </c>
      <c r="AG352" s="922">
        <v>17000</v>
      </c>
      <c r="AH352" s="795">
        <f t="shared" si="86"/>
        <v>51000</v>
      </c>
      <c r="AI352" s="907" t="s">
        <v>1129</v>
      </c>
      <c r="AJ352" s="914" t="s">
        <v>22</v>
      </c>
      <c r="AK352" s="1206">
        <v>605</v>
      </c>
      <c r="AL352" s="922">
        <v>2643</v>
      </c>
      <c r="AM352" s="795">
        <f t="shared" si="87"/>
        <v>1599015</v>
      </c>
    </row>
    <row r="353" spans="1:39" s="45" customFormat="1" ht="105">
      <c r="A353" s="185"/>
      <c r="B353" s="827" t="s">
        <v>1157</v>
      </c>
      <c r="C353" s="907" t="s">
        <v>1130</v>
      </c>
      <c r="D353" s="912" t="s">
        <v>1138</v>
      </c>
      <c r="E353" s="931">
        <v>12</v>
      </c>
      <c r="F353" s="922">
        <v>14500</v>
      </c>
      <c r="G353" s="795">
        <f t="shared" si="85"/>
        <v>174000</v>
      </c>
      <c r="H353" s="208"/>
      <c r="I353" s="899"/>
      <c r="J353" s="208"/>
      <c r="K353" s="208"/>
      <c r="L353" s="208"/>
      <c r="M353" s="900"/>
      <c r="N353" s="901"/>
      <c r="O353" s="207"/>
      <c r="P353" s="207"/>
      <c r="Q353" s="207"/>
      <c r="R353" s="207"/>
      <c r="S353" s="207"/>
      <c r="T353" s="207"/>
      <c r="U353" s="16"/>
      <c r="V353" s="805"/>
      <c r="W353" s="807"/>
      <c r="X353" s="208"/>
      <c r="Y353" s="44"/>
      <c r="Z353" s="44"/>
      <c r="AA353" s="907" t="s">
        <v>1132</v>
      </c>
      <c r="AB353" s="912" t="s">
        <v>1140</v>
      </c>
      <c r="AC353" s="827" t="s">
        <v>1159</v>
      </c>
      <c r="AD353" s="907" t="s">
        <v>1130</v>
      </c>
      <c r="AE353" s="912" t="s">
        <v>1138</v>
      </c>
      <c r="AF353" s="1235">
        <v>12</v>
      </c>
      <c r="AG353" s="922">
        <v>14500</v>
      </c>
      <c r="AH353" s="795">
        <f t="shared" si="86"/>
        <v>174000</v>
      </c>
      <c r="AI353" s="907" t="s">
        <v>1130</v>
      </c>
      <c r="AJ353" s="914" t="s">
        <v>22</v>
      </c>
      <c r="AK353" s="1206">
        <v>3</v>
      </c>
      <c r="AL353" s="922">
        <v>17000</v>
      </c>
      <c r="AM353" s="795">
        <f t="shared" si="87"/>
        <v>51000</v>
      </c>
    </row>
    <row r="354" spans="1:39" s="45" customFormat="1" ht="105">
      <c r="A354" s="185"/>
      <c r="B354" s="827" t="s">
        <v>1158</v>
      </c>
      <c r="C354" s="907" t="s">
        <v>1131</v>
      </c>
      <c r="D354" s="912" t="s">
        <v>1138</v>
      </c>
      <c r="E354" s="931">
        <v>3</v>
      </c>
      <c r="F354" s="922">
        <v>2000</v>
      </c>
      <c r="G354" s="795">
        <f t="shared" si="85"/>
        <v>6000</v>
      </c>
      <c r="H354" s="208"/>
      <c r="I354" s="899"/>
      <c r="J354" s="208"/>
      <c r="K354" s="208"/>
      <c r="L354" s="208"/>
      <c r="M354" s="900"/>
      <c r="N354" s="901"/>
      <c r="O354" s="207"/>
      <c r="P354" s="207"/>
      <c r="Q354" s="207"/>
      <c r="R354" s="207"/>
      <c r="S354" s="207"/>
      <c r="T354" s="207"/>
      <c r="U354" s="16"/>
      <c r="V354" s="805"/>
      <c r="W354" s="807"/>
      <c r="X354" s="208"/>
      <c r="Y354" s="44"/>
      <c r="Z354" s="44"/>
      <c r="AA354" s="907" t="s">
        <v>1133</v>
      </c>
      <c r="AB354" s="912" t="s">
        <v>1138</v>
      </c>
      <c r="AC354" s="827" t="s">
        <v>1160</v>
      </c>
      <c r="AD354" s="907" t="s">
        <v>1131</v>
      </c>
      <c r="AE354" s="912" t="s">
        <v>1138</v>
      </c>
      <c r="AF354" s="1235">
        <v>3</v>
      </c>
      <c r="AG354" s="922">
        <v>2000</v>
      </c>
      <c r="AH354" s="795">
        <f t="shared" si="86"/>
        <v>6000</v>
      </c>
      <c r="AI354" s="907" t="s">
        <v>1131</v>
      </c>
      <c r="AJ354" s="914" t="s">
        <v>22</v>
      </c>
      <c r="AK354" s="1206">
        <v>12</v>
      </c>
      <c r="AL354" s="922">
        <v>14500</v>
      </c>
      <c r="AM354" s="795">
        <f t="shared" si="87"/>
        <v>174000</v>
      </c>
    </row>
    <row r="355" spans="1:39" s="45" customFormat="1" ht="60">
      <c r="A355" s="185"/>
      <c r="B355" s="827" t="s">
        <v>1159</v>
      </c>
      <c r="C355" s="907" t="s">
        <v>1132</v>
      </c>
      <c r="D355" s="912" t="s">
        <v>1140</v>
      </c>
      <c r="E355" s="931">
        <v>5</v>
      </c>
      <c r="F355" s="922">
        <v>4500</v>
      </c>
      <c r="G355" s="795">
        <f t="shared" si="85"/>
        <v>22500</v>
      </c>
      <c r="H355" s="208"/>
      <c r="I355" s="899"/>
      <c r="J355" s="208"/>
      <c r="K355" s="208"/>
      <c r="L355" s="208"/>
      <c r="M355" s="900"/>
      <c r="N355" s="901"/>
      <c r="O355" s="207"/>
      <c r="P355" s="207"/>
      <c r="Q355" s="207"/>
      <c r="R355" s="207"/>
      <c r="S355" s="207"/>
      <c r="T355" s="207"/>
      <c r="U355" s="16"/>
      <c r="V355" s="805"/>
      <c r="W355" s="807"/>
      <c r="X355" s="208"/>
      <c r="Y355" s="44"/>
      <c r="Z355" s="44"/>
      <c r="AA355" s="907" t="s">
        <v>1134</v>
      </c>
      <c r="AB355" s="912" t="s">
        <v>1138</v>
      </c>
      <c r="AC355" s="827" t="s">
        <v>1161</v>
      </c>
      <c r="AD355" s="907" t="s">
        <v>1132</v>
      </c>
      <c r="AE355" s="912" t="s">
        <v>1140</v>
      </c>
      <c r="AF355" s="1235">
        <v>5</v>
      </c>
      <c r="AG355" s="922">
        <v>4500</v>
      </c>
      <c r="AH355" s="795">
        <f t="shared" si="86"/>
        <v>22500</v>
      </c>
      <c r="AI355" s="907" t="s">
        <v>1132</v>
      </c>
      <c r="AJ355" s="912" t="s">
        <v>1140</v>
      </c>
      <c r="AK355" s="1206">
        <v>3</v>
      </c>
      <c r="AL355" s="922">
        <v>2000</v>
      </c>
      <c r="AM355" s="795">
        <f t="shared" si="87"/>
        <v>6000</v>
      </c>
    </row>
    <row r="356" spans="1:39" s="45" customFormat="1" ht="90">
      <c r="A356" s="185"/>
      <c r="B356" s="827" t="s">
        <v>1160</v>
      </c>
      <c r="C356" s="907" t="s">
        <v>1133</v>
      </c>
      <c r="D356" s="912" t="s">
        <v>1138</v>
      </c>
      <c r="E356" s="931">
        <v>3</v>
      </c>
      <c r="F356" s="922">
        <v>35000</v>
      </c>
      <c r="G356" s="795">
        <f t="shared" si="85"/>
        <v>105000</v>
      </c>
      <c r="H356" s="208"/>
      <c r="I356" s="899"/>
      <c r="J356" s="208"/>
      <c r="K356" s="208"/>
      <c r="L356" s="208"/>
      <c r="M356" s="900"/>
      <c r="N356" s="901"/>
      <c r="O356" s="207"/>
      <c r="P356" s="207"/>
      <c r="Q356" s="207"/>
      <c r="R356" s="207"/>
      <c r="S356" s="207"/>
      <c r="T356" s="207"/>
      <c r="U356" s="16"/>
      <c r="V356" s="805"/>
      <c r="W356" s="807"/>
      <c r="X356" s="208"/>
      <c r="Y356" s="44"/>
      <c r="Z356" s="44"/>
      <c r="AA356" s="907" t="s">
        <v>1135</v>
      </c>
      <c r="AB356" s="912" t="s">
        <v>1141</v>
      </c>
      <c r="AC356" s="827" t="s">
        <v>1162</v>
      </c>
      <c r="AD356" s="907" t="s">
        <v>1133</v>
      </c>
      <c r="AE356" s="912" t="s">
        <v>1138</v>
      </c>
      <c r="AF356" s="1235">
        <v>3</v>
      </c>
      <c r="AG356" s="922">
        <v>35000</v>
      </c>
      <c r="AH356" s="795">
        <f t="shared" si="86"/>
        <v>105000</v>
      </c>
      <c r="AI356" s="907" t="s">
        <v>1133</v>
      </c>
      <c r="AJ356" s="914" t="s">
        <v>22</v>
      </c>
      <c r="AK356" s="1206">
        <v>5</v>
      </c>
      <c r="AL356" s="922">
        <v>4500</v>
      </c>
      <c r="AM356" s="795">
        <f t="shared" si="87"/>
        <v>22500</v>
      </c>
    </row>
    <row r="357" spans="1:39" s="45" customFormat="1" ht="75">
      <c r="A357" s="185"/>
      <c r="B357" s="827" t="s">
        <v>1161</v>
      </c>
      <c r="C357" s="907" t="s">
        <v>1134</v>
      </c>
      <c r="D357" s="912" t="s">
        <v>1138</v>
      </c>
      <c r="E357" s="931">
        <v>3</v>
      </c>
      <c r="F357" s="922">
        <v>20000</v>
      </c>
      <c r="G357" s="795">
        <f t="shared" si="85"/>
        <v>60000</v>
      </c>
      <c r="H357" s="208"/>
      <c r="I357" s="899"/>
      <c r="J357" s="208"/>
      <c r="K357" s="208"/>
      <c r="L357" s="208"/>
      <c r="M357" s="900"/>
      <c r="N357" s="901"/>
      <c r="O357" s="207"/>
      <c r="P357" s="207"/>
      <c r="Q357" s="207"/>
      <c r="R357" s="207"/>
      <c r="S357" s="207"/>
      <c r="T357" s="207"/>
      <c r="U357" s="16"/>
      <c r="V357" s="805"/>
      <c r="W357" s="807"/>
      <c r="X357" s="208"/>
      <c r="Y357" s="44"/>
      <c r="Z357" s="44"/>
      <c r="AA357" s="909" t="s">
        <v>1178</v>
      </c>
      <c r="AB357" s="827"/>
      <c r="AC357" s="827">
        <v>10.199999999999999</v>
      </c>
      <c r="AD357" s="907" t="s">
        <v>1134</v>
      </c>
      <c r="AE357" s="912" t="s">
        <v>1138</v>
      </c>
      <c r="AF357" s="1235">
        <v>3</v>
      </c>
      <c r="AG357" s="922">
        <v>20000</v>
      </c>
      <c r="AH357" s="795">
        <f t="shared" si="86"/>
        <v>60000</v>
      </c>
      <c r="AI357" s="907" t="s">
        <v>1134</v>
      </c>
      <c r="AJ357" s="914" t="s">
        <v>22</v>
      </c>
      <c r="AK357" s="1206">
        <v>3</v>
      </c>
      <c r="AL357" s="922">
        <v>35000</v>
      </c>
      <c r="AM357" s="795">
        <f t="shared" si="87"/>
        <v>105000</v>
      </c>
    </row>
    <row r="358" spans="1:39" s="45" customFormat="1" ht="105">
      <c r="A358" s="185"/>
      <c r="B358" s="827" t="s">
        <v>1162</v>
      </c>
      <c r="C358" s="907" t="s">
        <v>1135</v>
      </c>
      <c r="D358" s="912" t="s">
        <v>1141</v>
      </c>
      <c r="E358" s="931">
        <v>45</v>
      </c>
      <c r="F358" s="922">
        <v>4833</v>
      </c>
      <c r="G358" s="795">
        <f t="shared" si="85"/>
        <v>217485</v>
      </c>
      <c r="H358" s="208"/>
      <c r="I358" s="899"/>
      <c r="J358" s="208"/>
      <c r="K358" s="208"/>
      <c r="L358" s="208"/>
      <c r="M358" s="900"/>
      <c r="N358" s="901"/>
      <c r="O358" s="207"/>
      <c r="P358" s="207"/>
      <c r="Q358" s="207"/>
      <c r="R358" s="207"/>
      <c r="S358" s="207"/>
      <c r="T358" s="207"/>
      <c r="U358" s="16"/>
      <c r="V358" s="805"/>
      <c r="W358" s="807"/>
      <c r="X358" s="208"/>
      <c r="Y358" s="44"/>
      <c r="Z358" s="44"/>
      <c r="AA358" s="907" t="s">
        <v>1163</v>
      </c>
      <c r="AB358" s="921" t="s">
        <v>1207</v>
      </c>
      <c r="AC358" s="827" t="s">
        <v>1179</v>
      </c>
      <c r="AD358" s="907" t="s">
        <v>1135</v>
      </c>
      <c r="AE358" s="912" t="s">
        <v>1141</v>
      </c>
      <c r="AF358" s="1235">
        <v>45</v>
      </c>
      <c r="AG358" s="922">
        <v>4833</v>
      </c>
      <c r="AH358" s="795">
        <f t="shared" si="86"/>
        <v>217485</v>
      </c>
      <c r="AI358" s="907" t="s">
        <v>1135</v>
      </c>
      <c r="AJ358" s="912" t="s">
        <v>1141</v>
      </c>
      <c r="AK358" s="1206">
        <v>3</v>
      </c>
      <c r="AL358" s="922">
        <v>20000</v>
      </c>
      <c r="AM358" s="795">
        <f t="shared" si="87"/>
        <v>60000</v>
      </c>
    </row>
    <row r="359" spans="1:39" s="45" customFormat="1" ht="90">
      <c r="A359" s="185"/>
      <c r="B359" s="827">
        <v>10.199999999999999</v>
      </c>
      <c r="C359" s="909" t="s">
        <v>1178</v>
      </c>
      <c r="D359" s="827"/>
      <c r="E359" s="594"/>
      <c r="F359" s="575"/>
      <c r="G359" s="792"/>
      <c r="H359" s="208"/>
      <c r="I359" s="899"/>
      <c r="J359" s="208"/>
      <c r="K359" s="208"/>
      <c r="L359" s="208"/>
      <c r="M359" s="900"/>
      <c r="N359" s="901"/>
      <c r="O359" s="207"/>
      <c r="P359" s="207"/>
      <c r="Q359" s="207"/>
      <c r="R359" s="207"/>
      <c r="S359" s="207"/>
      <c r="T359" s="207"/>
      <c r="U359" s="16"/>
      <c r="V359" s="805"/>
      <c r="W359" s="807"/>
      <c r="X359" s="208"/>
      <c r="Y359" s="44"/>
      <c r="Z359" s="44"/>
      <c r="AA359" s="907" t="s">
        <v>1164</v>
      </c>
      <c r="AB359" s="921" t="s">
        <v>1207</v>
      </c>
      <c r="AC359" s="827" t="s">
        <v>1180</v>
      </c>
      <c r="AD359" s="909" t="s">
        <v>1178</v>
      </c>
      <c r="AE359" s="827"/>
      <c r="AF359" s="1223"/>
      <c r="AG359" s="575"/>
      <c r="AH359" s="792"/>
      <c r="AI359" s="909" t="s">
        <v>1178</v>
      </c>
      <c r="AJ359" s="827"/>
      <c r="AK359" s="1206">
        <v>45</v>
      </c>
      <c r="AL359" s="922">
        <v>4833</v>
      </c>
      <c r="AM359" s="795">
        <f t="shared" si="87"/>
        <v>217485</v>
      </c>
    </row>
    <row r="360" spans="1:39" s="45" customFormat="1" ht="90">
      <c r="A360" s="185"/>
      <c r="B360" s="827" t="s">
        <v>1179</v>
      </c>
      <c r="C360" s="907" t="s">
        <v>1163</v>
      </c>
      <c r="D360" s="921" t="s">
        <v>1207</v>
      </c>
      <c r="E360" s="921">
        <v>1</v>
      </c>
      <c r="F360" s="922">
        <v>160000</v>
      </c>
      <c r="G360" s="795">
        <f t="shared" si="85"/>
        <v>160000</v>
      </c>
      <c r="H360" s="208"/>
      <c r="I360" s="899"/>
      <c r="J360" s="208"/>
      <c r="K360" s="208"/>
      <c r="L360" s="208"/>
      <c r="M360" s="900"/>
      <c r="N360" s="901"/>
      <c r="O360" s="207"/>
      <c r="P360" s="207"/>
      <c r="Q360" s="207"/>
      <c r="R360" s="207"/>
      <c r="S360" s="207"/>
      <c r="T360" s="207"/>
      <c r="U360" s="16"/>
      <c r="V360" s="805"/>
      <c r="W360" s="807"/>
      <c r="X360" s="208"/>
      <c r="Y360" s="44"/>
      <c r="Z360" s="44"/>
      <c r="AA360" s="907" t="s">
        <v>1165</v>
      </c>
      <c r="AB360" s="921" t="s">
        <v>1207</v>
      </c>
      <c r="AC360" s="827" t="s">
        <v>1181</v>
      </c>
      <c r="AD360" s="907" t="s">
        <v>1163</v>
      </c>
      <c r="AE360" s="921" t="s">
        <v>1207</v>
      </c>
      <c r="AF360" s="1236">
        <v>1</v>
      </c>
      <c r="AG360" s="922">
        <v>160000</v>
      </c>
      <c r="AH360" s="795">
        <f t="shared" si="86"/>
        <v>160000</v>
      </c>
      <c r="AI360" s="907" t="s">
        <v>1163</v>
      </c>
      <c r="AJ360" s="921" t="s">
        <v>1207</v>
      </c>
      <c r="AK360" s="1194"/>
      <c r="AL360" s="575"/>
      <c r="AM360" s="792"/>
    </row>
    <row r="361" spans="1:39" s="45" customFormat="1" ht="90">
      <c r="A361" s="185"/>
      <c r="B361" s="827" t="s">
        <v>1180</v>
      </c>
      <c r="C361" s="907" t="s">
        <v>1164</v>
      </c>
      <c r="D361" s="921" t="s">
        <v>1207</v>
      </c>
      <c r="E361" s="921">
        <v>2</v>
      </c>
      <c r="F361" s="922">
        <v>115000</v>
      </c>
      <c r="G361" s="795">
        <f t="shared" si="85"/>
        <v>230000</v>
      </c>
      <c r="H361" s="208"/>
      <c r="I361" s="899"/>
      <c r="J361" s="208"/>
      <c r="K361" s="208"/>
      <c r="L361" s="208"/>
      <c r="M361" s="900"/>
      <c r="N361" s="901"/>
      <c r="O361" s="207"/>
      <c r="P361" s="207"/>
      <c r="Q361" s="207"/>
      <c r="R361" s="207"/>
      <c r="S361" s="207"/>
      <c r="T361" s="207"/>
      <c r="U361" s="16"/>
      <c r="V361" s="805"/>
      <c r="W361" s="807"/>
      <c r="X361" s="208"/>
      <c r="Y361" s="44"/>
      <c r="Z361" s="44"/>
      <c r="AA361" s="907" t="s">
        <v>1166</v>
      </c>
      <c r="AB361" s="921" t="s">
        <v>1207</v>
      </c>
      <c r="AC361" s="827" t="s">
        <v>1182</v>
      </c>
      <c r="AD361" s="907" t="s">
        <v>1164</v>
      </c>
      <c r="AE361" s="921" t="s">
        <v>1207</v>
      </c>
      <c r="AF361" s="1236">
        <v>2</v>
      </c>
      <c r="AG361" s="922">
        <v>115000</v>
      </c>
      <c r="AH361" s="795">
        <f t="shared" si="86"/>
        <v>230000</v>
      </c>
      <c r="AI361" s="907" t="s">
        <v>1164</v>
      </c>
      <c r="AJ361" s="921" t="s">
        <v>1207</v>
      </c>
      <c r="AK361" s="1207">
        <v>1</v>
      </c>
      <c r="AL361" s="922">
        <v>160000</v>
      </c>
      <c r="AM361" s="795">
        <f t="shared" si="87"/>
        <v>160000</v>
      </c>
    </row>
    <row r="362" spans="1:39" s="45" customFormat="1" ht="45">
      <c r="A362" s="185"/>
      <c r="B362" s="827" t="s">
        <v>1181</v>
      </c>
      <c r="C362" s="907" t="s">
        <v>1165</v>
      </c>
      <c r="D362" s="921" t="s">
        <v>1207</v>
      </c>
      <c r="E362" s="921">
        <v>2</v>
      </c>
      <c r="F362" s="922">
        <v>213620</v>
      </c>
      <c r="G362" s="795">
        <f t="shared" si="85"/>
        <v>427240</v>
      </c>
      <c r="H362" s="208"/>
      <c r="I362" s="899"/>
      <c r="J362" s="208"/>
      <c r="K362" s="208"/>
      <c r="L362" s="208"/>
      <c r="M362" s="900"/>
      <c r="N362" s="901"/>
      <c r="O362" s="207"/>
      <c r="P362" s="207"/>
      <c r="Q362" s="207"/>
      <c r="R362" s="207"/>
      <c r="S362" s="207"/>
      <c r="T362" s="207"/>
      <c r="U362" s="16"/>
      <c r="V362" s="805"/>
      <c r="W362" s="807"/>
      <c r="X362" s="208"/>
      <c r="Y362" s="44"/>
      <c r="Z362" s="44"/>
      <c r="AA362" s="907" t="s">
        <v>1167</v>
      </c>
      <c r="AB362" s="921" t="s">
        <v>1207</v>
      </c>
      <c r="AC362" s="827" t="s">
        <v>1183</v>
      </c>
      <c r="AD362" s="907" t="s">
        <v>1165</v>
      </c>
      <c r="AE362" s="921" t="s">
        <v>1207</v>
      </c>
      <c r="AF362" s="1236">
        <v>2</v>
      </c>
      <c r="AG362" s="922">
        <v>213620</v>
      </c>
      <c r="AH362" s="795">
        <f t="shared" si="86"/>
        <v>427240</v>
      </c>
      <c r="AI362" s="907" t="s">
        <v>1165</v>
      </c>
      <c r="AJ362" s="921" t="s">
        <v>1207</v>
      </c>
      <c r="AK362" s="1207">
        <v>2</v>
      </c>
      <c r="AL362" s="922">
        <v>115000</v>
      </c>
      <c r="AM362" s="795">
        <f t="shared" si="87"/>
        <v>230000</v>
      </c>
    </row>
    <row r="363" spans="1:39" s="45" customFormat="1" ht="75">
      <c r="A363" s="185"/>
      <c r="B363" s="827" t="s">
        <v>1182</v>
      </c>
      <c r="C363" s="907" t="s">
        <v>1166</v>
      </c>
      <c r="D363" s="921" t="s">
        <v>1207</v>
      </c>
      <c r="E363" s="921">
        <v>2</v>
      </c>
      <c r="F363" s="922">
        <v>15200</v>
      </c>
      <c r="G363" s="795">
        <f t="shared" si="85"/>
        <v>30400</v>
      </c>
      <c r="H363" s="208"/>
      <c r="I363" s="899"/>
      <c r="J363" s="208"/>
      <c r="K363" s="208"/>
      <c r="L363" s="208"/>
      <c r="M363" s="900"/>
      <c r="N363" s="901"/>
      <c r="O363" s="207"/>
      <c r="P363" s="207"/>
      <c r="Q363" s="207"/>
      <c r="R363" s="207"/>
      <c r="S363" s="207"/>
      <c r="T363" s="207"/>
      <c r="U363" s="16"/>
      <c r="V363" s="805"/>
      <c r="W363" s="807"/>
      <c r="X363" s="208"/>
      <c r="Y363" s="44"/>
      <c r="Z363" s="44"/>
      <c r="AA363" s="907" t="s">
        <v>1168</v>
      </c>
      <c r="AB363" s="921" t="s">
        <v>1207</v>
      </c>
      <c r="AC363" s="827" t="s">
        <v>1184</v>
      </c>
      <c r="AD363" s="907" t="s">
        <v>1166</v>
      </c>
      <c r="AE363" s="921" t="s">
        <v>1207</v>
      </c>
      <c r="AF363" s="1236">
        <v>2</v>
      </c>
      <c r="AG363" s="922">
        <v>15200</v>
      </c>
      <c r="AH363" s="795">
        <f t="shared" si="86"/>
        <v>30400</v>
      </c>
      <c r="AI363" s="907" t="s">
        <v>1166</v>
      </c>
      <c r="AJ363" s="921" t="s">
        <v>1207</v>
      </c>
      <c r="AK363" s="1207">
        <v>2</v>
      </c>
      <c r="AL363" s="922">
        <v>213620</v>
      </c>
      <c r="AM363" s="795">
        <f t="shared" si="87"/>
        <v>427240</v>
      </c>
    </row>
    <row r="364" spans="1:39" s="45" customFormat="1" ht="60">
      <c r="A364" s="185"/>
      <c r="B364" s="827" t="s">
        <v>1183</v>
      </c>
      <c r="C364" s="907" t="s">
        <v>1167</v>
      </c>
      <c r="D364" s="921" t="s">
        <v>1207</v>
      </c>
      <c r="E364" s="921">
        <v>2</v>
      </c>
      <c r="F364" s="922">
        <v>16500</v>
      </c>
      <c r="G364" s="795">
        <f t="shared" si="85"/>
        <v>33000</v>
      </c>
      <c r="H364" s="208"/>
      <c r="I364" s="899"/>
      <c r="J364" s="208"/>
      <c r="K364" s="208"/>
      <c r="L364" s="208"/>
      <c r="M364" s="900"/>
      <c r="N364" s="901"/>
      <c r="O364" s="207"/>
      <c r="P364" s="207"/>
      <c r="Q364" s="207"/>
      <c r="R364" s="207"/>
      <c r="S364" s="207"/>
      <c r="T364" s="207"/>
      <c r="U364" s="16"/>
      <c r="V364" s="805"/>
      <c r="W364" s="807"/>
      <c r="X364" s="208"/>
      <c r="Y364" s="44"/>
      <c r="Z364" s="44"/>
      <c r="AA364" s="907" t="s">
        <v>1169</v>
      </c>
      <c r="AB364" s="921" t="s">
        <v>1207</v>
      </c>
      <c r="AC364" s="827" t="s">
        <v>1185</v>
      </c>
      <c r="AD364" s="907" t="s">
        <v>1167</v>
      </c>
      <c r="AE364" s="921" t="s">
        <v>1207</v>
      </c>
      <c r="AF364" s="1236">
        <v>2</v>
      </c>
      <c r="AG364" s="922">
        <v>16500</v>
      </c>
      <c r="AH364" s="795">
        <f t="shared" si="86"/>
        <v>33000</v>
      </c>
      <c r="AI364" s="907" t="s">
        <v>1167</v>
      </c>
      <c r="AJ364" s="921" t="s">
        <v>1207</v>
      </c>
      <c r="AK364" s="1207">
        <v>2</v>
      </c>
      <c r="AL364" s="922">
        <v>15200</v>
      </c>
      <c r="AM364" s="795">
        <f t="shared" si="87"/>
        <v>30400</v>
      </c>
    </row>
    <row r="365" spans="1:39" s="45" customFormat="1" ht="75">
      <c r="A365" s="185"/>
      <c r="B365" s="827" t="s">
        <v>1184</v>
      </c>
      <c r="C365" s="907" t="s">
        <v>1168</v>
      </c>
      <c r="D365" s="921" t="s">
        <v>1207</v>
      </c>
      <c r="E365" s="921">
        <v>2</v>
      </c>
      <c r="F365" s="922">
        <v>22000</v>
      </c>
      <c r="G365" s="795">
        <f t="shared" si="85"/>
        <v>44000</v>
      </c>
      <c r="H365" s="208"/>
      <c r="I365" s="899"/>
      <c r="J365" s="208"/>
      <c r="K365" s="208"/>
      <c r="L365" s="208"/>
      <c r="M365" s="900"/>
      <c r="N365" s="901"/>
      <c r="O365" s="207"/>
      <c r="P365" s="207"/>
      <c r="Q365" s="207"/>
      <c r="R365" s="207"/>
      <c r="S365" s="207"/>
      <c r="T365" s="207"/>
      <c r="U365" s="16"/>
      <c r="V365" s="805"/>
      <c r="W365" s="807"/>
      <c r="X365" s="208"/>
      <c r="Y365" s="44"/>
      <c r="Z365" s="44"/>
      <c r="AA365" s="907" t="s">
        <v>1170</v>
      </c>
      <c r="AB365" s="921" t="s">
        <v>1207</v>
      </c>
      <c r="AC365" s="827" t="s">
        <v>1186</v>
      </c>
      <c r="AD365" s="907" t="s">
        <v>1168</v>
      </c>
      <c r="AE365" s="921" t="s">
        <v>1207</v>
      </c>
      <c r="AF365" s="1236">
        <v>2</v>
      </c>
      <c r="AG365" s="922">
        <v>22000</v>
      </c>
      <c r="AH365" s="795">
        <f t="shared" si="86"/>
        <v>44000</v>
      </c>
      <c r="AI365" s="907" t="s">
        <v>1168</v>
      </c>
      <c r="AJ365" s="921" t="s">
        <v>1207</v>
      </c>
      <c r="AK365" s="1207">
        <v>2</v>
      </c>
      <c r="AL365" s="922">
        <v>16500</v>
      </c>
      <c r="AM365" s="795">
        <f t="shared" si="87"/>
        <v>33000</v>
      </c>
    </row>
    <row r="366" spans="1:39" s="45" customFormat="1" ht="60">
      <c r="A366" s="185"/>
      <c r="B366" s="827" t="s">
        <v>1185</v>
      </c>
      <c r="C366" s="907" t="s">
        <v>1169</v>
      </c>
      <c r="D366" s="921" t="s">
        <v>1207</v>
      </c>
      <c r="E366" s="921">
        <v>5</v>
      </c>
      <c r="F366" s="922">
        <v>500</v>
      </c>
      <c r="G366" s="795">
        <f t="shared" si="85"/>
        <v>2500</v>
      </c>
      <c r="H366" s="208"/>
      <c r="I366" s="899"/>
      <c r="J366" s="208"/>
      <c r="K366" s="208"/>
      <c r="L366" s="208"/>
      <c r="M366" s="900"/>
      <c r="N366" s="901"/>
      <c r="O366" s="207"/>
      <c r="P366" s="207"/>
      <c r="Q366" s="207"/>
      <c r="R366" s="207"/>
      <c r="S366" s="207"/>
      <c r="T366" s="207"/>
      <c r="U366" s="16"/>
      <c r="V366" s="805"/>
      <c r="W366" s="807"/>
      <c r="X366" s="208"/>
      <c r="Y366" s="44"/>
      <c r="Z366" s="44"/>
      <c r="AA366" s="907" t="s">
        <v>1171</v>
      </c>
      <c r="AB366" s="921" t="s">
        <v>1208</v>
      </c>
      <c r="AC366" s="827" t="s">
        <v>1187</v>
      </c>
      <c r="AD366" s="907" t="s">
        <v>1169</v>
      </c>
      <c r="AE366" s="921" t="s">
        <v>1207</v>
      </c>
      <c r="AF366" s="1236">
        <v>5</v>
      </c>
      <c r="AG366" s="922">
        <v>500</v>
      </c>
      <c r="AH366" s="795">
        <f t="shared" si="86"/>
        <v>2500</v>
      </c>
      <c r="AI366" s="907" t="s">
        <v>1169</v>
      </c>
      <c r="AJ366" s="921" t="s">
        <v>1207</v>
      </c>
      <c r="AK366" s="1207">
        <v>2</v>
      </c>
      <c r="AL366" s="922">
        <v>22000</v>
      </c>
      <c r="AM366" s="795">
        <f t="shared" si="87"/>
        <v>44000</v>
      </c>
    </row>
    <row r="367" spans="1:39" s="45" customFormat="1" ht="45">
      <c r="A367" s="185"/>
      <c r="B367" s="827" t="s">
        <v>1186</v>
      </c>
      <c r="C367" s="907" t="s">
        <v>1170</v>
      </c>
      <c r="D367" s="921" t="s">
        <v>1207</v>
      </c>
      <c r="E367" s="921">
        <v>2</v>
      </c>
      <c r="F367" s="922">
        <v>2500</v>
      </c>
      <c r="G367" s="795">
        <f t="shared" si="85"/>
        <v>5000</v>
      </c>
      <c r="H367" s="208"/>
      <c r="I367" s="899"/>
      <c r="J367" s="208"/>
      <c r="K367" s="208"/>
      <c r="L367" s="208"/>
      <c r="M367" s="900"/>
      <c r="N367" s="901"/>
      <c r="O367" s="207"/>
      <c r="P367" s="207"/>
      <c r="Q367" s="207"/>
      <c r="R367" s="207"/>
      <c r="S367" s="207"/>
      <c r="T367" s="207"/>
      <c r="U367" s="16"/>
      <c r="V367" s="805"/>
      <c r="W367" s="807"/>
      <c r="X367" s="208"/>
      <c r="Y367" s="44"/>
      <c r="Z367" s="44"/>
      <c r="AA367" s="907" t="s">
        <v>1172</v>
      </c>
      <c r="AB367" s="921" t="s">
        <v>1207</v>
      </c>
      <c r="AC367" s="827" t="s">
        <v>1188</v>
      </c>
      <c r="AD367" s="907" t="s">
        <v>1170</v>
      </c>
      <c r="AE367" s="921" t="s">
        <v>1207</v>
      </c>
      <c r="AF367" s="1236">
        <v>2</v>
      </c>
      <c r="AG367" s="922">
        <v>2500</v>
      </c>
      <c r="AH367" s="795">
        <f t="shared" si="86"/>
        <v>5000</v>
      </c>
      <c r="AI367" s="907" t="s">
        <v>1170</v>
      </c>
      <c r="AJ367" s="921" t="s">
        <v>1207</v>
      </c>
      <c r="AK367" s="1207">
        <v>5</v>
      </c>
      <c r="AL367" s="922">
        <v>500</v>
      </c>
      <c r="AM367" s="795">
        <f t="shared" si="87"/>
        <v>2500</v>
      </c>
    </row>
    <row r="368" spans="1:39" s="45" customFormat="1" ht="60">
      <c r="A368" s="185"/>
      <c r="B368" s="827" t="s">
        <v>1187</v>
      </c>
      <c r="C368" s="907" t="s">
        <v>1171</v>
      </c>
      <c r="D368" s="921" t="s">
        <v>1208</v>
      </c>
      <c r="E368" s="921">
        <v>5</v>
      </c>
      <c r="F368" s="922">
        <v>6000</v>
      </c>
      <c r="G368" s="795">
        <f t="shared" si="85"/>
        <v>30000</v>
      </c>
      <c r="H368" s="208"/>
      <c r="I368" s="899"/>
      <c r="J368" s="208"/>
      <c r="K368" s="208"/>
      <c r="L368" s="208"/>
      <c r="M368" s="900"/>
      <c r="N368" s="901"/>
      <c r="O368" s="207"/>
      <c r="P368" s="207"/>
      <c r="Q368" s="207"/>
      <c r="R368" s="207"/>
      <c r="S368" s="207"/>
      <c r="T368" s="207"/>
      <c r="U368" s="16"/>
      <c r="V368" s="805"/>
      <c r="W368" s="807"/>
      <c r="X368" s="208"/>
      <c r="Y368" s="44"/>
      <c r="Z368" s="44"/>
      <c r="AA368" s="907" t="s">
        <v>1173</v>
      </c>
      <c r="AB368" s="921" t="s">
        <v>1207</v>
      </c>
      <c r="AC368" s="827" t="s">
        <v>1189</v>
      </c>
      <c r="AD368" s="907" t="s">
        <v>1171</v>
      </c>
      <c r="AE368" s="921" t="s">
        <v>1208</v>
      </c>
      <c r="AF368" s="1236">
        <v>5</v>
      </c>
      <c r="AG368" s="922">
        <v>6000</v>
      </c>
      <c r="AH368" s="795">
        <f t="shared" si="86"/>
        <v>30000</v>
      </c>
      <c r="AI368" s="907" t="s">
        <v>1171</v>
      </c>
      <c r="AJ368" s="921" t="s">
        <v>1208</v>
      </c>
      <c r="AK368" s="1207">
        <v>2</v>
      </c>
      <c r="AL368" s="922">
        <v>2500</v>
      </c>
      <c r="AM368" s="795">
        <f t="shared" si="87"/>
        <v>5000</v>
      </c>
    </row>
    <row r="369" spans="1:39" s="45" customFormat="1" ht="60">
      <c r="A369" s="185"/>
      <c r="B369" s="827" t="s">
        <v>1188</v>
      </c>
      <c r="C369" s="907" t="s">
        <v>1172</v>
      </c>
      <c r="D369" s="921" t="s">
        <v>1207</v>
      </c>
      <c r="E369" s="921">
        <v>2</v>
      </c>
      <c r="F369" s="922">
        <v>2000</v>
      </c>
      <c r="G369" s="795">
        <f t="shared" si="85"/>
        <v>4000</v>
      </c>
      <c r="H369" s="208"/>
      <c r="I369" s="899"/>
      <c r="J369" s="208"/>
      <c r="K369" s="208"/>
      <c r="L369" s="208"/>
      <c r="M369" s="900"/>
      <c r="N369" s="901"/>
      <c r="O369" s="207"/>
      <c r="P369" s="207"/>
      <c r="Q369" s="207"/>
      <c r="R369" s="207"/>
      <c r="S369" s="207"/>
      <c r="T369" s="207"/>
      <c r="U369" s="16"/>
      <c r="V369" s="805"/>
      <c r="W369" s="807"/>
      <c r="X369" s="208"/>
      <c r="Y369" s="44"/>
      <c r="Z369" s="44"/>
      <c r="AA369" s="907" t="s">
        <v>1174</v>
      </c>
      <c r="AB369" s="921" t="s">
        <v>1207</v>
      </c>
      <c r="AC369" s="827" t="s">
        <v>1190</v>
      </c>
      <c r="AD369" s="907" t="s">
        <v>1172</v>
      </c>
      <c r="AE369" s="921" t="s">
        <v>1207</v>
      </c>
      <c r="AF369" s="1236">
        <v>2</v>
      </c>
      <c r="AG369" s="922">
        <v>2000</v>
      </c>
      <c r="AH369" s="795">
        <f t="shared" si="86"/>
        <v>4000</v>
      </c>
      <c r="AI369" s="907" t="s">
        <v>1172</v>
      </c>
      <c r="AJ369" s="921" t="s">
        <v>1207</v>
      </c>
      <c r="AK369" s="1207">
        <v>5</v>
      </c>
      <c r="AL369" s="922">
        <v>6000</v>
      </c>
      <c r="AM369" s="795">
        <f t="shared" si="87"/>
        <v>30000</v>
      </c>
    </row>
    <row r="370" spans="1:39" s="45" customFormat="1" ht="75">
      <c r="A370" s="185"/>
      <c r="B370" s="827" t="s">
        <v>1189</v>
      </c>
      <c r="C370" s="907" t="s">
        <v>1173</v>
      </c>
      <c r="D370" s="921" t="s">
        <v>1207</v>
      </c>
      <c r="E370" s="921">
        <v>2</v>
      </c>
      <c r="F370" s="922">
        <v>15000</v>
      </c>
      <c r="G370" s="795">
        <f t="shared" si="85"/>
        <v>30000</v>
      </c>
      <c r="H370" s="208"/>
      <c r="I370" s="899"/>
      <c r="J370" s="208"/>
      <c r="K370" s="208"/>
      <c r="L370" s="208"/>
      <c r="M370" s="900"/>
      <c r="N370" s="901"/>
      <c r="O370" s="207"/>
      <c r="P370" s="207"/>
      <c r="Q370" s="207"/>
      <c r="R370" s="207"/>
      <c r="S370" s="207"/>
      <c r="T370" s="207"/>
      <c r="U370" s="16"/>
      <c r="V370" s="805"/>
      <c r="W370" s="807"/>
      <c r="X370" s="208"/>
      <c r="Y370" s="44"/>
      <c r="Z370" s="44"/>
      <c r="AA370" s="907" t="s">
        <v>1175</v>
      </c>
      <c r="AB370" s="921" t="s">
        <v>1208</v>
      </c>
      <c r="AC370" s="827" t="s">
        <v>1191</v>
      </c>
      <c r="AD370" s="907" t="s">
        <v>1173</v>
      </c>
      <c r="AE370" s="921" t="s">
        <v>1207</v>
      </c>
      <c r="AF370" s="1236">
        <v>2</v>
      </c>
      <c r="AG370" s="922">
        <v>15000</v>
      </c>
      <c r="AH370" s="795">
        <f t="shared" si="86"/>
        <v>30000</v>
      </c>
      <c r="AI370" s="907" t="s">
        <v>1173</v>
      </c>
      <c r="AJ370" s="921" t="s">
        <v>1207</v>
      </c>
      <c r="AK370" s="1207">
        <v>2</v>
      </c>
      <c r="AL370" s="922">
        <v>2000</v>
      </c>
      <c r="AM370" s="795">
        <f t="shared" si="87"/>
        <v>4000</v>
      </c>
    </row>
    <row r="371" spans="1:39" s="45" customFormat="1" ht="60">
      <c r="A371" s="185"/>
      <c r="B371" s="827" t="s">
        <v>1190</v>
      </c>
      <c r="C371" s="907" t="s">
        <v>1174</v>
      </c>
      <c r="D371" s="921" t="s">
        <v>1207</v>
      </c>
      <c r="E371" s="921">
        <v>2</v>
      </c>
      <c r="F371" s="922">
        <v>17780</v>
      </c>
      <c r="G371" s="795">
        <f t="shared" si="85"/>
        <v>35560</v>
      </c>
      <c r="H371" s="208"/>
      <c r="I371" s="899"/>
      <c r="J371" s="208"/>
      <c r="K371" s="208"/>
      <c r="L371" s="208"/>
      <c r="M371" s="900"/>
      <c r="N371" s="901"/>
      <c r="O371" s="207"/>
      <c r="P371" s="207"/>
      <c r="Q371" s="207"/>
      <c r="R371" s="207"/>
      <c r="S371" s="207"/>
      <c r="T371" s="207"/>
      <c r="U371" s="16"/>
      <c r="V371" s="805"/>
      <c r="W371" s="807"/>
      <c r="X371" s="208"/>
      <c r="Y371" s="44"/>
      <c r="Z371" s="44"/>
      <c r="AA371" s="907" t="s">
        <v>1176</v>
      </c>
      <c r="AB371" s="921" t="s">
        <v>1207</v>
      </c>
      <c r="AC371" s="827" t="s">
        <v>1192</v>
      </c>
      <c r="AD371" s="907" t="s">
        <v>1174</v>
      </c>
      <c r="AE371" s="921" t="s">
        <v>1207</v>
      </c>
      <c r="AF371" s="1236">
        <v>2</v>
      </c>
      <c r="AG371" s="922">
        <v>17780</v>
      </c>
      <c r="AH371" s="795">
        <f t="shared" si="86"/>
        <v>35560</v>
      </c>
      <c r="AI371" s="907" t="s">
        <v>1174</v>
      </c>
      <c r="AJ371" s="921" t="s">
        <v>1207</v>
      </c>
      <c r="AK371" s="1207">
        <v>2</v>
      </c>
      <c r="AL371" s="922">
        <v>15000</v>
      </c>
      <c r="AM371" s="795">
        <f t="shared" si="87"/>
        <v>30000</v>
      </c>
    </row>
    <row r="372" spans="1:39" s="45" customFormat="1" ht="90">
      <c r="A372" s="185"/>
      <c r="B372" s="827" t="s">
        <v>1191</v>
      </c>
      <c r="C372" s="907" t="s">
        <v>1175</v>
      </c>
      <c r="D372" s="921" t="s">
        <v>1208</v>
      </c>
      <c r="E372" s="921">
        <v>8</v>
      </c>
      <c r="F372" s="922">
        <v>2400</v>
      </c>
      <c r="G372" s="795">
        <f t="shared" si="85"/>
        <v>19200</v>
      </c>
      <c r="H372" s="208"/>
      <c r="I372" s="899"/>
      <c r="J372" s="208"/>
      <c r="K372" s="208"/>
      <c r="L372" s="208"/>
      <c r="M372" s="900"/>
      <c r="N372" s="901"/>
      <c r="O372" s="207"/>
      <c r="P372" s="207"/>
      <c r="Q372" s="207"/>
      <c r="R372" s="207"/>
      <c r="S372" s="207"/>
      <c r="T372" s="207"/>
      <c r="U372" s="16"/>
      <c r="V372" s="805"/>
      <c r="W372" s="807"/>
      <c r="X372" s="208"/>
      <c r="Y372" s="44"/>
      <c r="Z372" s="44"/>
      <c r="AA372" s="907" t="s">
        <v>1177</v>
      </c>
      <c r="AB372" s="921" t="s">
        <v>1207</v>
      </c>
      <c r="AC372" s="827" t="s">
        <v>1193</v>
      </c>
      <c r="AD372" s="907" t="s">
        <v>1175</v>
      </c>
      <c r="AE372" s="921" t="s">
        <v>1208</v>
      </c>
      <c r="AF372" s="1236">
        <v>8</v>
      </c>
      <c r="AG372" s="922">
        <v>2400</v>
      </c>
      <c r="AH372" s="795">
        <f t="shared" si="86"/>
        <v>19200</v>
      </c>
      <c r="AI372" s="907" t="s">
        <v>1175</v>
      </c>
      <c r="AJ372" s="921" t="s">
        <v>1208</v>
      </c>
      <c r="AK372" s="1207">
        <v>2</v>
      </c>
      <c r="AL372" s="922">
        <v>17780</v>
      </c>
      <c r="AM372" s="795">
        <f t="shared" si="87"/>
        <v>35560</v>
      </c>
    </row>
    <row r="373" spans="1:39" s="45" customFormat="1" ht="90">
      <c r="A373" s="185"/>
      <c r="B373" s="827" t="s">
        <v>1192</v>
      </c>
      <c r="C373" s="907" t="s">
        <v>1176</v>
      </c>
      <c r="D373" s="921" t="s">
        <v>1207</v>
      </c>
      <c r="E373" s="921">
        <v>2</v>
      </c>
      <c r="F373" s="922">
        <v>19500</v>
      </c>
      <c r="G373" s="795">
        <f t="shared" si="85"/>
        <v>39000</v>
      </c>
      <c r="H373" s="208"/>
      <c r="I373" s="899"/>
      <c r="J373" s="208"/>
      <c r="K373" s="208"/>
      <c r="L373" s="208"/>
      <c r="M373" s="900"/>
      <c r="N373" s="901"/>
      <c r="O373" s="207"/>
      <c r="P373" s="207"/>
      <c r="Q373" s="207"/>
      <c r="R373" s="207"/>
      <c r="S373" s="207"/>
      <c r="T373" s="207"/>
      <c r="U373" s="16"/>
      <c r="V373" s="805"/>
      <c r="W373" s="807"/>
      <c r="X373" s="208"/>
      <c r="Y373" s="44"/>
      <c r="Z373" s="44"/>
      <c r="AA373" s="909" t="s">
        <v>1194</v>
      </c>
      <c r="AB373" s="827"/>
      <c r="AC373" s="827">
        <v>10.3</v>
      </c>
      <c r="AD373" s="907" t="s">
        <v>1176</v>
      </c>
      <c r="AE373" s="921" t="s">
        <v>1207</v>
      </c>
      <c r="AF373" s="1236">
        <v>2</v>
      </c>
      <c r="AG373" s="922">
        <v>19500</v>
      </c>
      <c r="AH373" s="795">
        <f t="shared" si="86"/>
        <v>39000</v>
      </c>
      <c r="AI373" s="907" t="s">
        <v>1176</v>
      </c>
      <c r="AJ373" s="921" t="s">
        <v>1207</v>
      </c>
      <c r="AK373" s="1207">
        <v>8</v>
      </c>
      <c r="AL373" s="922">
        <v>2400</v>
      </c>
      <c r="AM373" s="795">
        <f t="shared" si="87"/>
        <v>19200</v>
      </c>
    </row>
    <row r="374" spans="1:39" s="45" customFormat="1" ht="90">
      <c r="A374" s="185"/>
      <c r="B374" s="827" t="s">
        <v>1193</v>
      </c>
      <c r="C374" s="907" t="s">
        <v>1177</v>
      </c>
      <c r="D374" s="921" t="s">
        <v>1207</v>
      </c>
      <c r="E374" s="921">
        <v>1</v>
      </c>
      <c r="F374" s="922">
        <v>3841910</v>
      </c>
      <c r="G374" s="795">
        <f t="shared" si="85"/>
        <v>3841910</v>
      </c>
      <c r="H374" s="208"/>
      <c r="I374" s="899"/>
      <c r="J374" s="208"/>
      <c r="K374" s="208"/>
      <c r="L374" s="208"/>
      <c r="M374" s="900"/>
      <c r="N374" s="901"/>
      <c r="O374" s="207"/>
      <c r="P374" s="207"/>
      <c r="Q374" s="207"/>
      <c r="R374" s="207"/>
      <c r="S374" s="207"/>
      <c r="T374" s="207"/>
      <c r="U374" s="16"/>
      <c r="V374" s="805"/>
      <c r="W374" s="807"/>
      <c r="X374" s="208"/>
      <c r="Y374" s="44"/>
      <c r="Z374" s="44"/>
      <c r="AA374" s="907" t="s">
        <v>1195</v>
      </c>
      <c r="AB374" s="921" t="s">
        <v>1208</v>
      </c>
      <c r="AC374" s="827" t="s">
        <v>1201</v>
      </c>
      <c r="AD374" s="907" t="s">
        <v>1177</v>
      </c>
      <c r="AE374" s="921" t="s">
        <v>1207</v>
      </c>
      <c r="AF374" s="1236">
        <v>1</v>
      </c>
      <c r="AG374" s="922">
        <v>3841910</v>
      </c>
      <c r="AH374" s="795">
        <f t="shared" si="86"/>
        <v>3841910</v>
      </c>
      <c r="AI374" s="907" t="s">
        <v>1177</v>
      </c>
      <c r="AJ374" s="921" t="s">
        <v>1207</v>
      </c>
      <c r="AK374" s="1207">
        <v>2</v>
      </c>
      <c r="AL374" s="922">
        <v>19500</v>
      </c>
      <c r="AM374" s="795">
        <f t="shared" si="87"/>
        <v>39000</v>
      </c>
    </row>
    <row r="375" spans="1:39" s="45" customFormat="1" ht="90">
      <c r="A375" s="185"/>
      <c r="B375" s="827">
        <v>10.3</v>
      </c>
      <c r="C375" s="909" t="s">
        <v>1194</v>
      </c>
      <c r="D375" s="827"/>
      <c r="E375" s="594"/>
      <c r="F375" s="575"/>
      <c r="G375" s="795">
        <f t="shared" si="85"/>
        <v>0</v>
      </c>
      <c r="H375" s="208"/>
      <c r="I375" s="899"/>
      <c r="J375" s="208"/>
      <c r="K375" s="208"/>
      <c r="L375" s="208"/>
      <c r="M375" s="900"/>
      <c r="N375" s="901"/>
      <c r="O375" s="207"/>
      <c r="P375" s="207"/>
      <c r="Q375" s="207"/>
      <c r="R375" s="207"/>
      <c r="S375" s="207"/>
      <c r="T375" s="207"/>
      <c r="U375" s="16"/>
      <c r="V375" s="805"/>
      <c r="W375" s="807"/>
      <c r="X375" s="208"/>
      <c r="Y375" s="44"/>
      <c r="Z375" s="44"/>
      <c r="AA375" s="907" t="s">
        <v>1196</v>
      </c>
      <c r="AB375" s="921" t="s">
        <v>1207</v>
      </c>
      <c r="AC375" s="827" t="s">
        <v>1202</v>
      </c>
      <c r="AD375" s="909" t="s">
        <v>1194</v>
      </c>
      <c r="AE375" s="827"/>
      <c r="AF375" s="1223"/>
      <c r="AG375" s="575"/>
      <c r="AH375" s="795">
        <f t="shared" si="86"/>
        <v>0</v>
      </c>
      <c r="AI375" s="909" t="s">
        <v>1194</v>
      </c>
      <c r="AJ375" s="827"/>
      <c r="AK375" s="1207">
        <v>1</v>
      </c>
      <c r="AL375" s="922">
        <v>3841910</v>
      </c>
      <c r="AM375" s="795">
        <f t="shared" si="87"/>
        <v>3841910</v>
      </c>
    </row>
    <row r="376" spans="1:39" s="45" customFormat="1" ht="75">
      <c r="A376" s="185"/>
      <c r="B376" s="827" t="s">
        <v>1201</v>
      </c>
      <c r="C376" s="907" t="s">
        <v>1195</v>
      </c>
      <c r="D376" s="921" t="s">
        <v>1208</v>
      </c>
      <c r="E376" s="921">
        <v>12</v>
      </c>
      <c r="F376" s="922">
        <v>4500</v>
      </c>
      <c r="G376" s="795">
        <f t="shared" si="85"/>
        <v>54000</v>
      </c>
      <c r="H376" s="208"/>
      <c r="I376" s="899"/>
      <c r="J376" s="208"/>
      <c r="K376" s="208"/>
      <c r="L376" s="208"/>
      <c r="M376" s="900"/>
      <c r="N376" s="901"/>
      <c r="O376" s="207"/>
      <c r="P376" s="207"/>
      <c r="Q376" s="207"/>
      <c r="R376" s="207"/>
      <c r="S376" s="207"/>
      <c r="T376" s="207"/>
      <c r="U376" s="16"/>
      <c r="V376" s="805"/>
      <c r="W376" s="807"/>
      <c r="X376" s="208"/>
      <c r="Y376" s="44"/>
      <c r="Z376" s="44"/>
      <c r="AA376" s="907" t="s">
        <v>1197</v>
      </c>
      <c r="AB376" s="921" t="s">
        <v>1208</v>
      </c>
      <c r="AC376" s="827" t="s">
        <v>1203</v>
      </c>
      <c r="AD376" s="907" t="s">
        <v>1195</v>
      </c>
      <c r="AE376" s="921" t="s">
        <v>1208</v>
      </c>
      <c r="AF376" s="1236">
        <v>12</v>
      </c>
      <c r="AG376" s="922">
        <v>4500</v>
      </c>
      <c r="AH376" s="795">
        <f t="shared" si="86"/>
        <v>54000</v>
      </c>
      <c r="AI376" s="907" t="s">
        <v>1195</v>
      </c>
      <c r="AJ376" s="921" t="s">
        <v>1208</v>
      </c>
      <c r="AK376" s="1194"/>
      <c r="AL376" s="575"/>
      <c r="AM376" s="795">
        <f t="shared" si="87"/>
        <v>0</v>
      </c>
    </row>
    <row r="377" spans="1:39" s="45" customFormat="1" ht="75">
      <c r="A377" s="185"/>
      <c r="B377" s="827" t="s">
        <v>1202</v>
      </c>
      <c r="C377" s="907" t="s">
        <v>1196</v>
      </c>
      <c r="D377" s="921" t="s">
        <v>1207</v>
      </c>
      <c r="E377" s="921">
        <v>3</v>
      </c>
      <c r="F377" s="922">
        <v>1000</v>
      </c>
      <c r="G377" s="795">
        <f t="shared" si="85"/>
        <v>3000</v>
      </c>
      <c r="H377" s="208"/>
      <c r="I377" s="899"/>
      <c r="J377" s="208"/>
      <c r="K377" s="208"/>
      <c r="L377" s="208"/>
      <c r="M377" s="900"/>
      <c r="N377" s="901"/>
      <c r="O377" s="207"/>
      <c r="P377" s="207"/>
      <c r="Q377" s="207"/>
      <c r="R377" s="207"/>
      <c r="S377" s="207"/>
      <c r="T377" s="207"/>
      <c r="U377" s="16"/>
      <c r="V377" s="805"/>
      <c r="W377" s="807"/>
      <c r="X377" s="208"/>
      <c r="Y377" s="44"/>
      <c r="Z377" s="44"/>
      <c r="AA377" s="907" t="s">
        <v>1198</v>
      </c>
      <c r="AB377" s="921" t="s">
        <v>1207</v>
      </c>
      <c r="AC377" s="827" t="s">
        <v>1204</v>
      </c>
      <c r="AD377" s="907" t="s">
        <v>1196</v>
      </c>
      <c r="AE377" s="921" t="s">
        <v>1207</v>
      </c>
      <c r="AF377" s="1236">
        <v>3</v>
      </c>
      <c r="AG377" s="922">
        <v>1000</v>
      </c>
      <c r="AH377" s="795">
        <f t="shared" si="86"/>
        <v>3000</v>
      </c>
      <c r="AI377" s="907" t="s">
        <v>1196</v>
      </c>
      <c r="AJ377" s="921" t="s">
        <v>1207</v>
      </c>
      <c r="AK377" s="1207">
        <v>12</v>
      </c>
      <c r="AL377" s="922">
        <v>4500</v>
      </c>
      <c r="AM377" s="795">
        <f t="shared" si="87"/>
        <v>54000</v>
      </c>
    </row>
    <row r="378" spans="1:39" s="45" customFormat="1" ht="45">
      <c r="A378" s="185"/>
      <c r="B378" s="827" t="s">
        <v>1203</v>
      </c>
      <c r="C378" s="907" t="s">
        <v>1197</v>
      </c>
      <c r="D378" s="921" t="s">
        <v>1208</v>
      </c>
      <c r="E378" s="921">
        <v>5</v>
      </c>
      <c r="F378" s="922">
        <v>5000</v>
      </c>
      <c r="G378" s="795">
        <f t="shared" si="85"/>
        <v>25000</v>
      </c>
      <c r="H378" s="208"/>
      <c r="I378" s="899"/>
      <c r="J378" s="208"/>
      <c r="K378" s="208"/>
      <c r="L378" s="208"/>
      <c r="M378" s="900"/>
      <c r="N378" s="901"/>
      <c r="O378" s="207"/>
      <c r="P378" s="207"/>
      <c r="Q378" s="207"/>
      <c r="R378" s="207"/>
      <c r="S378" s="207"/>
      <c r="T378" s="207"/>
      <c r="U378" s="16"/>
      <c r="V378" s="805"/>
      <c r="W378" s="807"/>
      <c r="X378" s="208"/>
      <c r="Y378" s="44"/>
      <c r="Z378" s="44"/>
      <c r="AA378" s="907" t="s">
        <v>1199</v>
      </c>
      <c r="AB378" s="921" t="s">
        <v>1207</v>
      </c>
      <c r="AC378" s="827" t="s">
        <v>1205</v>
      </c>
      <c r="AD378" s="907" t="s">
        <v>1197</v>
      </c>
      <c r="AE378" s="921" t="s">
        <v>1208</v>
      </c>
      <c r="AF378" s="1236">
        <v>5</v>
      </c>
      <c r="AG378" s="922">
        <v>5000</v>
      </c>
      <c r="AH378" s="795">
        <f t="shared" si="86"/>
        <v>25000</v>
      </c>
      <c r="AI378" s="907" t="s">
        <v>1197</v>
      </c>
      <c r="AJ378" s="921" t="s">
        <v>1208</v>
      </c>
      <c r="AK378" s="1207">
        <v>3</v>
      </c>
      <c r="AL378" s="922">
        <v>1000</v>
      </c>
      <c r="AM378" s="795">
        <f t="shared" si="87"/>
        <v>3000</v>
      </c>
    </row>
    <row r="379" spans="1:39" s="45" customFormat="1" ht="75">
      <c r="A379" s="185"/>
      <c r="B379" s="827" t="s">
        <v>1204</v>
      </c>
      <c r="C379" s="907" t="s">
        <v>1198</v>
      </c>
      <c r="D379" s="921" t="s">
        <v>1207</v>
      </c>
      <c r="E379" s="921">
        <v>1</v>
      </c>
      <c r="F379" s="922">
        <v>60000</v>
      </c>
      <c r="G379" s="795">
        <f t="shared" si="85"/>
        <v>60000</v>
      </c>
      <c r="H379" s="208"/>
      <c r="I379" s="899"/>
      <c r="J379" s="208"/>
      <c r="K379" s="208"/>
      <c r="L379" s="208"/>
      <c r="M379" s="900"/>
      <c r="N379" s="901"/>
      <c r="O379" s="207"/>
      <c r="P379" s="207"/>
      <c r="Q379" s="207"/>
      <c r="R379" s="207"/>
      <c r="S379" s="207"/>
      <c r="T379" s="207"/>
      <c r="U379" s="16"/>
      <c r="V379" s="805"/>
      <c r="W379" s="807"/>
      <c r="X379" s="208"/>
      <c r="Y379" s="44"/>
      <c r="Z379" s="44"/>
      <c r="AA379" s="907" t="s">
        <v>1200</v>
      </c>
      <c r="AB379" s="921" t="s">
        <v>1207</v>
      </c>
      <c r="AC379" s="827" t="s">
        <v>1206</v>
      </c>
      <c r="AD379" s="907" t="s">
        <v>1198</v>
      </c>
      <c r="AE379" s="921" t="s">
        <v>1207</v>
      </c>
      <c r="AF379" s="1236">
        <v>1</v>
      </c>
      <c r="AG379" s="922">
        <v>60000</v>
      </c>
      <c r="AH379" s="795">
        <f t="shared" si="86"/>
        <v>60000</v>
      </c>
      <c r="AI379" s="907" t="s">
        <v>1198</v>
      </c>
      <c r="AJ379" s="921" t="s">
        <v>1207</v>
      </c>
      <c r="AK379" s="1207">
        <v>5</v>
      </c>
      <c r="AL379" s="922">
        <v>5000</v>
      </c>
      <c r="AM379" s="795">
        <f t="shared" si="87"/>
        <v>25000</v>
      </c>
    </row>
    <row r="380" spans="1:39" s="45" customFormat="1" ht="78.75">
      <c r="A380" s="185"/>
      <c r="B380" s="827" t="s">
        <v>1205</v>
      </c>
      <c r="C380" s="907" t="s">
        <v>1199</v>
      </c>
      <c r="D380" s="921" t="s">
        <v>1207</v>
      </c>
      <c r="E380" s="921">
        <v>1</v>
      </c>
      <c r="F380" s="922">
        <v>20000</v>
      </c>
      <c r="G380" s="795">
        <f t="shared" si="85"/>
        <v>20000</v>
      </c>
      <c r="H380" s="208"/>
      <c r="I380" s="899"/>
      <c r="J380" s="208"/>
      <c r="K380" s="208"/>
      <c r="L380" s="208"/>
      <c r="M380" s="900"/>
      <c r="N380" s="901"/>
      <c r="O380" s="207"/>
      <c r="P380" s="207"/>
      <c r="Q380" s="207"/>
      <c r="R380" s="207"/>
      <c r="S380" s="207"/>
      <c r="T380" s="207"/>
      <c r="U380" s="16"/>
      <c r="V380" s="805"/>
      <c r="W380" s="807"/>
      <c r="X380" s="208"/>
      <c r="Y380" s="44"/>
      <c r="Z380" s="44"/>
      <c r="AA380" s="1033" t="s">
        <v>1209</v>
      </c>
      <c r="AB380" s="827"/>
      <c r="AC380" s="827">
        <v>10.4</v>
      </c>
      <c r="AD380" s="907" t="s">
        <v>1199</v>
      </c>
      <c r="AE380" s="921" t="s">
        <v>1207</v>
      </c>
      <c r="AF380" s="1236">
        <v>1</v>
      </c>
      <c r="AG380" s="922">
        <v>20000</v>
      </c>
      <c r="AH380" s="795">
        <f t="shared" si="86"/>
        <v>20000</v>
      </c>
      <c r="AI380" s="907" t="s">
        <v>1199</v>
      </c>
      <c r="AJ380" s="921" t="s">
        <v>1207</v>
      </c>
      <c r="AK380" s="1207">
        <v>1</v>
      </c>
      <c r="AL380" s="922">
        <v>60000</v>
      </c>
      <c r="AM380" s="795">
        <f t="shared" si="87"/>
        <v>60000</v>
      </c>
    </row>
    <row r="381" spans="1:39" s="45" customFormat="1" ht="45">
      <c r="A381" s="185"/>
      <c r="B381" s="827" t="s">
        <v>1206</v>
      </c>
      <c r="C381" s="907" t="s">
        <v>1200</v>
      </c>
      <c r="D381" s="921" t="s">
        <v>1207</v>
      </c>
      <c r="E381" s="921">
        <v>1</v>
      </c>
      <c r="F381" s="922">
        <v>20000</v>
      </c>
      <c r="G381" s="795">
        <f t="shared" si="85"/>
        <v>20000</v>
      </c>
      <c r="H381" s="208"/>
      <c r="I381" s="899"/>
      <c r="J381" s="208"/>
      <c r="K381" s="208"/>
      <c r="L381" s="208"/>
      <c r="M381" s="900"/>
      <c r="N381" s="901"/>
      <c r="O381" s="207"/>
      <c r="P381" s="207"/>
      <c r="Q381" s="207"/>
      <c r="R381" s="207"/>
      <c r="S381" s="207"/>
      <c r="T381" s="207"/>
      <c r="U381" s="16"/>
      <c r="V381" s="805"/>
      <c r="W381" s="807"/>
      <c r="X381" s="208"/>
      <c r="Y381" s="44"/>
      <c r="Z381" s="44"/>
      <c r="AA381" s="1094" t="s">
        <v>1238</v>
      </c>
      <c r="AB381" s="1095" t="s">
        <v>525</v>
      </c>
      <c r="AC381" s="827" t="s">
        <v>1210</v>
      </c>
      <c r="AD381" s="907" t="s">
        <v>1200</v>
      </c>
      <c r="AE381" s="921" t="s">
        <v>1207</v>
      </c>
      <c r="AF381" s="1236">
        <v>1</v>
      </c>
      <c r="AG381" s="922">
        <v>20000</v>
      </c>
      <c r="AH381" s="795">
        <f t="shared" si="86"/>
        <v>20000</v>
      </c>
      <c r="AI381" s="907" t="s">
        <v>1200</v>
      </c>
      <c r="AJ381" s="921" t="s">
        <v>1207</v>
      </c>
      <c r="AK381" s="1207">
        <v>1</v>
      </c>
      <c r="AL381" s="922">
        <v>20000</v>
      </c>
      <c r="AM381" s="795">
        <f t="shared" si="87"/>
        <v>20000</v>
      </c>
    </row>
    <row r="382" spans="1:39" s="45" customFormat="1" ht="94.5">
      <c r="A382" s="185"/>
      <c r="B382" s="827">
        <v>10.4</v>
      </c>
      <c r="C382" s="1033" t="s">
        <v>1209</v>
      </c>
      <c r="D382" s="827"/>
      <c r="E382" s="594"/>
      <c r="F382" s="575"/>
      <c r="G382" s="792"/>
      <c r="H382" s="208"/>
      <c r="I382" s="899"/>
      <c r="J382" s="208"/>
      <c r="K382" s="208"/>
      <c r="L382" s="208"/>
      <c r="M382" s="900"/>
      <c r="N382" s="901"/>
      <c r="O382" s="207"/>
      <c r="P382" s="207"/>
      <c r="Q382" s="207"/>
      <c r="R382" s="207"/>
      <c r="S382" s="207"/>
      <c r="T382" s="207"/>
      <c r="U382" s="16"/>
      <c r="V382" s="805"/>
      <c r="W382" s="807"/>
      <c r="X382" s="208"/>
      <c r="Y382" s="44"/>
      <c r="Z382" s="44"/>
      <c r="AA382" s="1098" t="s">
        <v>1239</v>
      </c>
      <c r="AB382" s="1099" t="s">
        <v>525</v>
      </c>
      <c r="AC382" s="827" t="s">
        <v>1211</v>
      </c>
      <c r="AD382" s="1033" t="s">
        <v>1209</v>
      </c>
      <c r="AE382" s="827"/>
      <c r="AF382" s="1223"/>
      <c r="AG382" s="575"/>
      <c r="AH382" s="792"/>
      <c r="AI382" s="1033" t="s">
        <v>1209</v>
      </c>
      <c r="AJ382" s="827"/>
      <c r="AK382" s="1207">
        <v>1</v>
      </c>
      <c r="AL382" s="922">
        <v>20000</v>
      </c>
      <c r="AM382" s="795">
        <f t="shared" si="87"/>
        <v>20000</v>
      </c>
    </row>
    <row r="383" spans="1:39" s="45" customFormat="1" ht="60">
      <c r="A383" s="185"/>
      <c r="B383" s="827" t="s">
        <v>1210</v>
      </c>
      <c r="C383" s="943" t="s">
        <v>1238</v>
      </c>
      <c r="D383" s="925" t="s">
        <v>525</v>
      </c>
      <c r="E383" s="932">
        <v>30</v>
      </c>
      <c r="F383" s="926">
        <v>8211</v>
      </c>
      <c r="G383" s="910">
        <f>+F383*E383</f>
        <v>246330</v>
      </c>
      <c r="H383" s="208"/>
      <c r="I383" s="899"/>
      <c r="J383" s="208"/>
      <c r="K383" s="208"/>
      <c r="L383" s="208"/>
      <c r="M383" s="900"/>
      <c r="N383" s="901"/>
      <c r="O383" s="207"/>
      <c r="P383" s="207"/>
      <c r="Q383" s="207"/>
      <c r="R383" s="207"/>
      <c r="S383" s="207"/>
      <c r="T383" s="207"/>
      <c r="U383" s="16"/>
      <c r="V383" s="805"/>
      <c r="W383" s="807"/>
      <c r="X383" s="208"/>
      <c r="Y383" s="44"/>
      <c r="Z383" s="44"/>
      <c r="AA383" s="1094" t="s">
        <v>1240</v>
      </c>
      <c r="AB383" s="1095" t="s">
        <v>525</v>
      </c>
      <c r="AC383" s="827" t="s">
        <v>1212</v>
      </c>
      <c r="AD383" s="1094" t="s">
        <v>1238</v>
      </c>
      <c r="AE383" s="1095" t="s">
        <v>525</v>
      </c>
      <c r="AF383" s="1237">
        <v>30</v>
      </c>
      <c r="AG383" s="1097">
        <v>8211</v>
      </c>
      <c r="AH383" s="1125">
        <f>+AG383*AF383</f>
        <v>246330</v>
      </c>
      <c r="AI383" s="1094" t="s">
        <v>1238</v>
      </c>
      <c r="AJ383" s="1095" t="s">
        <v>525</v>
      </c>
      <c r="AK383" s="1194"/>
      <c r="AL383" s="575"/>
      <c r="AM383" s="792"/>
    </row>
    <row r="384" spans="1:39" s="45" customFormat="1" ht="45">
      <c r="A384" s="185"/>
      <c r="B384" s="827" t="s">
        <v>1211</v>
      </c>
      <c r="C384" s="1034" t="s">
        <v>1239</v>
      </c>
      <c r="D384" s="928" t="s">
        <v>525</v>
      </c>
      <c r="E384" s="933">
        <v>600</v>
      </c>
      <c r="F384" s="929">
        <v>3141</v>
      </c>
      <c r="G384" s="910">
        <f t="shared" ref="G384:G410" si="88">+F384*E384</f>
        <v>1884600</v>
      </c>
      <c r="H384" s="208"/>
      <c r="I384" s="899"/>
      <c r="J384" s="208"/>
      <c r="K384" s="208"/>
      <c r="L384" s="208"/>
      <c r="M384" s="900"/>
      <c r="N384" s="901"/>
      <c r="O384" s="207"/>
      <c r="P384" s="207"/>
      <c r="Q384" s="207"/>
      <c r="R384" s="207"/>
      <c r="S384" s="207"/>
      <c r="T384" s="207"/>
      <c r="U384" s="16"/>
      <c r="V384" s="805"/>
      <c r="W384" s="807"/>
      <c r="X384" s="208"/>
      <c r="Y384" s="44"/>
      <c r="Z384" s="44"/>
      <c r="AA384" s="1094" t="s">
        <v>1241</v>
      </c>
      <c r="AB384" s="1095" t="s">
        <v>1242</v>
      </c>
      <c r="AC384" s="827" t="s">
        <v>1213</v>
      </c>
      <c r="AD384" s="1098" t="s">
        <v>1239</v>
      </c>
      <c r="AE384" s="1099" t="s">
        <v>525</v>
      </c>
      <c r="AF384" s="1237">
        <v>600</v>
      </c>
      <c r="AG384" s="1101">
        <v>3141</v>
      </c>
      <c r="AH384" s="1125">
        <f t="shared" ref="AH384:AH410" si="89">+AG384*AF384</f>
        <v>1884600</v>
      </c>
      <c r="AI384" s="1098" t="s">
        <v>1239</v>
      </c>
      <c r="AJ384" s="1099" t="s">
        <v>525</v>
      </c>
      <c r="AK384" s="1208">
        <v>30</v>
      </c>
      <c r="AL384" s="1097">
        <v>8211</v>
      </c>
      <c r="AM384" s="1125">
        <f>+AL384*AK384</f>
        <v>246330</v>
      </c>
    </row>
    <row r="385" spans="1:39" s="45" customFormat="1" ht="45">
      <c r="A385" s="185"/>
      <c r="B385" s="827" t="s">
        <v>1212</v>
      </c>
      <c r="C385" s="943" t="s">
        <v>1240</v>
      </c>
      <c r="D385" s="925" t="s">
        <v>525</v>
      </c>
      <c r="E385" s="932">
        <v>50</v>
      </c>
      <c r="F385" s="926">
        <v>5146.92</v>
      </c>
      <c r="G385" s="910">
        <f t="shared" si="88"/>
        <v>257346</v>
      </c>
      <c r="H385" s="208"/>
      <c r="I385" s="899"/>
      <c r="J385" s="208"/>
      <c r="K385" s="208"/>
      <c r="L385" s="208"/>
      <c r="M385" s="900"/>
      <c r="N385" s="901"/>
      <c r="O385" s="207"/>
      <c r="P385" s="207"/>
      <c r="Q385" s="207"/>
      <c r="R385" s="207"/>
      <c r="S385" s="207"/>
      <c r="T385" s="207"/>
      <c r="U385" s="16"/>
      <c r="V385" s="805"/>
      <c r="W385" s="807"/>
      <c r="X385" s="208"/>
      <c r="Y385" s="44"/>
      <c r="Z385" s="44"/>
      <c r="AA385" s="1094" t="s">
        <v>1243</v>
      </c>
      <c r="AB385" s="1095" t="s">
        <v>1242</v>
      </c>
      <c r="AC385" s="827" t="s">
        <v>1214</v>
      </c>
      <c r="AD385" s="1094" t="s">
        <v>1240</v>
      </c>
      <c r="AE385" s="1095" t="s">
        <v>525</v>
      </c>
      <c r="AF385" s="1237">
        <v>50</v>
      </c>
      <c r="AG385" s="1097">
        <v>5146.92</v>
      </c>
      <c r="AH385" s="1125">
        <f t="shared" si="89"/>
        <v>257346</v>
      </c>
      <c r="AI385" s="1094" t="s">
        <v>1240</v>
      </c>
      <c r="AJ385" s="1095" t="s">
        <v>525</v>
      </c>
      <c r="AK385" s="1208">
        <v>600</v>
      </c>
      <c r="AL385" s="1101">
        <v>3141</v>
      </c>
      <c r="AM385" s="1125">
        <f t="shared" ref="AM385:AM411" si="90">+AL385*AK385</f>
        <v>1884600</v>
      </c>
    </row>
    <row r="386" spans="1:39" s="45" customFormat="1" ht="30">
      <c r="A386" s="185"/>
      <c r="B386" s="827" t="s">
        <v>1213</v>
      </c>
      <c r="C386" s="943" t="s">
        <v>1241</v>
      </c>
      <c r="D386" s="925" t="s">
        <v>1242</v>
      </c>
      <c r="E386" s="932">
        <v>2</v>
      </c>
      <c r="F386" s="926">
        <v>6500</v>
      </c>
      <c r="G386" s="910">
        <f t="shared" si="88"/>
        <v>13000</v>
      </c>
      <c r="H386" s="208"/>
      <c r="I386" s="899"/>
      <c r="J386" s="208"/>
      <c r="K386" s="208"/>
      <c r="L386" s="208"/>
      <c r="M386" s="900"/>
      <c r="N386" s="901"/>
      <c r="O386" s="207"/>
      <c r="P386" s="207"/>
      <c r="Q386" s="207"/>
      <c r="R386" s="207"/>
      <c r="S386" s="207"/>
      <c r="T386" s="207"/>
      <c r="U386" s="16"/>
      <c r="V386" s="805"/>
      <c r="W386" s="807"/>
      <c r="X386" s="208"/>
      <c r="Y386" s="44"/>
      <c r="Z386" s="44"/>
      <c r="AA386" s="1094" t="s">
        <v>1244</v>
      </c>
      <c r="AB386" s="1095" t="s">
        <v>1242</v>
      </c>
      <c r="AC386" s="827" t="s">
        <v>1215</v>
      </c>
      <c r="AD386" s="1094" t="s">
        <v>1241</v>
      </c>
      <c r="AE386" s="1095" t="s">
        <v>1242</v>
      </c>
      <c r="AF386" s="1237">
        <v>2</v>
      </c>
      <c r="AG386" s="1097">
        <v>6500</v>
      </c>
      <c r="AH386" s="1125">
        <f t="shared" si="89"/>
        <v>13000</v>
      </c>
      <c r="AI386" s="1094" t="s">
        <v>1241</v>
      </c>
      <c r="AJ386" s="914" t="s">
        <v>22</v>
      </c>
      <c r="AK386" s="1208">
        <v>50</v>
      </c>
      <c r="AL386" s="1097">
        <v>5146.92</v>
      </c>
      <c r="AM386" s="1125">
        <f t="shared" si="90"/>
        <v>257346</v>
      </c>
    </row>
    <row r="387" spans="1:39" s="45" customFormat="1" ht="30">
      <c r="A387" s="185"/>
      <c r="B387" s="827" t="s">
        <v>1214</v>
      </c>
      <c r="C387" s="943" t="s">
        <v>1243</v>
      </c>
      <c r="D387" s="925" t="s">
        <v>1242</v>
      </c>
      <c r="E387" s="932">
        <v>3</v>
      </c>
      <c r="F387" s="926">
        <v>3500</v>
      </c>
      <c r="G387" s="910">
        <f t="shared" si="88"/>
        <v>10500</v>
      </c>
      <c r="H387" s="208"/>
      <c r="I387" s="899"/>
      <c r="J387" s="208"/>
      <c r="K387" s="208"/>
      <c r="L387" s="208"/>
      <c r="M387" s="900"/>
      <c r="N387" s="901"/>
      <c r="O387" s="207"/>
      <c r="P387" s="207"/>
      <c r="Q387" s="207"/>
      <c r="R387" s="207"/>
      <c r="S387" s="207"/>
      <c r="T387" s="207"/>
      <c r="U387" s="16"/>
      <c r="V387" s="805"/>
      <c r="W387" s="807"/>
      <c r="X387" s="208"/>
      <c r="Y387" s="44"/>
      <c r="Z387" s="44"/>
      <c r="AA387" s="1094" t="s">
        <v>1245</v>
      </c>
      <c r="AB387" s="1095" t="s">
        <v>1242</v>
      </c>
      <c r="AC387" s="827" t="s">
        <v>1216</v>
      </c>
      <c r="AD387" s="1094" t="s">
        <v>1243</v>
      </c>
      <c r="AE387" s="1095" t="s">
        <v>1242</v>
      </c>
      <c r="AF387" s="1237">
        <v>3</v>
      </c>
      <c r="AG387" s="1097">
        <v>3500</v>
      </c>
      <c r="AH387" s="1125">
        <f t="shared" si="89"/>
        <v>10500</v>
      </c>
      <c r="AI387" s="1094" t="s">
        <v>1243</v>
      </c>
      <c r="AJ387" s="914" t="s">
        <v>22</v>
      </c>
      <c r="AK387" s="1208">
        <v>2</v>
      </c>
      <c r="AL387" s="1097">
        <v>6500</v>
      </c>
      <c r="AM387" s="1125">
        <f t="shared" si="90"/>
        <v>13000</v>
      </c>
    </row>
    <row r="388" spans="1:39" s="45" customFormat="1" ht="30">
      <c r="A388" s="185"/>
      <c r="B388" s="827" t="s">
        <v>1215</v>
      </c>
      <c r="C388" s="943" t="s">
        <v>1244</v>
      </c>
      <c r="D388" s="925" t="s">
        <v>1242</v>
      </c>
      <c r="E388" s="932">
        <v>20</v>
      </c>
      <c r="F388" s="926">
        <v>5000</v>
      </c>
      <c r="G388" s="910">
        <f t="shared" si="88"/>
        <v>100000</v>
      </c>
      <c r="H388" s="208"/>
      <c r="I388" s="899"/>
      <c r="J388" s="208"/>
      <c r="K388" s="208"/>
      <c r="L388" s="208"/>
      <c r="M388" s="900"/>
      <c r="N388" s="901"/>
      <c r="O388" s="207"/>
      <c r="P388" s="207"/>
      <c r="Q388" s="207"/>
      <c r="R388" s="207"/>
      <c r="S388" s="207"/>
      <c r="T388" s="207"/>
      <c r="U388" s="16"/>
      <c r="V388" s="805"/>
      <c r="W388" s="807"/>
      <c r="X388" s="208"/>
      <c r="Y388" s="44"/>
      <c r="Z388" s="44"/>
      <c r="AA388" s="1094" t="s">
        <v>1246</v>
      </c>
      <c r="AB388" s="1095" t="s">
        <v>1242</v>
      </c>
      <c r="AC388" s="827" t="s">
        <v>1217</v>
      </c>
      <c r="AD388" s="1094" t="s">
        <v>1244</v>
      </c>
      <c r="AE388" s="1095" t="s">
        <v>1242</v>
      </c>
      <c r="AF388" s="1237">
        <v>20</v>
      </c>
      <c r="AG388" s="1097">
        <v>5000</v>
      </c>
      <c r="AH388" s="1125">
        <f t="shared" si="89"/>
        <v>100000</v>
      </c>
      <c r="AI388" s="1094" t="s">
        <v>1244</v>
      </c>
      <c r="AJ388" s="914" t="s">
        <v>22</v>
      </c>
      <c r="AK388" s="1208">
        <v>3</v>
      </c>
      <c r="AL388" s="1097">
        <v>3500</v>
      </c>
      <c r="AM388" s="1125">
        <f t="shared" si="90"/>
        <v>10500</v>
      </c>
    </row>
    <row r="389" spans="1:39" s="45" customFormat="1" ht="30">
      <c r="A389" s="185"/>
      <c r="B389" s="827" t="s">
        <v>1216</v>
      </c>
      <c r="C389" s="943" t="s">
        <v>1245</v>
      </c>
      <c r="D389" s="925" t="s">
        <v>1242</v>
      </c>
      <c r="E389" s="932">
        <v>3</v>
      </c>
      <c r="F389" s="926">
        <v>1500</v>
      </c>
      <c r="G389" s="910">
        <f t="shared" si="88"/>
        <v>4500</v>
      </c>
      <c r="H389" s="208"/>
      <c r="I389" s="899"/>
      <c r="J389" s="208"/>
      <c r="K389" s="208"/>
      <c r="L389" s="208"/>
      <c r="M389" s="900"/>
      <c r="N389" s="901"/>
      <c r="O389" s="207"/>
      <c r="P389" s="207"/>
      <c r="Q389" s="207"/>
      <c r="R389" s="207"/>
      <c r="S389" s="207"/>
      <c r="T389" s="207"/>
      <c r="U389" s="16"/>
      <c r="V389" s="805"/>
      <c r="W389" s="807"/>
      <c r="X389" s="208"/>
      <c r="Y389" s="44"/>
      <c r="Z389" s="44"/>
      <c r="AA389" s="1094" t="s">
        <v>1247</v>
      </c>
      <c r="AB389" s="1095" t="s">
        <v>1242</v>
      </c>
      <c r="AC389" s="827" t="s">
        <v>1218</v>
      </c>
      <c r="AD389" s="1094" t="s">
        <v>1245</v>
      </c>
      <c r="AE389" s="1095" t="s">
        <v>1242</v>
      </c>
      <c r="AF389" s="1237">
        <v>3</v>
      </c>
      <c r="AG389" s="1097">
        <v>1500</v>
      </c>
      <c r="AH389" s="1125">
        <f t="shared" si="89"/>
        <v>4500</v>
      </c>
      <c r="AI389" s="1094" t="s">
        <v>1245</v>
      </c>
      <c r="AJ389" s="914" t="s">
        <v>22</v>
      </c>
      <c r="AK389" s="1208">
        <v>20</v>
      </c>
      <c r="AL389" s="1097">
        <v>5000</v>
      </c>
      <c r="AM389" s="1125">
        <f t="shared" si="90"/>
        <v>100000</v>
      </c>
    </row>
    <row r="390" spans="1:39" s="45" customFormat="1" ht="30">
      <c r="A390" s="185"/>
      <c r="B390" s="827" t="s">
        <v>1217</v>
      </c>
      <c r="C390" s="943" t="s">
        <v>1246</v>
      </c>
      <c r="D390" s="925" t="s">
        <v>1242</v>
      </c>
      <c r="E390" s="932">
        <v>20</v>
      </c>
      <c r="F390" s="926">
        <v>6500</v>
      </c>
      <c r="G390" s="910">
        <f t="shared" si="88"/>
        <v>130000</v>
      </c>
      <c r="H390" s="208"/>
      <c r="I390" s="899"/>
      <c r="J390" s="208"/>
      <c r="K390" s="208"/>
      <c r="L390" s="208"/>
      <c r="M390" s="900"/>
      <c r="N390" s="901"/>
      <c r="O390" s="207"/>
      <c r="P390" s="207"/>
      <c r="Q390" s="207"/>
      <c r="R390" s="207"/>
      <c r="S390" s="207"/>
      <c r="T390" s="207"/>
      <c r="U390" s="16"/>
      <c r="V390" s="805"/>
      <c r="W390" s="807"/>
      <c r="X390" s="208"/>
      <c r="Y390" s="44"/>
      <c r="Z390" s="44"/>
      <c r="AA390" s="1094" t="s">
        <v>1248</v>
      </c>
      <c r="AB390" s="1095" t="s">
        <v>1242</v>
      </c>
      <c r="AC390" s="827" t="s">
        <v>1219</v>
      </c>
      <c r="AD390" s="1094" t="s">
        <v>1246</v>
      </c>
      <c r="AE390" s="1095" t="s">
        <v>1242</v>
      </c>
      <c r="AF390" s="1237">
        <v>20</v>
      </c>
      <c r="AG390" s="1097">
        <v>6500</v>
      </c>
      <c r="AH390" s="1125">
        <f t="shared" si="89"/>
        <v>130000</v>
      </c>
      <c r="AI390" s="1094" t="s">
        <v>1246</v>
      </c>
      <c r="AJ390" s="914" t="s">
        <v>22</v>
      </c>
      <c r="AK390" s="1208">
        <v>3</v>
      </c>
      <c r="AL390" s="1097">
        <v>1500</v>
      </c>
      <c r="AM390" s="1125">
        <f t="shared" si="90"/>
        <v>4500</v>
      </c>
    </row>
    <row r="391" spans="1:39" s="45" customFormat="1" ht="30">
      <c r="A391" s="185"/>
      <c r="B391" s="827" t="s">
        <v>1218</v>
      </c>
      <c r="C391" s="943" t="s">
        <v>1247</v>
      </c>
      <c r="D391" s="925" t="s">
        <v>1242</v>
      </c>
      <c r="E391" s="932">
        <v>120</v>
      </c>
      <c r="F391" s="926">
        <v>3500</v>
      </c>
      <c r="G391" s="910">
        <f t="shared" si="88"/>
        <v>420000</v>
      </c>
      <c r="H391" s="208"/>
      <c r="I391" s="899"/>
      <c r="J391" s="208"/>
      <c r="K391" s="208"/>
      <c r="L391" s="208"/>
      <c r="M391" s="900"/>
      <c r="N391" s="901"/>
      <c r="O391" s="207"/>
      <c r="P391" s="207"/>
      <c r="Q391" s="207"/>
      <c r="R391" s="207"/>
      <c r="S391" s="207"/>
      <c r="T391" s="207"/>
      <c r="U391" s="16"/>
      <c r="V391" s="805"/>
      <c r="W391" s="807"/>
      <c r="X391" s="208"/>
      <c r="Y391" s="44"/>
      <c r="Z391" s="44"/>
      <c r="AA391" s="1094" t="s">
        <v>1249</v>
      </c>
      <c r="AB391" s="1095" t="s">
        <v>1242</v>
      </c>
      <c r="AC391" s="827" t="s">
        <v>1220</v>
      </c>
      <c r="AD391" s="1094" t="s">
        <v>1247</v>
      </c>
      <c r="AE391" s="1095" t="s">
        <v>1242</v>
      </c>
      <c r="AF391" s="1237">
        <v>120</v>
      </c>
      <c r="AG391" s="1097">
        <v>3500</v>
      </c>
      <c r="AH391" s="1125">
        <f t="shared" si="89"/>
        <v>420000</v>
      </c>
      <c r="AI391" s="1094" t="s">
        <v>1247</v>
      </c>
      <c r="AJ391" s="914" t="s">
        <v>22</v>
      </c>
      <c r="AK391" s="1208">
        <v>20</v>
      </c>
      <c r="AL391" s="1097">
        <v>6500</v>
      </c>
      <c r="AM391" s="1125">
        <f t="shared" si="90"/>
        <v>130000</v>
      </c>
    </row>
    <row r="392" spans="1:39" s="45" customFormat="1" ht="45">
      <c r="A392" s="185"/>
      <c r="B392" s="827" t="s">
        <v>1219</v>
      </c>
      <c r="C392" s="943" t="s">
        <v>1248</v>
      </c>
      <c r="D392" s="925" t="s">
        <v>1242</v>
      </c>
      <c r="E392" s="932">
        <v>60</v>
      </c>
      <c r="F392" s="926">
        <v>6000</v>
      </c>
      <c r="G392" s="910">
        <f t="shared" si="88"/>
        <v>360000</v>
      </c>
      <c r="H392" s="208"/>
      <c r="I392" s="899"/>
      <c r="J392" s="208"/>
      <c r="K392" s="208"/>
      <c r="L392" s="208"/>
      <c r="M392" s="900"/>
      <c r="N392" s="901"/>
      <c r="O392" s="207"/>
      <c r="P392" s="207"/>
      <c r="Q392" s="207"/>
      <c r="R392" s="207"/>
      <c r="S392" s="207"/>
      <c r="T392" s="207"/>
      <c r="U392" s="16"/>
      <c r="V392" s="805"/>
      <c r="W392" s="807"/>
      <c r="X392" s="208"/>
      <c r="Y392" s="44"/>
      <c r="Z392" s="44"/>
      <c r="AA392" s="1094" t="s">
        <v>1250</v>
      </c>
      <c r="AB392" s="1095" t="s">
        <v>1242</v>
      </c>
      <c r="AC392" s="827" t="s">
        <v>1221</v>
      </c>
      <c r="AD392" s="1094" t="s">
        <v>1248</v>
      </c>
      <c r="AE392" s="1095" t="s">
        <v>1242</v>
      </c>
      <c r="AF392" s="1237">
        <v>60</v>
      </c>
      <c r="AG392" s="1097">
        <v>6000</v>
      </c>
      <c r="AH392" s="1125">
        <f t="shared" si="89"/>
        <v>360000</v>
      </c>
      <c r="AI392" s="1094" t="s">
        <v>1248</v>
      </c>
      <c r="AJ392" s="914" t="s">
        <v>22</v>
      </c>
      <c r="AK392" s="1208">
        <v>120</v>
      </c>
      <c r="AL392" s="1097">
        <v>3500</v>
      </c>
      <c r="AM392" s="1125">
        <f t="shared" si="90"/>
        <v>420000</v>
      </c>
    </row>
    <row r="393" spans="1:39" s="45" customFormat="1" ht="60">
      <c r="A393" s="185"/>
      <c r="B393" s="827" t="s">
        <v>1220</v>
      </c>
      <c r="C393" s="943" t="s">
        <v>1249</v>
      </c>
      <c r="D393" s="925" t="s">
        <v>1242</v>
      </c>
      <c r="E393" s="932">
        <v>70</v>
      </c>
      <c r="F393" s="926">
        <v>5300</v>
      </c>
      <c r="G393" s="910">
        <f t="shared" si="88"/>
        <v>371000</v>
      </c>
      <c r="H393" s="208"/>
      <c r="I393" s="899"/>
      <c r="J393" s="208"/>
      <c r="K393" s="208"/>
      <c r="L393" s="208"/>
      <c r="M393" s="900"/>
      <c r="N393" s="901"/>
      <c r="O393" s="207"/>
      <c r="P393" s="207"/>
      <c r="Q393" s="207"/>
      <c r="R393" s="207"/>
      <c r="S393" s="207"/>
      <c r="T393" s="207"/>
      <c r="U393" s="16"/>
      <c r="V393" s="805"/>
      <c r="W393" s="807"/>
      <c r="X393" s="208"/>
      <c r="Y393" s="44"/>
      <c r="Z393" s="44"/>
      <c r="AA393" s="1094" t="s">
        <v>1251</v>
      </c>
      <c r="AB393" s="1095" t="s">
        <v>1242</v>
      </c>
      <c r="AC393" s="827" t="s">
        <v>1222</v>
      </c>
      <c r="AD393" s="1094" t="s">
        <v>1249</v>
      </c>
      <c r="AE393" s="1095" t="s">
        <v>1242</v>
      </c>
      <c r="AF393" s="1237">
        <v>70</v>
      </c>
      <c r="AG393" s="1097">
        <v>5300</v>
      </c>
      <c r="AH393" s="1125">
        <f t="shared" si="89"/>
        <v>371000</v>
      </c>
      <c r="AI393" s="1094" t="s">
        <v>1249</v>
      </c>
      <c r="AJ393" s="914" t="s">
        <v>22</v>
      </c>
      <c r="AK393" s="1208">
        <v>60</v>
      </c>
      <c r="AL393" s="1097">
        <v>6000</v>
      </c>
      <c r="AM393" s="1125">
        <f t="shared" si="90"/>
        <v>360000</v>
      </c>
    </row>
    <row r="394" spans="1:39" s="45" customFormat="1" ht="60">
      <c r="A394" s="185"/>
      <c r="B394" s="827" t="s">
        <v>1221</v>
      </c>
      <c r="C394" s="943" t="s">
        <v>1250</v>
      </c>
      <c r="D394" s="925" t="s">
        <v>1242</v>
      </c>
      <c r="E394" s="932">
        <v>12</v>
      </c>
      <c r="F394" s="926">
        <v>101966</v>
      </c>
      <c r="G394" s="910">
        <f t="shared" si="88"/>
        <v>1223592</v>
      </c>
      <c r="H394" s="208"/>
      <c r="I394" s="899"/>
      <c r="J394" s="208"/>
      <c r="K394" s="208"/>
      <c r="L394" s="208"/>
      <c r="M394" s="900"/>
      <c r="N394" s="901"/>
      <c r="O394" s="207"/>
      <c r="P394" s="207"/>
      <c r="Q394" s="207"/>
      <c r="R394" s="207"/>
      <c r="S394" s="207"/>
      <c r="T394" s="207"/>
      <c r="U394" s="16"/>
      <c r="V394" s="805"/>
      <c r="W394" s="807"/>
      <c r="X394" s="208"/>
      <c r="Y394" s="44"/>
      <c r="Z394" s="44"/>
      <c r="AA394" s="1094" t="s">
        <v>1252</v>
      </c>
      <c r="AB394" s="1095" t="s">
        <v>1242</v>
      </c>
      <c r="AC394" s="827" t="s">
        <v>1223</v>
      </c>
      <c r="AD394" s="1094" t="s">
        <v>1250</v>
      </c>
      <c r="AE394" s="1095" t="s">
        <v>1242</v>
      </c>
      <c r="AF394" s="1237">
        <v>12</v>
      </c>
      <c r="AG394" s="1097">
        <v>101966</v>
      </c>
      <c r="AH394" s="1125">
        <f t="shared" si="89"/>
        <v>1223592</v>
      </c>
      <c r="AI394" s="1094" t="s">
        <v>1250</v>
      </c>
      <c r="AJ394" s="914" t="s">
        <v>22</v>
      </c>
      <c r="AK394" s="1208">
        <v>70</v>
      </c>
      <c r="AL394" s="1097">
        <v>5300</v>
      </c>
      <c r="AM394" s="1125">
        <f t="shared" si="90"/>
        <v>371000</v>
      </c>
    </row>
    <row r="395" spans="1:39" s="45" customFormat="1" ht="75">
      <c r="A395" s="185"/>
      <c r="B395" s="827" t="s">
        <v>1222</v>
      </c>
      <c r="C395" s="943" t="s">
        <v>1251</v>
      </c>
      <c r="D395" s="925" t="s">
        <v>1242</v>
      </c>
      <c r="E395" s="932">
        <v>32</v>
      </c>
      <c r="F395" s="926">
        <v>12000</v>
      </c>
      <c r="G395" s="910">
        <f t="shared" si="88"/>
        <v>384000</v>
      </c>
      <c r="H395" s="208"/>
      <c r="I395" s="899"/>
      <c r="J395" s="208"/>
      <c r="K395" s="208"/>
      <c r="L395" s="208"/>
      <c r="M395" s="900"/>
      <c r="N395" s="901"/>
      <c r="O395" s="207"/>
      <c r="P395" s="207"/>
      <c r="Q395" s="207"/>
      <c r="R395" s="207"/>
      <c r="S395" s="207"/>
      <c r="T395" s="207"/>
      <c r="U395" s="16"/>
      <c r="V395" s="805"/>
      <c r="W395" s="807"/>
      <c r="X395" s="208"/>
      <c r="Y395" s="44"/>
      <c r="Z395" s="44"/>
      <c r="AA395" s="1094" t="s">
        <v>1253</v>
      </c>
      <c r="AB395" s="1095" t="s">
        <v>1242</v>
      </c>
      <c r="AC395" s="827" t="s">
        <v>1224</v>
      </c>
      <c r="AD395" s="1094" t="s">
        <v>1251</v>
      </c>
      <c r="AE395" s="1095" t="s">
        <v>1242</v>
      </c>
      <c r="AF395" s="1237">
        <v>32</v>
      </c>
      <c r="AG395" s="1097">
        <v>12000</v>
      </c>
      <c r="AH395" s="1125">
        <f t="shared" si="89"/>
        <v>384000</v>
      </c>
      <c r="AI395" s="1094" t="s">
        <v>1251</v>
      </c>
      <c r="AJ395" s="914" t="s">
        <v>22</v>
      </c>
      <c r="AK395" s="1208">
        <v>12</v>
      </c>
      <c r="AL395" s="1097">
        <v>101966</v>
      </c>
      <c r="AM395" s="1125">
        <f t="shared" si="90"/>
        <v>1223592</v>
      </c>
    </row>
    <row r="396" spans="1:39" s="45" customFormat="1" ht="60">
      <c r="A396" s="185"/>
      <c r="B396" s="827" t="s">
        <v>1223</v>
      </c>
      <c r="C396" s="943" t="s">
        <v>1252</v>
      </c>
      <c r="D396" s="925" t="s">
        <v>1242</v>
      </c>
      <c r="E396" s="932">
        <v>6</v>
      </c>
      <c r="F396" s="926">
        <v>512220</v>
      </c>
      <c r="G396" s="910">
        <f t="shared" si="88"/>
        <v>3073320</v>
      </c>
      <c r="H396" s="208"/>
      <c r="I396" s="899"/>
      <c r="J396" s="208"/>
      <c r="K396" s="208"/>
      <c r="L396" s="208"/>
      <c r="M396" s="900"/>
      <c r="N396" s="901"/>
      <c r="O396" s="207"/>
      <c r="P396" s="207"/>
      <c r="Q396" s="207"/>
      <c r="R396" s="207"/>
      <c r="S396" s="207"/>
      <c r="T396" s="207"/>
      <c r="U396" s="16"/>
      <c r="V396" s="805"/>
      <c r="W396" s="807"/>
      <c r="X396" s="208"/>
      <c r="Y396" s="44"/>
      <c r="Z396" s="44"/>
      <c r="AA396" s="1094" t="s">
        <v>1254</v>
      </c>
      <c r="AB396" s="1095" t="s">
        <v>1242</v>
      </c>
      <c r="AC396" s="827" t="s">
        <v>1225</v>
      </c>
      <c r="AD396" s="1094" t="s">
        <v>1252</v>
      </c>
      <c r="AE396" s="1095" t="s">
        <v>1242</v>
      </c>
      <c r="AF396" s="1237">
        <v>6</v>
      </c>
      <c r="AG396" s="1097">
        <v>512220</v>
      </c>
      <c r="AH396" s="1125">
        <f t="shared" si="89"/>
        <v>3073320</v>
      </c>
      <c r="AI396" s="1094" t="s">
        <v>1252</v>
      </c>
      <c r="AJ396" s="914" t="s">
        <v>22</v>
      </c>
      <c r="AK396" s="1208">
        <v>32</v>
      </c>
      <c r="AL396" s="1097">
        <v>12000</v>
      </c>
      <c r="AM396" s="1125">
        <f t="shared" si="90"/>
        <v>384000</v>
      </c>
    </row>
    <row r="397" spans="1:39" s="45" customFormat="1" ht="90">
      <c r="A397" s="185"/>
      <c r="B397" s="827" t="s">
        <v>1224</v>
      </c>
      <c r="C397" s="943" t="s">
        <v>1253</v>
      </c>
      <c r="D397" s="925" t="s">
        <v>1242</v>
      </c>
      <c r="E397" s="932">
        <v>5</v>
      </c>
      <c r="F397" s="926">
        <v>493080</v>
      </c>
      <c r="G397" s="910">
        <f t="shared" si="88"/>
        <v>2465400</v>
      </c>
      <c r="H397" s="208"/>
      <c r="I397" s="899"/>
      <c r="J397" s="208"/>
      <c r="K397" s="208"/>
      <c r="L397" s="208"/>
      <c r="M397" s="900"/>
      <c r="N397" s="901"/>
      <c r="O397" s="207"/>
      <c r="P397" s="207"/>
      <c r="Q397" s="207"/>
      <c r="R397" s="207"/>
      <c r="S397" s="207"/>
      <c r="T397" s="207"/>
      <c r="U397" s="16"/>
      <c r="V397" s="805"/>
      <c r="W397" s="807"/>
      <c r="X397" s="208"/>
      <c r="Y397" s="44"/>
      <c r="Z397" s="44"/>
      <c r="AA397" s="1094" t="s">
        <v>1255</v>
      </c>
      <c r="AB397" s="1095" t="s">
        <v>1242</v>
      </c>
      <c r="AC397" s="827" t="s">
        <v>1226</v>
      </c>
      <c r="AD397" s="1094" t="s">
        <v>1253</v>
      </c>
      <c r="AE397" s="1095" t="s">
        <v>1242</v>
      </c>
      <c r="AF397" s="1237">
        <v>5</v>
      </c>
      <c r="AG397" s="1097">
        <v>493080</v>
      </c>
      <c r="AH397" s="1125">
        <f t="shared" si="89"/>
        <v>2465400</v>
      </c>
      <c r="AI397" s="1094" t="s">
        <v>1253</v>
      </c>
      <c r="AJ397" s="914" t="s">
        <v>22</v>
      </c>
      <c r="AK397" s="1208">
        <v>6</v>
      </c>
      <c r="AL397" s="1097">
        <v>512220</v>
      </c>
      <c r="AM397" s="1125">
        <f t="shared" si="90"/>
        <v>3073320</v>
      </c>
    </row>
    <row r="398" spans="1:39" s="45" customFormat="1" ht="75">
      <c r="A398" s="185"/>
      <c r="B398" s="827" t="s">
        <v>1225</v>
      </c>
      <c r="C398" s="943" t="s">
        <v>1254</v>
      </c>
      <c r="D398" s="925" t="s">
        <v>1242</v>
      </c>
      <c r="E398" s="932">
        <v>21</v>
      </c>
      <c r="F398" s="926">
        <v>5000</v>
      </c>
      <c r="G398" s="910">
        <f t="shared" si="88"/>
        <v>105000</v>
      </c>
      <c r="H398" s="208"/>
      <c r="I398" s="899"/>
      <c r="J398" s="208"/>
      <c r="K398" s="208"/>
      <c r="L398" s="208"/>
      <c r="M398" s="900"/>
      <c r="N398" s="901"/>
      <c r="O398" s="207"/>
      <c r="P398" s="207"/>
      <c r="Q398" s="207"/>
      <c r="R398" s="207"/>
      <c r="S398" s="207"/>
      <c r="T398" s="207"/>
      <c r="U398" s="16"/>
      <c r="V398" s="805"/>
      <c r="W398" s="807"/>
      <c r="X398" s="208"/>
      <c r="Y398" s="44"/>
      <c r="Z398" s="44"/>
      <c r="AA398" s="1094" t="s">
        <v>1256</v>
      </c>
      <c r="AB398" s="1095" t="s">
        <v>1242</v>
      </c>
      <c r="AC398" s="827" t="s">
        <v>1227</v>
      </c>
      <c r="AD398" s="1094" t="s">
        <v>1254</v>
      </c>
      <c r="AE398" s="1095" t="s">
        <v>1242</v>
      </c>
      <c r="AF398" s="1237">
        <v>21</v>
      </c>
      <c r="AG398" s="1097">
        <v>5000</v>
      </c>
      <c r="AH398" s="1125">
        <f t="shared" si="89"/>
        <v>105000</v>
      </c>
      <c r="AI398" s="1094" t="s">
        <v>1254</v>
      </c>
      <c r="AJ398" s="914" t="s">
        <v>22</v>
      </c>
      <c r="AK398" s="1208">
        <v>5</v>
      </c>
      <c r="AL398" s="1097">
        <v>493080</v>
      </c>
      <c r="AM398" s="1125">
        <f t="shared" si="90"/>
        <v>2465400</v>
      </c>
    </row>
    <row r="399" spans="1:39" s="45" customFormat="1" ht="45">
      <c r="A399" s="185"/>
      <c r="B399" s="827" t="s">
        <v>1226</v>
      </c>
      <c r="C399" s="943" t="s">
        <v>1255</v>
      </c>
      <c r="D399" s="925" t="s">
        <v>1242</v>
      </c>
      <c r="E399" s="932">
        <v>8</v>
      </c>
      <c r="F399" s="926">
        <v>44780</v>
      </c>
      <c r="G399" s="910">
        <f t="shared" si="88"/>
        <v>358240</v>
      </c>
      <c r="H399" s="208"/>
      <c r="I399" s="899"/>
      <c r="J399" s="208"/>
      <c r="K399" s="208"/>
      <c r="L399" s="208"/>
      <c r="M399" s="900"/>
      <c r="N399" s="901"/>
      <c r="O399" s="207"/>
      <c r="P399" s="207"/>
      <c r="Q399" s="207"/>
      <c r="R399" s="207"/>
      <c r="S399" s="207"/>
      <c r="T399" s="207"/>
      <c r="U399" s="16"/>
      <c r="V399" s="805"/>
      <c r="W399" s="807"/>
      <c r="X399" s="208"/>
      <c r="Y399" s="44"/>
      <c r="Z399" s="44"/>
      <c r="AA399" s="1094" t="s">
        <v>1257</v>
      </c>
      <c r="AB399" s="1095" t="s">
        <v>1242</v>
      </c>
      <c r="AC399" s="827" t="s">
        <v>1228</v>
      </c>
      <c r="AD399" s="1094" t="s">
        <v>1255</v>
      </c>
      <c r="AE399" s="1095" t="s">
        <v>1242</v>
      </c>
      <c r="AF399" s="1237">
        <v>8</v>
      </c>
      <c r="AG399" s="1097">
        <v>44780</v>
      </c>
      <c r="AH399" s="1125">
        <f t="shared" si="89"/>
        <v>358240</v>
      </c>
      <c r="AI399" s="1094" t="s">
        <v>1255</v>
      </c>
      <c r="AJ399" s="914" t="s">
        <v>22</v>
      </c>
      <c r="AK399" s="1208">
        <v>21</v>
      </c>
      <c r="AL399" s="1097">
        <v>5000</v>
      </c>
      <c r="AM399" s="1125">
        <f t="shared" si="90"/>
        <v>105000</v>
      </c>
    </row>
    <row r="400" spans="1:39" s="45" customFormat="1" ht="45">
      <c r="A400" s="185"/>
      <c r="B400" s="827" t="s">
        <v>1227</v>
      </c>
      <c r="C400" s="943" t="s">
        <v>1256</v>
      </c>
      <c r="D400" s="925" t="s">
        <v>1242</v>
      </c>
      <c r="E400" s="932">
        <v>9</v>
      </c>
      <c r="F400" s="926">
        <v>13050</v>
      </c>
      <c r="G400" s="910">
        <f t="shared" si="88"/>
        <v>117450</v>
      </c>
      <c r="H400" s="208"/>
      <c r="I400" s="899"/>
      <c r="J400" s="208"/>
      <c r="K400" s="208"/>
      <c r="L400" s="208"/>
      <c r="M400" s="900"/>
      <c r="N400" s="901"/>
      <c r="O400" s="207"/>
      <c r="P400" s="207"/>
      <c r="Q400" s="207"/>
      <c r="R400" s="207"/>
      <c r="S400" s="207"/>
      <c r="T400" s="207"/>
      <c r="U400" s="16"/>
      <c r="V400" s="805"/>
      <c r="W400" s="807"/>
      <c r="X400" s="208"/>
      <c r="Y400" s="44"/>
      <c r="Z400" s="44"/>
      <c r="AA400" s="1094" t="s">
        <v>1258</v>
      </c>
      <c r="AB400" s="1095" t="s">
        <v>1242</v>
      </c>
      <c r="AC400" s="827" t="s">
        <v>1229</v>
      </c>
      <c r="AD400" s="1094" t="s">
        <v>1256</v>
      </c>
      <c r="AE400" s="1095" t="s">
        <v>1242</v>
      </c>
      <c r="AF400" s="1237">
        <v>9</v>
      </c>
      <c r="AG400" s="1097">
        <v>13050</v>
      </c>
      <c r="AH400" s="1125">
        <f t="shared" si="89"/>
        <v>117450</v>
      </c>
      <c r="AI400" s="1094" t="s">
        <v>1256</v>
      </c>
      <c r="AJ400" s="914" t="s">
        <v>22</v>
      </c>
      <c r="AK400" s="1208">
        <v>8</v>
      </c>
      <c r="AL400" s="1097">
        <v>44780</v>
      </c>
      <c r="AM400" s="1125">
        <f t="shared" si="90"/>
        <v>358240</v>
      </c>
    </row>
    <row r="401" spans="1:39" s="45" customFormat="1" ht="45">
      <c r="A401" s="185"/>
      <c r="B401" s="827" t="s">
        <v>1228</v>
      </c>
      <c r="C401" s="943" t="s">
        <v>1257</v>
      </c>
      <c r="D401" s="925" t="s">
        <v>1242</v>
      </c>
      <c r="E401" s="932">
        <v>7</v>
      </c>
      <c r="F401" s="926">
        <v>10590</v>
      </c>
      <c r="G401" s="910">
        <f t="shared" si="88"/>
        <v>74130</v>
      </c>
      <c r="H401" s="208"/>
      <c r="I401" s="899"/>
      <c r="J401" s="208"/>
      <c r="K401" s="208"/>
      <c r="L401" s="208"/>
      <c r="M401" s="900"/>
      <c r="N401" s="901"/>
      <c r="O401" s="207"/>
      <c r="P401" s="207"/>
      <c r="Q401" s="207"/>
      <c r="R401" s="207"/>
      <c r="S401" s="207"/>
      <c r="T401" s="207"/>
      <c r="U401" s="16"/>
      <c r="V401" s="805"/>
      <c r="W401" s="807"/>
      <c r="X401" s="208"/>
      <c r="Y401" s="44"/>
      <c r="Z401" s="44"/>
      <c r="AA401" s="1094" t="s">
        <v>1259</v>
      </c>
      <c r="AB401" s="1095" t="s">
        <v>1242</v>
      </c>
      <c r="AC401" s="827" t="s">
        <v>1230</v>
      </c>
      <c r="AD401" s="1094" t="s">
        <v>1257</v>
      </c>
      <c r="AE401" s="1095" t="s">
        <v>1242</v>
      </c>
      <c r="AF401" s="1237">
        <v>7</v>
      </c>
      <c r="AG401" s="1097">
        <v>10590</v>
      </c>
      <c r="AH401" s="1125">
        <f t="shared" si="89"/>
        <v>74130</v>
      </c>
      <c r="AI401" s="1094" t="s">
        <v>1257</v>
      </c>
      <c r="AJ401" s="914" t="s">
        <v>22</v>
      </c>
      <c r="AK401" s="1208">
        <v>9</v>
      </c>
      <c r="AL401" s="1097">
        <v>13050</v>
      </c>
      <c r="AM401" s="1125">
        <f t="shared" si="90"/>
        <v>117450</v>
      </c>
    </row>
    <row r="402" spans="1:39" s="45" customFormat="1" ht="105">
      <c r="A402" s="185"/>
      <c r="B402" s="827" t="s">
        <v>1229</v>
      </c>
      <c r="C402" s="943" t="s">
        <v>1258</v>
      </c>
      <c r="D402" s="925" t="s">
        <v>1242</v>
      </c>
      <c r="E402" s="932">
        <v>45</v>
      </c>
      <c r="F402" s="926">
        <v>4500</v>
      </c>
      <c r="G402" s="910">
        <f t="shared" si="88"/>
        <v>202500</v>
      </c>
      <c r="H402" s="208"/>
      <c r="I402" s="899"/>
      <c r="J402" s="208"/>
      <c r="K402" s="208"/>
      <c r="L402" s="208"/>
      <c r="M402" s="900"/>
      <c r="N402" s="901"/>
      <c r="O402" s="207"/>
      <c r="P402" s="207"/>
      <c r="Q402" s="207"/>
      <c r="R402" s="207"/>
      <c r="S402" s="207"/>
      <c r="T402" s="207"/>
      <c r="U402" s="16"/>
      <c r="V402" s="805"/>
      <c r="W402" s="807"/>
      <c r="X402" s="208"/>
      <c r="Y402" s="44"/>
      <c r="Z402" s="44"/>
      <c r="AA402" s="1102" t="s">
        <v>1260</v>
      </c>
      <c r="AB402" s="1095" t="s">
        <v>1242</v>
      </c>
      <c r="AC402" s="827" t="s">
        <v>1231</v>
      </c>
      <c r="AD402" s="1094" t="s">
        <v>1258</v>
      </c>
      <c r="AE402" s="1095" t="s">
        <v>1242</v>
      </c>
      <c r="AF402" s="1237">
        <v>45</v>
      </c>
      <c r="AG402" s="1097">
        <v>4500</v>
      </c>
      <c r="AH402" s="1125">
        <f t="shared" si="89"/>
        <v>202500</v>
      </c>
      <c r="AI402" s="1094" t="s">
        <v>1258</v>
      </c>
      <c r="AJ402" s="914" t="s">
        <v>22</v>
      </c>
      <c r="AK402" s="1208">
        <v>7</v>
      </c>
      <c r="AL402" s="1097">
        <v>10590</v>
      </c>
      <c r="AM402" s="1125">
        <f t="shared" si="90"/>
        <v>74130</v>
      </c>
    </row>
    <row r="403" spans="1:39" s="45" customFormat="1" ht="75">
      <c r="A403" s="185"/>
      <c r="B403" s="827" t="s">
        <v>1230</v>
      </c>
      <c r="C403" s="943" t="s">
        <v>1259</v>
      </c>
      <c r="D403" s="925" t="s">
        <v>1242</v>
      </c>
      <c r="E403" s="932">
        <v>44</v>
      </c>
      <c r="F403" s="926">
        <v>4500</v>
      </c>
      <c r="G403" s="910">
        <f t="shared" si="88"/>
        <v>198000</v>
      </c>
      <c r="H403" s="208"/>
      <c r="I403" s="899"/>
      <c r="J403" s="208"/>
      <c r="K403" s="208"/>
      <c r="L403" s="208"/>
      <c r="M403" s="900"/>
      <c r="N403" s="901"/>
      <c r="O403" s="207"/>
      <c r="P403" s="207"/>
      <c r="Q403" s="207"/>
      <c r="R403" s="207"/>
      <c r="S403" s="207"/>
      <c r="T403" s="207"/>
      <c r="U403" s="16"/>
      <c r="V403" s="805"/>
      <c r="W403" s="807"/>
      <c r="X403" s="208"/>
      <c r="Y403" s="44"/>
      <c r="Z403" s="44"/>
      <c r="AA403" s="1094" t="s">
        <v>1261</v>
      </c>
      <c r="AB403" s="1095" t="s">
        <v>1242</v>
      </c>
      <c r="AC403" s="827" t="s">
        <v>1232</v>
      </c>
      <c r="AD403" s="1094" t="s">
        <v>1259</v>
      </c>
      <c r="AE403" s="1095" t="s">
        <v>1242</v>
      </c>
      <c r="AF403" s="1237">
        <v>44</v>
      </c>
      <c r="AG403" s="1097">
        <v>4500</v>
      </c>
      <c r="AH403" s="1125">
        <f t="shared" si="89"/>
        <v>198000</v>
      </c>
      <c r="AI403" s="1094" t="s">
        <v>1259</v>
      </c>
      <c r="AJ403" s="914" t="s">
        <v>22</v>
      </c>
      <c r="AK403" s="1208">
        <v>45</v>
      </c>
      <c r="AL403" s="1097">
        <v>4500</v>
      </c>
      <c r="AM403" s="1125">
        <f t="shared" si="90"/>
        <v>202500</v>
      </c>
    </row>
    <row r="404" spans="1:39" s="45" customFormat="1" ht="105">
      <c r="A404" s="185"/>
      <c r="B404" s="827" t="s">
        <v>1231</v>
      </c>
      <c r="C404" s="942" t="s">
        <v>1260</v>
      </c>
      <c r="D404" s="925" t="s">
        <v>1242</v>
      </c>
      <c r="E404" s="932">
        <v>1</v>
      </c>
      <c r="F404" s="926">
        <v>484080</v>
      </c>
      <c r="G404" s="910">
        <f t="shared" si="88"/>
        <v>484080</v>
      </c>
      <c r="H404" s="208"/>
      <c r="I404" s="899"/>
      <c r="J404" s="208"/>
      <c r="K404" s="208"/>
      <c r="L404" s="208"/>
      <c r="M404" s="900"/>
      <c r="N404" s="901"/>
      <c r="O404" s="207"/>
      <c r="P404" s="207"/>
      <c r="Q404" s="207"/>
      <c r="R404" s="207"/>
      <c r="S404" s="207"/>
      <c r="T404" s="207"/>
      <c r="U404" s="16"/>
      <c r="V404" s="805"/>
      <c r="W404" s="807"/>
      <c r="X404" s="208"/>
      <c r="Y404" s="44"/>
      <c r="Z404" s="44"/>
      <c r="AA404" s="1094" t="s">
        <v>1262</v>
      </c>
      <c r="AB404" s="1095" t="s">
        <v>1242</v>
      </c>
      <c r="AC404" s="827" t="s">
        <v>1233</v>
      </c>
      <c r="AD404" s="1102" t="s">
        <v>1260</v>
      </c>
      <c r="AE404" s="1095" t="s">
        <v>1242</v>
      </c>
      <c r="AF404" s="1237">
        <v>1</v>
      </c>
      <c r="AG404" s="1097">
        <v>484080</v>
      </c>
      <c r="AH404" s="1125">
        <f t="shared" si="89"/>
        <v>484080</v>
      </c>
      <c r="AI404" s="1102" t="s">
        <v>1260</v>
      </c>
      <c r="AJ404" s="914" t="s">
        <v>22</v>
      </c>
      <c r="AK404" s="1208">
        <v>44</v>
      </c>
      <c r="AL404" s="1097">
        <v>4500</v>
      </c>
      <c r="AM404" s="1125">
        <f t="shared" si="90"/>
        <v>198000</v>
      </c>
    </row>
    <row r="405" spans="1:39" s="45" customFormat="1" ht="90">
      <c r="A405" s="185"/>
      <c r="B405" s="827" t="s">
        <v>1232</v>
      </c>
      <c r="C405" s="943" t="s">
        <v>1261</v>
      </c>
      <c r="D405" s="925" t="s">
        <v>1242</v>
      </c>
      <c r="E405" s="932">
        <v>4</v>
      </c>
      <c r="F405" s="926">
        <v>142980</v>
      </c>
      <c r="G405" s="910">
        <f t="shared" si="88"/>
        <v>571920</v>
      </c>
      <c r="H405" s="208"/>
      <c r="I405" s="899"/>
      <c r="J405" s="208"/>
      <c r="K405" s="208"/>
      <c r="L405" s="208"/>
      <c r="M405" s="900"/>
      <c r="N405" s="901"/>
      <c r="O405" s="207"/>
      <c r="P405" s="207"/>
      <c r="Q405" s="207"/>
      <c r="R405" s="207"/>
      <c r="S405" s="207"/>
      <c r="T405" s="207"/>
      <c r="U405" s="16"/>
      <c r="V405" s="805"/>
      <c r="W405" s="807"/>
      <c r="X405" s="208"/>
      <c r="Y405" s="44"/>
      <c r="Z405" s="44"/>
      <c r="AA405" s="1094" t="s">
        <v>1263</v>
      </c>
      <c r="AB405" s="1095" t="s">
        <v>1242</v>
      </c>
      <c r="AC405" s="827" t="s">
        <v>1234</v>
      </c>
      <c r="AD405" s="1094" t="s">
        <v>1261</v>
      </c>
      <c r="AE405" s="1095" t="s">
        <v>1242</v>
      </c>
      <c r="AF405" s="1237">
        <v>4</v>
      </c>
      <c r="AG405" s="1097">
        <v>142980</v>
      </c>
      <c r="AH405" s="1125">
        <f t="shared" si="89"/>
        <v>571920</v>
      </c>
      <c r="AI405" s="1094" t="s">
        <v>1261</v>
      </c>
      <c r="AJ405" s="914" t="s">
        <v>22</v>
      </c>
      <c r="AK405" s="1208">
        <v>1</v>
      </c>
      <c r="AL405" s="1097">
        <v>484080</v>
      </c>
      <c r="AM405" s="1125">
        <f t="shared" si="90"/>
        <v>484080</v>
      </c>
    </row>
    <row r="406" spans="1:39" s="45" customFormat="1" ht="90">
      <c r="A406" s="185"/>
      <c r="B406" s="827" t="s">
        <v>1233</v>
      </c>
      <c r="C406" s="943" t="s">
        <v>1262</v>
      </c>
      <c r="D406" s="925" t="s">
        <v>1242</v>
      </c>
      <c r="E406" s="932">
        <v>1</v>
      </c>
      <c r="F406" s="926">
        <v>111060</v>
      </c>
      <c r="G406" s="910">
        <f t="shared" si="88"/>
        <v>111060</v>
      </c>
      <c r="H406" s="208"/>
      <c r="I406" s="899"/>
      <c r="J406" s="208"/>
      <c r="K406" s="208"/>
      <c r="L406" s="208"/>
      <c r="M406" s="900"/>
      <c r="N406" s="901"/>
      <c r="O406" s="207"/>
      <c r="P406" s="207"/>
      <c r="Q406" s="207"/>
      <c r="R406" s="207"/>
      <c r="S406" s="207"/>
      <c r="T406" s="207"/>
      <c r="U406" s="16"/>
      <c r="V406" s="805"/>
      <c r="W406" s="807"/>
      <c r="X406" s="208"/>
      <c r="Y406" s="44"/>
      <c r="Z406" s="44"/>
      <c r="AA406" s="1094" t="s">
        <v>1264</v>
      </c>
      <c r="AB406" s="1095" t="s">
        <v>1242</v>
      </c>
      <c r="AC406" s="827" t="s">
        <v>1235</v>
      </c>
      <c r="AD406" s="1094" t="s">
        <v>1262</v>
      </c>
      <c r="AE406" s="1095" t="s">
        <v>1242</v>
      </c>
      <c r="AF406" s="1237">
        <v>1</v>
      </c>
      <c r="AG406" s="1097">
        <v>111060</v>
      </c>
      <c r="AH406" s="1125">
        <f t="shared" si="89"/>
        <v>111060</v>
      </c>
      <c r="AI406" s="1094" t="s">
        <v>1262</v>
      </c>
      <c r="AJ406" s="914" t="s">
        <v>22</v>
      </c>
      <c r="AK406" s="1208">
        <v>4</v>
      </c>
      <c r="AL406" s="1097">
        <v>142980</v>
      </c>
      <c r="AM406" s="1125">
        <f t="shared" si="90"/>
        <v>571920</v>
      </c>
    </row>
    <row r="407" spans="1:39" s="45" customFormat="1" ht="105">
      <c r="A407" s="185"/>
      <c r="B407" s="827" t="s">
        <v>1234</v>
      </c>
      <c r="C407" s="943" t="s">
        <v>1263</v>
      </c>
      <c r="D407" s="925" t="s">
        <v>1242</v>
      </c>
      <c r="E407" s="932">
        <v>1</v>
      </c>
      <c r="F407" s="926">
        <v>307080</v>
      </c>
      <c r="G407" s="910">
        <f t="shared" si="88"/>
        <v>307080</v>
      </c>
      <c r="H407" s="208"/>
      <c r="I407" s="899"/>
      <c r="J407" s="208"/>
      <c r="K407" s="208"/>
      <c r="L407" s="208"/>
      <c r="M407" s="900"/>
      <c r="N407" s="901"/>
      <c r="O407" s="207"/>
      <c r="P407" s="207"/>
      <c r="Q407" s="207"/>
      <c r="R407" s="207"/>
      <c r="S407" s="207"/>
      <c r="T407" s="207"/>
      <c r="U407" s="16"/>
      <c r="V407" s="805"/>
      <c r="W407" s="807"/>
      <c r="X407" s="208"/>
      <c r="Y407" s="44"/>
      <c r="Z407" s="44"/>
      <c r="AA407" s="1094" t="s">
        <v>1265</v>
      </c>
      <c r="AB407" s="1095" t="s">
        <v>1242</v>
      </c>
      <c r="AC407" s="827" t="s">
        <v>1236</v>
      </c>
      <c r="AD407" s="1094" t="s">
        <v>1263</v>
      </c>
      <c r="AE407" s="1095" t="s">
        <v>1242</v>
      </c>
      <c r="AF407" s="1237">
        <v>1</v>
      </c>
      <c r="AG407" s="1097">
        <v>307080</v>
      </c>
      <c r="AH407" s="1125">
        <f t="shared" si="89"/>
        <v>307080</v>
      </c>
      <c r="AI407" s="1094" t="s">
        <v>1263</v>
      </c>
      <c r="AJ407" s="914" t="s">
        <v>22</v>
      </c>
      <c r="AK407" s="1208">
        <v>1</v>
      </c>
      <c r="AL407" s="1097">
        <v>111060</v>
      </c>
      <c r="AM407" s="1125">
        <f t="shared" si="90"/>
        <v>111060</v>
      </c>
    </row>
    <row r="408" spans="1:39" s="45" customFormat="1" ht="45">
      <c r="A408" s="185"/>
      <c r="B408" s="827" t="s">
        <v>1235</v>
      </c>
      <c r="C408" s="943" t="s">
        <v>1264</v>
      </c>
      <c r="D408" s="925" t="s">
        <v>1242</v>
      </c>
      <c r="E408" s="932">
        <v>1</v>
      </c>
      <c r="F408" s="926">
        <v>61330</v>
      </c>
      <c r="G408" s="910">
        <f t="shared" si="88"/>
        <v>61330</v>
      </c>
      <c r="H408" s="208"/>
      <c r="I408" s="899"/>
      <c r="J408" s="208"/>
      <c r="K408" s="208"/>
      <c r="L408" s="208"/>
      <c r="M408" s="900"/>
      <c r="N408" s="901"/>
      <c r="O408" s="207"/>
      <c r="P408" s="207"/>
      <c r="Q408" s="207"/>
      <c r="R408" s="207"/>
      <c r="S408" s="207"/>
      <c r="T408" s="207"/>
      <c r="U408" s="16"/>
      <c r="V408" s="805"/>
      <c r="W408" s="807"/>
      <c r="X408" s="208"/>
      <c r="Y408" s="44"/>
      <c r="Z408" s="44"/>
      <c r="AA408" s="1094" t="s">
        <v>1266</v>
      </c>
      <c r="AB408" s="1095" t="s">
        <v>1242</v>
      </c>
      <c r="AC408" s="827" t="s">
        <v>1237</v>
      </c>
      <c r="AD408" s="1094" t="s">
        <v>1264</v>
      </c>
      <c r="AE408" s="1095" t="s">
        <v>1242</v>
      </c>
      <c r="AF408" s="1237">
        <v>1</v>
      </c>
      <c r="AG408" s="1097">
        <v>61330</v>
      </c>
      <c r="AH408" s="1125">
        <f t="shared" si="89"/>
        <v>61330</v>
      </c>
      <c r="AI408" s="1094" t="s">
        <v>1264</v>
      </c>
      <c r="AJ408" s="914" t="s">
        <v>22</v>
      </c>
      <c r="AK408" s="1208">
        <v>1</v>
      </c>
      <c r="AL408" s="1097">
        <v>307080</v>
      </c>
      <c r="AM408" s="1125">
        <f t="shared" si="90"/>
        <v>307080</v>
      </c>
    </row>
    <row r="409" spans="1:39" s="45" customFormat="1" ht="75">
      <c r="A409" s="185"/>
      <c r="B409" s="827" t="s">
        <v>1236</v>
      </c>
      <c r="C409" s="943" t="s">
        <v>1265</v>
      </c>
      <c r="D409" s="925" t="s">
        <v>1242</v>
      </c>
      <c r="E409" s="932">
        <v>5</v>
      </c>
      <c r="F409" s="926">
        <v>108520</v>
      </c>
      <c r="G409" s="910">
        <f t="shared" si="88"/>
        <v>542600</v>
      </c>
      <c r="H409" s="208"/>
      <c r="I409" s="899"/>
      <c r="J409" s="208"/>
      <c r="K409" s="208"/>
      <c r="L409" s="208"/>
      <c r="M409" s="900"/>
      <c r="N409" s="901"/>
      <c r="O409" s="207"/>
      <c r="P409" s="207"/>
      <c r="Q409" s="207"/>
      <c r="R409" s="207"/>
      <c r="S409" s="207"/>
      <c r="T409" s="207"/>
      <c r="U409" s="16"/>
      <c r="V409" s="805"/>
      <c r="W409" s="807"/>
      <c r="X409" s="208"/>
      <c r="Y409" s="44"/>
      <c r="Z409" s="44"/>
      <c r="AA409" s="887"/>
      <c r="AB409" s="827"/>
      <c r="AC409" s="827"/>
      <c r="AD409" s="1094" t="s">
        <v>1265</v>
      </c>
      <c r="AE409" s="1095" t="s">
        <v>1242</v>
      </c>
      <c r="AF409" s="1237">
        <v>5</v>
      </c>
      <c r="AG409" s="1097">
        <v>108520</v>
      </c>
      <c r="AH409" s="1125">
        <f t="shared" si="89"/>
        <v>542600</v>
      </c>
      <c r="AI409" s="1094" t="s">
        <v>1265</v>
      </c>
      <c r="AJ409" s="914" t="s">
        <v>22</v>
      </c>
      <c r="AK409" s="1208">
        <v>1</v>
      </c>
      <c r="AL409" s="1097">
        <v>61330</v>
      </c>
      <c r="AM409" s="1125">
        <f t="shared" si="90"/>
        <v>61330</v>
      </c>
    </row>
    <row r="410" spans="1:39" s="45" customFormat="1" ht="45.75" thickBot="1">
      <c r="A410" s="185"/>
      <c r="B410" s="827" t="s">
        <v>1237</v>
      </c>
      <c r="C410" s="943" t="s">
        <v>1266</v>
      </c>
      <c r="D410" s="925" t="s">
        <v>1242</v>
      </c>
      <c r="E410" s="932">
        <v>1</v>
      </c>
      <c r="F410" s="926">
        <v>877460</v>
      </c>
      <c r="G410" s="910">
        <f t="shared" si="88"/>
        <v>877460</v>
      </c>
      <c r="H410" s="208"/>
      <c r="I410" s="899"/>
      <c r="J410" s="208"/>
      <c r="K410" s="208"/>
      <c r="L410" s="208"/>
      <c r="M410" s="900"/>
      <c r="N410" s="901"/>
      <c r="O410" s="207"/>
      <c r="P410" s="207"/>
      <c r="Q410" s="207"/>
      <c r="R410" s="207"/>
      <c r="S410" s="207"/>
      <c r="T410" s="207"/>
      <c r="U410" s="16"/>
      <c r="V410" s="805"/>
      <c r="W410" s="807"/>
      <c r="X410" s="208"/>
      <c r="Y410" s="44"/>
      <c r="Z410" s="44"/>
      <c r="AA410" s="1074"/>
      <c r="AB410" s="1075"/>
      <c r="AC410" s="1124"/>
      <c r="AD410" s="1094" t="s">
        <v>1266</v>
      </c>
      <c r="AE410" s="1095" t="s">
        <v>1242</v>
      </c>
      <c r="AF410" s="1237">
        <v>1</v>
      </c>
      <c r="AG410" s="1097">
        <v>877460</v>
      </c>
      <c r="AH410" s="1125">
        <f t="shared" si="89"/>
        <v>877460</v>
      </c>
      <c r="AI410" s="1094" t="s">
        <v>1266</v>
      </c>
      <c r="AJ410" s="914" t="s">
        <v>22</v>
      </c>
      <c r="AK410" s="1208">
        <v>5</v>
      </c>
      <c r="AL410" s="1097">
        <v>108520</v>
      </c>
      <c r="AM410" s="1125">
        <f t="shared" si="90"/>
        <v>542600</v>
      </c>
    </row>
    <row r="411" spans="1:39" s="45" customFormat="1" ht="15.75" thickBot="1">
      <c r="A411" s="185"/>
      <c r="B411" s="827"/>
      <c r="C411" s="887"/>
      <c r="D411" s="827"/>
      <c r="E411" s="594"/>
      <c r="F411" s="575"/>
      <c r="G411" s="792"/>
      <c r="H411" s="208"/>
      <c r="I411" s="899"/>
      <c r="J411" s="208"/>
      <c r="K411" s="208"/>
      <c r="L411" s="208"/>
      <c r="M411" s="900"/>
      <c r="N411" s="901"/>
      <c r="O411" s="207"/>
      <c r="P411" s="207"/>
      <c r="Q411" s="207"/>
      <c r="R411" s="207"/>
      <c r="S411" s="207"/>
      <c r="T411" s="207"/>
      <c r="U411" s="16"/>
      <c r="V411" s="805"/>
      <c r="W411" s="807"/>
      <c r="X411" s="208"/>
      <c r="Y411" s="44"/>
      <c r="Z411" s="44"/>
      <c r="AA411" s="887"/>
      <c r="AB411" s="827"/>
      <c r="AC411" s="827"/>
      <c r="AD411" s="887"/>
      <c r="AE411" s="827"/>
      <c r="AF411" s="1223"/>
      <c r="AG411" s="575"/>
      <c r="AH411" s="792"/>
      <c r="AI411" s="887"/>
      <c r="AJ411" s="827"/>
      <c r="AK411" s="1208">
        <v>1</v>
      </c>
      <c r="AL411" s="1097">
        <v>877460</v>
      </c>
      <c r="AM411" s="1125">
        <f t="shared" si="90"/>
        <v>877460</v>
      </c>
    </row>
    <row r="412" spans="1:39" s="45" customFormat="1" ht="15.75" thickBot="1">
      <c r="A412" s="185"/>
      <c r="B412" s="1025"/>
      <c r="C412" s="871"/>
      <c r="D412" s="873"/>
      <c r="E412" s="874"/>
      <c r="F412" s="1180" t="s">
        <v>1268</v>
      </c>
      <c r="G412" s="1004">
        <f>SUM(G338:G411)</f>
        <v>28038288</v>
      </c>
      <c r="H412" s="208"/>
      <c r="I412" s="899"/>
      <c r="J412" s="208"/>
      <c r="K412" s="208"/>
      <c r="L412" s="208"/>
      <c r="M412" s="900"/>
      <c r="N412" s="901"/>
      <c r="O412" s="207"/>
      <c r="P412" s="207"/>
      <c r="Q412" s="207"/>
      <c r="R412" s="207"/>
      <c r="S412" s="207"/>
      <c r="T412" s="207"/>
      <c r="U412" s="16"/>
      <c r="V412" s="805"/>
      <c r="W412" s="807"/>
      <c r="X412" s="208"/>
      <c r="Y412" s="44"/>
      <c r="Z412" s="44"/>
      <c r="AA412" s="1060" t="s">
        <v>1267</v>
      </c>
      <c r="AB412" s="1061"/>
      <c r="AC412" s="1104">
        <v>11</v>
      </c>
      <c r="AD412" s="1074"/>
      <c r="AE412" s="1075"/>
      <c r="AF412" s="1227"/>
      <c r="AG412" s="1181" t="s">
        <v>1268</v>
      </c>
      <c r="AH412" s="1115">
        <f>SUM(AH338:AH411)</f>
        <v>28038288</v>
      </c>
      <c r="AI412" s="1074"/>
      <c r="AJ412" s="1075"/>
      <c r="AK412" s="1194"/>
      <c r="AL412" s="575"/>
      <c r="AM412" s="792"/>
    </row>
    <row r="413" spans="1:39" s="45" customFormat="1" ht="64.5" thickBot="1">
      <c r="A413" s="185"/>
      <c r="B413" s="827"/>
      <c r="C413" s="887"/>
      <c r="D413" s="827"/>
      <c r="E413" s="594"/>
      <c r="F413" s="575"/>
      <c r="G413" s="792"/>
      <c r="H413" s="208"/>
      <c r="I413" s="899"/>
      <c r="J413" s="208"/>
      <c r="K413" s="208"/>
      <c r="L413" s="208"/>
      <c r="M413" s="900"/>
      <c r="N413" s="901"/>
      <c r="O413" s="207"/>
      <c r="P413" s="207"/>
      <c r="Q413" s="207"/>
      <c r="R413" s="207"/>
      <c r="S413" s="207"/>
      <c r="T413" s="207"/>
      <c r="U413" s="16"/>
      <c r="V413" s="805"/>
      <c r="W413" s="807"/>
      <c r="X413" s="208"/>
      <c r="Y413" s="44"/>
      <c r="Z413" s="44"/>
      <c r="AA413" s="887" t="s">
        <v>1269</v>
      </c>
      <c r="AB413" s="827" t="s">
        <v>22</v>
      </c>
      <c r="AC413" s="827">
        <v>11.1</v>
      </c>
      <c r="AD413" s="887"/>
      <c r="AE413" s="827"/>
      <c r="AF413" s="1223"/>
      <c r="AG413" s="575"/>
      <c r="AH413" s="792"/>
      <c r="AI413" s="887"/>
      <c r="AJ413" s="827"/>
      <c r="AK413" s="1198"/>
      <c r="AL413" s="1181" t="s">
        <v>1268</v>
      </c>
      <c r="AM413" s="1115">
        <f>SUM(AM339:AM412)</f>
        <v>28038288</v>
      </c>
    </row>
    <row r="414" spans="1:39" s="45" customFormat="1" ht="64.5" thickBot="1">
      <c r="A414" s="185"/>
      <c r="B414" s="937">
        <v>11</v>
      </c>
      <c r="C414" s="75" t="s">
        <v>1267</v>
      </c>
      <c r="D414" s="76"/>
      <c r="E414" s="76"/>
      <c r="F414" s="76"/>
      <c r="G414" s="126"/>
      <c r="H414" s="208"/>
      <c r="I414" s="899"/>
      <c r="J414" s="208"/>
      <c r="K414" s="208"/>
      <c r="L414" s="208"/>
      <c r="M414" s="900"/>
      <c r="N414" s="901"/>
      <c r="O414" s="207"/>
      <c r="P414" s="207"/>
      <c r="Q414" s="207"/>
      <c r="R414" s="207"/>
      <c r="S414" s="207"/>
      <c r="T414" s="207"/>
      <c r="U414" s="16"/>
      <c r="V414" s="805"/>
      <c r="W414" s="807"/>
      <c r="X414" s="208"/>
      <c r="Y414" s="44"/>
      <c r="Z414" s="44"/>
      <c r="AA414" s="887" t="s">
        <v>1270</v>
      </c>
      <c r="AB414" s="827" t="s">
        <v>22</v>
      </c>
      <c r="AC414" s="827">
        <v>11.2</v>
      </c>
      <c r="AD414" s="1060" t="s">
        <v>1267</v>
      </c>
      <c r="AE414" s="1061"/>
      <c r="AF414" s="1221"/>
      <c r="AG414" s="1061"/>
      <c r="AH414" s="1113"/>
      <c r="AI414" s="887"/>
      <c r="AJ414" s="827"/>
      <c r="AK414" s="1194"/>
      <c r="AL414" s="575"/>
      <c r="AM414" s="792"/>
    </row>
    <row r="415" spans="1:39" s="45" customFormat="1" ht="90" thickBot="1">
      <c r="A415" s="185"/>
      <c r="B415" s="827">
        <v>11.1</v>
      </c>
      <c r="C415" s="887" t="s">
        <v>1269</v>
      </c>
      <c r="D415" s="827" t="s">
        <v>22</v>
      </c>
      <c r="E415" s="594"/>
      <c r="F415" s="575">
        <v>19599539</v>
      </c>
      <c r="G415" s="910">
        <f t="shared" ref="G415:G420" si="91">+F415*E415</f>
        <v>0</v>
      </c>
      <c r="H415" s="208"/>
      <c r="I415" s="899"/>
      <c r="J415" s="208"/>
      <c r="K415" s="208"/>
      <c r="L415" s="208"/>
      <c r="M415" s="900"/>
      <c r="N415" s="901"/>
      <c r="O415" s="207"/>
      <c r="P415" s="207"/>
      <c r="Q415" s="207"/>
      <c r="R415" s="207"/>
      <c r="S415" s="207"/>
      <c r="T415" s="207"/>
      <c r="U415" s="16"/>
      <c r="V415" s="805"/>
      <c r="W415" s="939">
        <f>+(15000000)*1.16*1.15</f>
        <v>20010000</v>
      </c>
      <c r="X415" s="208"/>
      <c r="Y415" s="44"/>
      <c r="Z415" s="44"/>
      <c r="AA415" s="887" t="s">
        <v>1271</v>
      </c>
      <c r="AB415" s="827" t="s">
        <v>22</v>
      </c>
      <c r="AC415" s="827">
        <v>11.3</v>
      </c>
      <c r="AD415" s="887" t="s">
        <v>1269</v>
      </c>
      <c r="AE415" s="827" t="s">
        <v>22</v>
      </c>
      <c r="AF415" s="1223"/>
      <c r="AG415" s="575">
        <v>19599539</v>
      </c>
      <c r="AH415" s="1125">
        <f t="shared" ref="AH415:AH420" si="92">+AG415*AF415</f>
        <v>0</v>
      </c>
      <c r="AI415" s="1060" t="s">
        <v>1275</v>
      </c>
      <c r="AJ415" s="1061"/>
      <c r="AK415" s="1194"/>
      <c r="AL415" s="575"/>
      <c r="AM415" s="792"/>
    </row>
    <row r="416" spans="1:39" s="45" customFormat="1" ht="140.25">
      <c r="A416" s="185"/>
      <c r="B416" s="827">
        <v>11.2</v>
      </c>
      <c r="C416" s="887" t="s">
        <v>1270</v>
      </c>
      <c r="D416" s="827" t="s">
        <v>22</v>
      </c>
      <c r="E416" s="594"/>
      <c r="F416" s="575">
        <v>20933539</v>
      </c>
      <c r="G416" s="910">
        <f t="shared" si="91"/>
        <v>0</v>
      </c>
      <c r="H416" s="208"/>
      <c r="I416" s="899"/>
      <c r="J416" s="208"/>
      <c r="K416" s="208"/>
      <c r="L416" s="208"/>
      <c r="M416" s="900"/>
      <c r="N416" s="901"/>
      <c r="O416" s="207"/>
      <c r="P416" s="207"/>
      <c r="Q416" s="207"/>
      <c r="R416" s="207"/>
      <c r="S416" s="207"/>
      <c r="T416" s="207"/>
      <c r="U416" s="16"/>
      <c r="V416" s="805"/>
      <c r="W416" s="807"/>
      <c r="X416" s="208"/>
      <c r="Y416" s="44"/>
      <c r="Z416" s="44"/>
      <c r="AA416" s="887" t="s">
        <v>1272</v>
      </c>
      <c r="AB416" s="827" t="s">
        <v>22</v>
      </c>
      <c r="AC416" s="827">
        <v>11.4</v>
      </c>
      <c r="AD416" s="887" t="s">
        <v>1270</v>
      </c>
      <c r="AE416" s="827" t="s">
        <v>22</v>
      </c>
      <c r="AF416" s="1223"/>
      <c r="AG416" s="575">
        <v>20933539</v>
      </c>
      <c r="AH416" s="1125">
        <f t="shared" si="92"/>
        <v>0</v>
      </c>
      <c r="AI416" s="887" t="s">
        <v>1276</v>
      </c>
      <c r="AJ416" s="827" t="s">
        <v>22</v>
      </c>
      <c r="AK416" s="1192"/>
      <c r="AL416" s="1061"/>
      <c r="AM416" s="1113"/>
    </row>
    <row r="417" spans="1:39" s="45" customFormat="1" ht="51">
      <c r="A417" s="185"/>
      <c r="B417" s="827">
        <v>11.3</v>
      </c>
      <c r="C417" s="887" t="s">
        <v>1271</v>
      </c>
      <c r="D417" s="827" t="s">
        <v>22</v>
      </c>
      <c r="E417" s="594"/>
      <c r="F417" s="575">
        <v>17742200</v>
      </c>
      <c r="G417" s="910">
        <f t="shared" si="91"/>
        <v>0</v>
      </c>
      <c r="H417" s="208"/>
      <c r="I417" s="899"/>
      <c r="J417" s="208"/>
      <c r="K417" s="208"/>
      <c r="L417" s="208"/>
      <c r="M417" s="900"/>
      <c r="N417" s="901"/>
      <c r="O417" s="207"/>
      <c r="P417" s="207"/>
      <c r="Q417" s="207"/>
      <c r="R417" s="207"/>
      <c r="S417" s="207"/>
      <c r="T417" s="207"/>
      <c r="U417" s="16"/>
      <c r="V417" s="805"/>
      <c r="W417" s="807"/>
      <c r="X417" s="208"/>
      <c r="Y417" s="44"/>
      <c r="Z417" s="44"/>
      <c r="AA417" s="887" t="s">
        <v>1273</v>
      </c>
      <c r="AB417" s="827" t="s">
        <v>22</v>
      </c>
      <c r="AC417" s="827">
        <v>11.5</v>
      </c>
      <c r="AD417" s="887" t="s">
        <v>1271</v>
      </c>
      <c r="AE417" s="827" t="s">
        <v>22</v>
      </c>
      <c r="AF417" s="1223"/>
      <c r="AG417" s="575">
        <v>17742200</v>
      </c>
      <c r="AH417" s="1125">
        <f t="shared" si="92"/>
        <v>0</v>
      </c>
      <c r="AI417" s="887" t="s">
        <v>1277</v>
      </c>
      <c r="AJ417" s="827" t="s">
        <v>22</v>
      </c>
      <c r="AK417" s="1194">
        <v>9</v>
      </c>
      <c r="AL417" s="575">
        <v>207180</v>
      </c>
      <c r="AM417" s="1125">
        <f t="shared" ref="AM417:AM429" si="93">+AL417*AK417</f>
        <v>1864620</v>
      </c>
    </row>
    <row r="418" spans="1:39" s="45" customFormat="1" ht="127.5">
      <c r="A418" s="185"/>
      <c r="B418" s="827">
        <v>11.4</v>
      </c>
      <c r="C418" s="887" t="s">
        <v>1272</v>
      </c>
      <c r="D418" s="827" t="s">
        <v>22</v>
      </c>
      <c r="E418" s="594"/>
      <c r="F418" s="575">
        <v>1000000</v>
      </c>
      <c r="G418" s="910">
        <f t="shared" si="91"/>
        <v>0</v>
      </c>
      <c r="H418" s="208"/>
      <c r="I418" s="899"/>
      <c r="J418" s="208"/>
      <c r="K418" s="208"/>
      <c r="L418" s="208"/>
      <c r="M418" s="900"/>
      <c r="N418" s="901"/>
      <c r="O418" s="207"/>
      <c r="P418" s="207"/>
      <c r="Q418" s="207"/>
      <c r="R418" s="207"/>
      <c r="S418" s="207"/>
      <c r="T418" s="207"/>
      <c r="U418" s="16"/>
      <c r="V418" s="805"/>
      <c r="W418" s="807"/>
      <c r="X418" s="208"/>
      <c r="Y418" s="44"/>
      <c r="Z418" s="44"/>
      <c r="AA418" s="887" t="s">
        <v>1274</v>
      </c>
      <c r="AB418" s="827" t="s">
        <v>22</v>
      </c>
      <c r="AC418" s="827">
        <v>11.6</v>
      </c>
      <c r="AD418" s="887" t="s">
        <v>1272</v>
      </c>
      <c r="AE418" s="827" t="s">
        <v>22</v>
      </c>
      <c r="AF418" s="1223"/>
      <c r="AG418" s="575">
        <v>1000000</v>
      </c>
      <c r="AH418" s="1125">
        <f t="shared" si="92"/>
        <v>0</v>
      </c>
      <c r="AI418" s="887" t="s">
        <v>1278</v>
      </c>
      <c r="AJ418" s="827" t="s">
        <v>22</v>
      </c>
      <c r="AK418" s="1194">
        <v>2</v>
      </c>
      <c r="AL418" s="575">
        <v>315000</v>
      </c>
      <c r="AM418" s="1125">
        <f t="shared" si="93"/>
        <v>630000</v>
      </c>
    </row>
    <row r="419" spans="1:39" s="45" customFormat="1" ht="38.25">
      <c r="A419" s="185"/>
      <c r="B419" s="827">
        <v>11.5</v>
      </c>
      <c r="C419" s="887" t="s">
        <v>1273</v>
      </c>
      <c r="D419" s="827" t="s">
        <v>22</v>
      </c>
      <c r="E419" s="594"/>
      <c r="F419" s="575">
        <v>4000000</v>
      </c>
      <c r="G419" s="910">
        <f t="shared" si="91"/>
        <v>0</v>
      </c>
      <c r="H419" s="208"/>
      <c r="I419" s="899"/>
      <c r="J419" s="208"/>
      <c r="K419" s="208"/>
      <c r="L419" s="208"/>
      <c r="M419" s="900"/>
      <c r="N419" s="901"/>
      <c r="O419" s="207"/>
      <c r="P419" s="207"/>
      <c r="Q419" s="207"/>
      <c r="R419" s="207"/>
      <c r="S419" s="207"/>
      <c r="T419" s="207"/>
      <c r="U419" s="16"/>
      <c r="V419" s="805"/>
      <c r="W419" s="807"/>
      <c r="X419" s="208"/>
      <c r="Y419" s="44"/>
      <c r="Z419" s="44"/>
      <c r="AA419" s="887"/>
      <c r="AB419" s="827"/>
      <c r="AC419" s="827"/>
      <c r="AD419" s="887" t="s">
        <v>1273</v>
      </c>
      <c r="AE419" s="827" t="s">
        <v>22</v>
      </c>
      <c r="AF419" s="1223"/>
      <c r="AG419" s="575">
        <v>4000000</v>
      </c>
      <c r="AH419" s="1125">
        <f t="shared" si="92"/>
        <v>0</v>
      </c>
      <c r="AI419" s="887" t="s">
        <v>1279</v>
      </c>
      <c r="AJ419" s="827" t="s">
        <v>22</v>
      </c>
      <c r="AK419" s="1194">
        <v>1</v>
      </c>
      <c r="AL419" s="575">
        <v>158050</v>
      </c>
      <c r="AM419" s="1125">
        <f t="shared" si="93"/>
        <v>158050</v>
      </c>
    </row>
    <row r="420" spans="1:39" s="45" customFormat="1" ht="51.75" thickBot="1">
      <c r="A420" s="185"/>
      <c r="B420" s="827">
        <v>11.6</v>
      </c>
      <c r="C420" s="887" t="s">
        <v>1274</v>
      </c>
      <c r="D420" s="827" t="s">
        <v>22</v>
      </c>
      <c r="E420" s="594"/>
      <c r="F420" s="575">
        <v>704208.11077789369</v>
      </c>
      <c r="G420" s="910">
        <f t="shared" si="91"/>
        <v>0</v>
      </c>
      <c r="H420" s="208"/>
      <c r="I420" s="899"/>
      <c r="J420" s="208"/>
      <c r="K420" s="208"/>
      <c r="L420" s="208"/>
      <c r="M420" s="900"/>
      <c r="N420" s="901"/>
      <c r="O420" s="207"/>
      <c r="P420" s="207"/>
      <c r="Q420" s="207"/>
      <c r="R420" s="207"/>
      <c r="S420" s="207"/>
      <c r="T420" s="207"/>
      <c r="U420" s="16"/>
      <c r="V420" s="805"/>
      <c r="W420" s="938">
        <f>+G420+G419+G418+G417+G416</f>
        <v>0</v>
      </c>
      <c r="X420" s="208"/>
      <c r="Y420" s="44"/>
      <c r="Z420" s="44"/>
      <c r="AA420" s="1074"/>
      <c r="AB420" s="1075"/>
      <c r="AC420" s="1124"/>
      <c r="AD420" s="887" t="s">
        <v>1274</v>
      </c>
      <c r="AE420" s="827" t="s">
        <v>22</v>
      </c>
      <c r="AF420" s="1223"/>
      <c r="AG420" s="575">
        <v>704208.11077789369</v>
      </c>
      <c r="AH420" s="1125">
        <f t="shared" si="92"/>
        <v>0</v>
      </c>
      <c r="AI420" s="887" t="s">
        <v>1280</v>
      </c>
      <c r="AJ420" s="827" t="s">
        <v>22</v>
      </c>
      <c r="AK420" s="1194">
        <v>1</v>
      </c>
      <c r="AL420" s="575">
        <v>492140</v>
      </c>
      <c r="AM420" s="1125">
        <f t="shared" si="93"/>
        <v>492140</v>
      </c>
    </row>
    <row r="421" spans="1:39" s="45" customFormat="1" ht="25.5">
      <c r="A421" s="185"/>
      <c r="B421" s="827"/>
      <c r="C421" s="887"/>
      <c r="D421" s="827"/>
      <c r="E421" s="594"/>
      <c r="F421" s="575"/>
      <c r="G421" s="792"/>
      <c r="H421" s="208"/>
      <c r="I421" s="899"/>
      <c r="J421" s="208"/>
      <c r="K421" s="208"/>
      <c r="L421" s="208"/>
      <c r="M421" s="900"/>
      <c r="N421" s="901"/>
      <c r="O421" s="207"/>
      <c r="P421" s="207"/>
      <c r="Q421" s="207"/>
      <c r="R421" s="207"/>
      <c r="S421" s="207"/>
      <c r="T421" s="207"/>
      <c r="U421" s="16"/>
      <c r="V421" s="805"/>
      <c r="W421" s="807"/>
      <c r="X421" s="208"/>
      <c r="Y421" s="44"/>
      <c r="Z421" s="44"/>
      <c r="AA421" s="887"/>
      <c r="AB421" s="827"/>
      <c r="AC421" s="827"/>
      <c r="AD421" s="887"/>
      <c r="AE421" s="827"/>
      <c r="AF421" s="1223"/>
      <c r="AG421" s="575"/>
      <c r="AH421" s="792"/>
      <c r="AI421" s="887" t="s">
        <v>1281</v>
      </c>
      <c r="AJ421" s="827" t="s">
        <v>22</v>
      </c>
      <c r="AK421" s="1194">
        <v>1</v>
      </c>
      <c r="AL421" s="575">
        <v>256670</v>
      </c>
      <c r="AM421" s="1125">
        <f t="shared" si="93"/>
        <v>256670</v>
      </c>
    </row>
    <row r="422" spans="1:39" s="45" customFormat="1" ht="90" thickBot="1">
      <c r="A422" s="185"/>
      <c r="B422" s="1025"/>
      <c r="C422" s="871"/>
      <c r="D422" s="873"/>
      <c r="E422" s="874"/>
      <c r="F422" s="1180" t="s">
        <v>1405</v>
      </c>
      <c r="G422" s="1004">
        <f>SUM(G415:G421)</f>
        <v>0</v>
      </c>
      <c r="H422" s="208"/>
      <c r="I422" s="899"/>
      <c r="J422" s="208"/>
      <c r="K422" s="208"/>
      <c r="L422" s="208"/>
      <c r="M422" s="900"/>
      <c r="N422" s="901"/>
      <c r="O422" s="207"/>
      <c r="P422" s="207"/>
      <c r="Q422" s="207"/>
      <c r="R422" s="207"/>
      <c r="S422" s="207"/>
      <c r="T422" s="207"/>
      <c r="U422" s="16"/>
      <c r="V422" s="805"/>
      <c r="W422" s="807"/>
      <c r="X422" s="208"/>
      <c r="Y422" s="44"/>
      <c r="Z422" s="44"/>
      <c r="AA422" s="887"/>
      <c r="AB422" s="827"/>
      <c r="AC422" s="827"/>
      <c r="AD422" s="1074"/>
      <c r="AE422" s="1075"/>
      <c r="AF422" s="1227"/>
      <c r="AG422" s="1181" t="s">
        <v>1405</v>
      </c>
      <c r="AH422" s="1126">
        <f>SUM(AH415:AH421)</f>
        <v>0</v>
      </c>
      <c r="AI422" s="887" t="s">
        <v>1307</v>
      </c>
      <c r="AJ422" s="827" t="s">
        <v>500</v>
      </c>
      <c r="AK422" s="1194">
        <v>5</v>
      </c>
      <c r="AL422" s="575">
        <v>366520</v>
      </c>
      <c r="AM422" s="1125">
        <f t="shared" si="93"/>
        <v>1832600</v>
      </c>
    </row>
    <row r="423" spans="1:39" s="45" customFormat="1" ht="89.25">
      <c r="A423" s="185"/>
      <c r="B423" s="827"/>
      <c r="C423" s="887"/>
      <c r="D423" s="827"/>
      <c r="E423" s="594"/>
      <c r="F423" s="575"/>
      <c r="G423" s="792"/>
      <c r="H423" s="208"/>
      <c r="I423" s="899"/>
      <c r="J423" s="208"/>
      <c r="K423" s="208"/>
      <c r="L423" s="208"/>
      <c r="M423" s="900"/>
      <c r="N423" s="901"/>
      <c r="O423" s="207"/>
      <c r="P423" s="207"/>
      <c r="Q423" s="207"/>
      <c r="R423" s="207"/>
      <c r="S423" s="207"/>
      <c r="T423" s="207"/>
      <c r="U423" s="16"/>
      <c r="V423" s="805"/>
      <c r="W423" s="807"/>
      <c r="X423" s="208"/>
      <c r="Y423" s="44"/>
      <c r="Z423" s="44"/>
      <c r="AA423" s="1060" t="s">
        <v>1275</v>
      </c>
      <c r="AB423" s="1061"/>
      <c r="AC423" s="1104">
        <v>12</v>
      </c>
      <c r="AD423" s="887"/>
      <c r="AE423" s="827"/>
      <c r="AF423" s="1223"/>
      <c r="AG423" s="575"/>
      <c r="AH423" s="792"/>
      <c r="AI423" s="887" t="s">
        <v>1304</v>
      </c>
      <c r="AJ423" s="827" t="s">
        <v>500</v>
      </c>
      <c r="AK423" s="1194">
        <v>12</v>
      </c>
      <c r="AL423" s="575">
        <v>140420</v>
      </c>
      <c r="AM423" s="1125">
        <f t="shared" si="93"/>
        <v>1685040</v>
      </c>
    </row>
    <row r="424" spans="1:39" s="45" customFormat="1" ht="90" thickBot="1">
      <c r="A424" s="185"/>
      <c r="B424" s="827"/>
      <c r="C424" s="887"/>
      <c r="D424" s="827"/>
      <c r="E424" s="594"/>
      <c r="F424" s="575"/>
      <c r="G424" s="792"/>
      <c r="H424" s="208"/>
      <c r="I424" s="899"/>
      <c r="J424" s="208"/>
      <c r="K424" s="208"/>
      <c r="L424" s="208"/>
      <c r="M424" s="900"/>
      <c r="N424" s="901"/>
      <c r="O424" s="207"/>
      <c r="P424" s="207"/>
      <c r="Q424" s="207"/>
      <c r="R424" s="207"/>
      <c r="S424" s="207"/>
      <c r="T424" s="207"/>
      <c r="U424" s="16"/>
      <c r="V424" s="805"/>
      <c r="W424" s="807"/>
      <c r="X424" s="208"/>
      <c r="Y424" s="44"/>
      <c r="Z424" s="44"/>
      <c r="AA424" s="887" t="s">
        <v>1276</v>
      </c>
      <c r="AB424" s="827" t="s">
        <v>22</v>
      </c>
      <c r="AC424" s="827">
        <v>12.1</v>
      </c>
      <c r="AD424" s="887"/>
      <c r="AE424" s="827"/>
      <c r="AF424" s="1223"/>
      <c r="AG424" s="575"/>
      <c r="AH424" s="792"/>
      <c r="AI424" s="887" t="s">
        <v>1303</v>
      </c>
      <c r="AJ424" s="827" t="s">
        <v>500</v>
      </c>
      <c r="AK424" s="1194">
        <f>13+55+50</f>
        <v>118</v>
      </c>
      <c r="AL424" s="575">
        <v>48740</v>
      </c>
      <c r="AM424" s="1125">
        <f t="shared" si="93"/>
        <v>5751320</v>
      </c>
    </row>
    <row r="425" spans="1:39" s="45" customFormat="1" ht="89.25">
      <c r="A425" s="185"/>
      <c r="B425" s="937">
        <v>12</v>
      </c>
      <c r="C425" s="75" t="s">
        <v>1275</v>
      </c>
      <c r="D425" s="76"/>
      <c r="E425" s="76"/>
      <c r="F425" s="76"/>
      <c r="G425" s="126"/>
      <c r="H425" s="208"/>
      <c r="I425" s="899"/>
      <c r="J425" s="208"/>
      <c r="K425" s="208"/>
      <c r="L425" s="208"/>
      <c r="M425" s="900"/>
      <c r="N425" s="901"/>
      <c r="O425" s="207"/>
      <c r="P425" s="207"/>
      <c r="Q425" s="207"/>
      <c r="R425" s="207"/>
      <c r="S425" s="207"/>
      <c r="T425" s="207"/>
      <c r="U425" s="16"/>
      <c r="V425" s="805"/>
      <c r="W425" s="807"/>
      <c r="X425" s="208"/>
      <c r="Y425" s="44"/>
      <c r="Z425" s="44"/>
      <c r="AA425" s="887" t="s">
        <v>1277</v>
      </c>
      <c r="AB425" s="827" t="s">
        <v>22</v>
      </c>
      <c r="AC425" s="827">
        <v>12.2</v>
      </c>
      <c r="AD425" s="1060" t="s">
        <v>1275</v>
      </c>
      <c r="AE425" s="1061"/>
      <c r="AF425" s="1221"/>
      <c r="AG425" s="1061"/>
      <c r="AH425" s="1113"/>
      <c r="AI425" s="887" t="s">
        <v>1302</v>
      </c>
      <c r="AJ425" s="827" t="s">
        <v>500</v>
      </c>
      <c r="AK425" s="1194">
        <v>74</v>
      </c>
      <c r="AL425" s="575">
        <v>41820</v>
      </c>
      <c r="AM425" s="1125">
        <f t="shared" si="93"/>
        <v>3094680</v>
      </c>
    </row>
    <row r="426" spans="1:39" s="45" customFormat="1" ht="89.25">
      <c r="A426" s="185"/>
      <c r="B426" s="827">
        <v>12.1</v>
      </c>
      <c r="C426" s="887" t="s">
        <v>1276</v>
      </c>
      <c r="D426" s="827" t="s">
        <v>22</v>
      </c>
      <c r="E426" s="594">
        <v>9</v>
      </c>
      <c r="F426" s="575">
        <v>207180</v>
      </c>
      <c r="G426" s="910">
        <f t="shared" ref="G426:G438" si="94">+F426*E426</f>
        <v>1864620</v>
      </c>
      <c r="H426" s="208"/>
      <c r="I426" s="899"/>
      <c r="J426" s="208"/>
      <c r="K426" s="208"/>
      <c r="L426" s="208"/>
      <c r="M426" s="900"/>
      <c r="N426" s="901"/>
      <c r="O426" s="207"/>
      <c r="P426" s="207"/>
      <c r="Q426" s="207"/>
      <c r="R426" s="207"/>
      <c r="S426" s="207"/>
      <c r="T426" s="207"/>
      <c r="U426" s="16"/>
      <c r="V426" s="805"/>
      <c r="W426" s="807"/>
      <c r="X426" s="208"/>
      <c r="Y426" s="44"/>
      <c r="Z426" s="44"/>
      <c r="AA426" s="887" t="s">
        <v>1278</v>
      </c>
      <c r="AB426" s="827" t="s">
        <v>22</v>
      </c>
      <c r="AC426" s="827">
        <v>12.3</v>
      </c>
      <c r="AD426" s="887" t="s">
        <v>1276</v>
      </c>
      <c r="AE426" s="827" t="s">
        <v>22</v>
      </c>
      <c r="AF426" s="1223">
        <v>9</v>
      </c>
      <c r="AG426" s="575">
        <v>207180</v>
      </c>
      <c r="AH426" s="1125">
        <f t="shared" ref="AH426:AH438" si="95">+AG426*AF426</f>
        <v>1864620</v>
      </c>
      <c r="AI426" s="887" t="s">
        <v>1305</v>
      </c>
      <c r="AJ426" s="827" t="s">
        <v>500</v>
      </c>
      <c r="AK426" s="1194">
        <v>39</v>
      </c>
      <c r="AL426" s="575">
        <v>21516</v>
      </c>
      <c r="AM426" s="1125">
        <f t="shared" si="93"/>
        <v>839124</v>
      </c>
    </row>
    <row r="427" spans="1:39" s="45" customFormat="1" ht="76.5">
      <c r="A427" s="185"/>
      <c r="B427" s="827">
        <v>12.2</v>
      </c>
      <c r="C427" s="887" t="s">
        <v>1277</v>
      </c>
      <c r="D427" s="827" t="s">
        <v>22</v>
      </c>
      <c r="E427" s="594">
        <v>2</v>
      </c>
      <c r="F427" s="575">
        <v>315000</v>
      </c>
      <c r="G427" s="910">
        <f t="shared" si="94"/>
        <v>630000</v>
      </c>
      <c r="H427" s="208"/>
      <c r="I427" s="899"/>
      <c r="J427" s="208"/>
      <c r="K427" s="208"/>
      <c r="L427" s="208"/>
      <c r="M427" s="900"/>
      <c r="N427" s="901"/>
      <c r="O427" s="207"/>
      <c r="P427" s="207"/>
      <c r="Q427" s="207"/>
      <c r="R427" s="207"/>
      <c r="S427" s="207"/>
      <c r="T427" s="207"/>
      <c r="U427" s="16"/>
      <c r="V427" s="805"/>
      <c r="W427" s="807"/>
      <c r="X427" s="208"/>
      <c r="Y427" s="44"/>
      <c r="Z427" s="44"/>
      <c r="AA427" s="887" t="s">
        <v>1279</v>
      </c>
      <c r="AB427" s="827" t="s">
        <v>22</v>
      </c>
      <c r="AC427" s="827">
        <v>12.4</v>
      </c>
      <c r="AD427" s="887" t="s">
        <v>1277</v>
      </c>
      <c r="AE427" s="827" t="s">
        <v>22</v>
      </c>
      <c r="AF427" s="1223">
        <v>2</v>
      </c>
      <c r="AG427" s="575">
        <v>315000</v>
      </c>
      <c r="AH427" s="1125">
        <f t="shared" si="95"/>
        <v>630000</v>
      </c>
      <c r="AI427" s="887" t="s">
        <v>1306</v>
      </c>
      <c r="AJ427" s="827" t="s">
        <v>500</v>
      </c>
      <c r="AK427" s="1194">
        <v>24</v>
      </c>
      <c r="AL427" s="575">
        <v>20557</v>
      </c>
      <c r="AM427" s="1125">
        <f t="shared" si="93"/>
        <v>493368</v>
      </c>
    </row>
    <row r="428" spans="1:39" s="45" customFormat="1" ht="51">
      <c r="A428" s="185"/>
      <c r="B428" s="827">
        <v>12.3</v>
      </c>
      <c r="C428" s="887" t="s">
        <v>1278</v>
      </c>
      <c r="D428" s="827" t="s">
        <v>22</v>
      </c>
      <c r="E428" s="594">
        <v>1</v>
      </c>
      <c r="F428" s="575">
        <v>158050</v>
      </c>
      <c r="G428" s="910">
        <f t="shared" si="94"/>
        <v>158050</v>
      </c>
      <c r="H428" s="208"/>
      <c r="I428" s="899"/>
      <c r="J428" s="208"/>
      <c r="K428" s="208"/>
      <c r="L428" s="208"/>
      <c r="M428" s="900"/>
      <c r="N428" s="901"/>
      <c r="O428" s="207"/>
      <c r="P428" s="207"/>
      <c r="Q428" s="207"/>
      <c r="R428" s="207"/>
      <c r="S428" s="207"/>
      <c r="T428" s="207"/>
      <c r="U428" s="16"/>
      <c r="V428" s="805"/>
      <c r="W428" s="807"/>
      <c r="X428" s="208"/>
      <c r="Y428" s="44"/>
      <c r="Z428" s="44"/>
      <c r="AA428" s="887" t="s">
        <v>1280</v>
      </c>
      <c r="AB428" s="827" t="s">
        <v>22</v>
      </c>
      <c r="AC428" s="827">
        <v>12.5</v>
      </c>
      <c r="AD428" s="887" t="s">
        <v>1278</v>
      </c>
      <c r="AE428" s="827" t="s">
        <v>22</v>
      </c>
      <c r="AF428" s="1223">
        <v>1</v>
      </c>
      <c r="AG428" s="575">
        <v>158050</v>
      </c>
      <c r="AH428" s="1125">
        <f t="shared" si="95"/>
        <v>158050</v>
      </c>
      <c r="AI428" s="887" t="s">
        <v>1436</v>
      </c>
      <c r="AJ428" s="827" t="s">
        <v>139</v>
      </c>
      <c r="AK428" s="1194">
        <v>60</v>
      </c>
      <c r="AL428" s="575">
        <v>5770</v>
      </c>
      <c r="AM428" s="1125">
        <f t="shared" si="93"/>
        <v>346200</v>
      </c>
    </row>
    <row r="429" spans="1:39" s="45" customFormat="1" ht="26.25" thickBot="1">
      <c r="A429" s="185"/>
      <c r="B429" s="827">
        <v>12.4</v>
      </c>
      <c r="C429" s="887" t="s">
        <v>1279</v>
      </c>
      <c r="D429" s="827" t="s">
        <v>22</v>
      </c>
      <c r="E429" s="594">
        <v>1</v>
      </c>
      <c r="F429" s="575">
        <v>492140</v>
      </c>
      <c r="G429" s="910">
        <f t="shared" si="94"/>
        <v>492140</v>
      </c>
      <c r="H429" s="208"/>
      <c r="I429" s="899"/>
      <c r="J429" s="208"/>
      <c r="K429" s="208"/>
      <c r="L429" s="208"/>
      <c r="M429" s="900"/>
      <c r="N429" s="901"/>
      <c r="O429" s="207"/>
      <c r="P429" s="207"/>
      <c r="Q429" s="207"/>
      <c r="R429" s="207"/>
      <c r="S429" s="207"/>
      <c r="T429" s="207"/>
      <c r="U429" s="16"/>
      <c r="V429" s="805"/>
      <c r="W429" s="807"/>
      <c r="X429" s="208"/>
      <c r="Y429" s="44"/>
      <c r="Z429" s="44"/>
      <c r="AA429" s="887" t="s">
        <v>1281</v>
      </c>
      <c r="AB429" s="827" t="s">
        <v>22</v>
      </c>
      <c r="AC429" s="827">
        <v>12.6</v>
      </c>
      <c r="AD429" s="887" t="s">
        <v>1279</v>
      </c>
      <c r="AE429" s="827" t="s">
        <v>22</v>
      </c>
      <c r="AF429" s="1223">
        <v>1</v>
      </c>
      <c r="AG429" s="575">
        <v>492140</v>
      </c>
      <c r="AH429" s="1125">
        <f t="shared" si="95"/>
        <v>492140</v>
      </c>
      <c r="AI429" s="1074"/>
      <c r="AJ429" s="1075"/>
      <c r="AK429" s="1194">
        <v>2</v>
      </c>
      <c r="AL429" s="575">
        <v>410360</v>
      </c>
      <c r="AM429" s="1125">
        <f t="shared" si="93"/>
        <v>820720</v>
      </c>
    </row>
    <row r="430" spans="1:39" s="45" customFormat="1" ht="77.25" thickBot="1">
      <c r="A430" s="185"/>
      <c r="B430" s="827">
        <v>12.5</v>
      </c>
      <c r="C430" s="887" t="s">
        <v>1280</v>
      </c>
      <c r="D430" s="827" t="s">
        <v>22</v>
      </c>
      <c r="E430" s="594">
        <v>1</v>
      </c>
      <c r="F430" s="575">
        <v>256670</v>
      </c>
      <c r="G430" s="910">
        <f t="shared" si="94"/>
        <v>256670</v>
      </c>
      <c r="H430" s="208"/>
      <c r="I430" s="899"/>
      <c r="J430" s="208"/>
      <c r="K430" s="208"/>
      <c r="L430" s="208"/>
      <c r="M430" s="900"/>
      <c r="N430" s="901"/>
      <c r="O430" s="207"/>
      <c r="P430" s="207"/>
      <c r="Q430" s="207"/>
      <c r="R430" s="207"/>
      <c r="S430" s="207"/>
      <c r="T430" s="207"/>
      <c r="U430" s="16"/>
      <c r="V430" s="805"/>
      <c r="W430" s="807"/>
      <c r="X430" s="208"/>
      <c r="Y430" s="44"/>
      <c r="Z430" s="44"/>
      <c r="AA430" s="887" t="s">
        <v>1307</v>
      </c>
      <c r="AB430" s="827" t="s">
        <v>500</v>
      </c>
      <c r="AC430" s="827">
        <v>12.7</v>
      </c>
      <c r="AD430" s="887" t="s">
        <v>1280</v>
      </c>
      <c r="AE430" s="827" t="s">
        <v>22</v>
      </c>
      <c r="AF430" s="1223">
        <v>1</v>
      </c>
      <c r="AG430" s="575">
        <v>256670</v>
      </c>
      <c r="AH430" s="1125">
        <f t="shared" si="95"/>
        <v>256670</v>
      </c>
      <c r="AI430" s="887"/>
      <c r="AJ430" s="827"/>
      <c r="AK430" s="1198"/>
      <c r="AL430" s="1181" t="s">
        <v>1323</v>
      </c>
      <c r="AM430" s="1126">
        <f>SUM(AM417:AM429)</f>
        <v>18264532</v>
      </c>
    </row>
    <row r="431" spans="1:39" s="45" customFormat="1" ht="77.25" thickBot="1">
      <c r="A431" s="185"/>
      <c r="B431" s="827">
        <v>12.6</v>
      </c>
      <c r="C431" s="887" t="s">
        <v>1281</v>
      </c>
      <c r="D431" s="827" t="s">
        <v>22</v>
      </c>
      <c r="E431" s="594">
        <v>5</v>
      </c>
      <c r="F431" s="575">
        <v>366520</v>
      </c>
      <c r="G431" s="910">
        <f t="shared" si="94"/>
        <v>1832600</v>
      </c>
      <c r="H431" s="208"/>
      <c r="I431" s="899"/>
      <c r="J431" s="208"/>
      <c r="K431" s="208"/>
      <c r="L431" s="208"/>
      <c r="M431" s="900"/>
      <c r="N431" s="901"/>
      <c r="O431" s="207"/>
      <c r="P431" s="207"/>
      <c r="Q431" s="207"/>
      <c r="R431" s="207"/>
      <c r="S431" s="207"/>
      <c r="T431" s="207"/>
      <c r="U431" s="16"/>
      <c r="V431" s="805"/>
      <c r="W431" s="807"/>
      <c r="X431" s="208"/>
      <c r="Y431" s="44"/>
      <c r="Z431" s="44"/>
      <c r="AA431" s="887" t="s">
        <v>1304</v>
      </c>
      <c r="AB431" s="827" t="s">
        <v>500</v>
      </c>
      <c r="AC431" s="827">
        <v>12.8</v>
      </c>
      <c r="AD431" s="887" t="s">
        <v>1281</v>
      </c>
      <c r="AE431" s="827" t="s">
        <v>22</v>
      </c>
      <c r="AF431" s="1223">
        <v>5</v>
      </c>
      <c r="AG431" s="575">
        <v>366520</v>
      </c>
      <c r="AH431" s="1125">
        <f t="shared" si="95"/>
        <v>1832600</v>
      </c>
      <c r="AI431" s="1060" t="s">
        <v>1412</v>
      </c>
      <c r="AJ431" s="1061"/>
      <c r="AK431" s="1194"/>
      <c r="AL431" s="575"/>
      <c r="AM431" s="1125"/>
    </row>
    <row r="432" spans="1:39" s="45" customFormat="1" ht="76.5">
      <c r="A432" s="185"/>
      <c r="B432" s="827">
        <v>12.7</v>
      </c>
      <c r="C432" s="887" t="s">
        <v>1307</v>
      </c>
      <c r="D432" s="827" t="s">
        <v>500</v>
      </c>
      <c r="E432" s="594">
        <v>12</v>
      </c>
      <c r="F432" s="575">
        <v>140420</v>
      </c>
      <c r="G432" s="910">
        <f t="shared" si="94"/>
        <v>1685040</v>
      </c>
      <c r="H432" s="208"/>
      <c r="I432" s="899"/>
      <c r="J432" s="208"/>
      <c r="K432" s="208"/>
      <c r="L432" s="208"/>
      <c r="M432" s="900"/>
      <c r="N432" s="901"/>
      <c r="O432" s="207"/>
      <c r="P432" s="207"/>
      <c r="Q432" s="207"/>
      <c r="R432" s="207"/>
      <c r="S432" s="207"/>
      <c r="T432" s="207"/>
      <c r="U432" s="16"/>
      <c r="V432" s="805"/>
      <c r="W432" s="807"/>
      <c r="X432" s="208"/>
      <c r="Y432" s="44"/>
      <c r="Z432" s="44"/>
      <c r="AA432" s="887" t="s">
        <v>1303</v>
      </c>
      <c r="AB432" s="827" t="s">
        <v>500</v>
      </c>
      <c r="AC432" s="827">
        <v>12.9</v>
      </c>
      <c r="AD432" s="887" t="s">
        <v>1307</v>
      </c>
      <c r="AE432" s="827" t="s">
        <v>500</v>
      </c>
      <c r="AF432" s="1223">
        <v>12</v>
      </c>
      <c r="AG432" s="575">
        <v>140420</v>
      </c>
      <c r="AH432" s="1125">
        <f t="shared" si="95"/>
        <v>1685040</v>
      </c>
      <c r="AI432" s="975" t="s">
        <v>1343</v>
      </c>
      <c r="AJ432" s="905"/>
      <c r="AK432" s="1192"/>
      <c r="AL432" s="1061"/>
      <c r="AM432" s="1113"/>
    </row>
    <row r="433" spans="1:39" s="45" customFormat="1" ht="31.5" customHeight="1">
      <c r="A433" s="185"/>
      <c r="B433" s="827">
        <v>12.8</v>
      </c>
      <c r="C433" s="887" t="s">
        <v>1304</v>
      </c>
      <c r="D433" s="827" t="s">
        <v>500</v>
      </c>
      <c r="E433" s="1055">
        <f>13+55+50</f>
        <v>118</v>
      </c>
      <c r="F433" s="575">
        <v>48740</v>
      </c>
      <c r="G433" s="910">
        <f t="shared" si="94"/>
        <v>5751320</v>
      </c>
      <c r="H433" s="208"/>
      <c r="I433" s="899"/>
      <c r="J433" s="208"/>
      <c r="K433" s="208"/>
      <c r="L433" s="208"/>
      <c r="M433" s="900"/>
      <c r="N433" s="901"/>
      <c r="O433" s="207"/>
      <c r="P433" s="207"/>
      <c r="Q433" s="207"/>
      <c r="R433" s="207"/>
      <c r="S433" s="207"/>
      <c r="T433" s="207"/>
      <c r="U433" s="16"/>
      <c r="V433" s="805"/>
      <c r="W433" s="807"/>
      <c r="X433" s="208"/>
      <c r="Y433" s="44"/>
      <c r="Z433" s="44"/>
      <c r="AA433" s="887" t="s">
        <v>1302</v>
      </c>
      <c r="AB433" s="827" t="s">
        <v>500</v>
      </c>
      <c r="AC433" s="963">
        <v>12.1</v>
      </c>
      <c r="AD433" s="887" t="s">
        <v>1304</v>
      </c>
      <c r="AE433" s="827" t="s">
        <v>500</v>
      </c>
      <c r="AF433" s="1223">
        <f>13+55+50</f>
        <v>118</v>
      </c>
      <c r="AG433" s="575">
        <v>48740</v>
      </c>
      <c r="AH433" s="1125">
        <f t="shared" si="95"/>
        <v>5751320</v>
      </c>
      <c r="AI433" s="1250" t="s">
        <v>1325</v>
      </c>
      <c r="AJ433" s="999" t="s">
        <v>22</v>
      </c>
      <c r="AK433" s="1204"/>
      <c r="AL433" s="905"/>
      <c r="AM433" s="906"/>
    </row>
    <row r="434" spans="1:39" s="45" customFormat="1" ht="63.75">
      <c r="A434" s="185"/>
      <c r="B434" s="827">
        <v>12.9</v>
      </c>
      <c r="C434" s="887" t="s">
        <v>1303</v>
      </c>
      <c r="D434" s="827" t="s">
        <v>500</v>
      </c>
      <c r="E434" s="594">
        <v>74</v>
      </c>
      <c r="F434" s="575">
        <v>41820</v>
      </c>
      <c r="G434" s="910">
        <f t="shared" si="94"/>
        <v>3094680</v>
      </c>
      <c r="H434" s="208"/>
      <c r="I434" s="899"/>
      <c r="J434" s="208"/>
      <c r="K434" s="208"/>
      <c r="L434" s="208"/>
      <c r="M434" s="900"/>
      <c r="N434" s="901"/>
      <c r="O434" s="207"/>
      <c r="P434" s="207"/>
      <c r="Q434" s="207"/>
      <c r="R434" s="207"/>
      <c r="S434" s="207"/>
      <c r="T434" s="207"/>
      <c r="U434" s="16"/>
      <c r="V434" s="805"/>
      <c r="W434" s="807"/>
      <c r="X434" s="208"/>
      <c r="Y434" s="44"/>
      <c r="Z434" s="44"/>
      <c r="AA434" s="887" t="s">
        <v>1305</v>
      </c>
      <c r="AB434" s="827" t="s">
        <v>500</v>
      </c>
      <c r="AC434" s="827">
        <v>12.11</v>
      </c>
      <c r="AD434" s="887" t="s">
        <v>1303</v>
      </c>
      <c r="AE434" s="827" t="s">
        <v>500</v>
      </c>
      <c r="AF434" s="1223">
        <v>74</v>
      </c>
      <c r="AG434" s="575">
        <v>41820</v>
      </c>
      <c r="AH434" s="1125">
        <f t="shared" si="95"/>
        <v>3094680</v>
      </c>
      <c r="AI434" s="1030" t="s">
        <v>1326</v>
      </c>
      <c r="AJ434" s="999" t="s">
        <v>22</v>
      </c>
      <c r="AK434" s="1203">
        <v>7</v>
      </c>
      <c r="AL434" s="575">
        <v>27920</v>
      </c>
      <c r="AM434" s="795">
        <f t="shared" ref="AM434:AM443" si="96">+AL434*AK434</f>
        <v>195440</v>
      </c>
    </row>
    <row r="435" spans="1:39" s="45" customFormat="1" ht="63.75">
      <c r="A435" s="185"/>
      <c r="B435" s="963">
        <v>12.1</v>
      </c>
      <c r="C435" s="887" t="s">
        <v>1302</v>
      </c>
      <c r="D435" s="827" t="s">
        <v>500</v>
      </c>
      <c r="E435" s="594">
        <v>39</v>
      </c>
      <c r="F435" s="575">
        <v>21516</v>
      </c>
      <c r="G435" s="910">
        <f t="shared" si="94"/>
        <v>839124</v>
      </c>
      <c r="H435" s="208"/>
      <c r="I435" s="899"/>
      <c r="J435" s="208"/>
      <c r="K435" s="208"/>
      <c r="L435" s="208"/>
      <c r="M435" s="900"/>
      <c r="N435" s="901"/>
      <c r="O435" s="207"/>
      <c r="P435" s="207"/>
      <c r="Q435" s="207"/>
      <c r="R435" s="207"/>
      <c r="S435" s="207"/>
      <c r="T435" s="207"/>
      <c r="U435" s="16"/>
      <c r="V435" s="805"/>
      <c r="W435" s="807"/>
      <c r="X435" s="208"/>
      <c r="Y435" s="44"/>
      <c r="Z435" s="44"/>
      <c r="AA435" s="887" t="s">
        <v>1306</v>
      </c>
      <c r="AB435" s="827" t="s">
        <v>500</v>
      </c>
      <c r="AC435" s="827">
        <v>12.12</v>
      </c>
      <c r="AD435" s="887" t="s">
        <v>1302</v>
      </c>
      <c r="AE435" s="827" t="s">
        <v>500</v>
      </c>
      <c r="AF435" s="1223">
        <v>39</v>
      </c>
      <c r="AG435" s="575">
        <v>21516</v>
      </c>
      <c r="AH435" s="1125">
        <f t="shared" si="95"/>
        <v>839124</v>
      </c>
      <c r="AI435" s="1250" t="s">
        <v>1327</v>
      </c>
      <c r="AJ435" s="999" t="s">
        <v>22</v>
      </c>
      <c r="AK435" s="1203">
        <v>13</v>
      </c>
      <c r="AL435" s="575">
        <v>3130</v>
      </c>
      <c r="AM435" s="795">
        <f t="shared" si="96"/>
        <v>40690</v>
      </c>
    </row>
    <row r="436" spans="1:39" s="45" customFormat="1" ht="51">
      <c r="A436" s="185"/>
      <c r="B436" s="827">
        <v>12.11</v>
      </c>
      <c r="C436" s="887" t="s">
        <v>1305</v>
      </c>
      <c r="D436" s="827" t="s">
        <v>500</v>
      </c>
      <c r="E436" s="594">
        <v>24</v>
      </c>
      <c r="F436" s="575">
        <v>20557</v>
      </c>
      <c r="G436" s="910">
        <f t="shared" si="94"/>
        <v>493368</v>
      </c>
      <c r="H436" s="208"/>
      <c r="I436" s="899"/>
      <c r="J436" s="208"/>
      <c r="K436" s="208"/>
      <c r="L436" s="208"/>
      <c r="M436" s="900"/>
      <c r="N436" s="901"/>
      <c r="O436" s="207"/>
      <c r="P436" s="207"/>
      <c r="Q436" s="207"/>
      <c r="R436" s="207"/>
      <c r="S436" s="207"/>
      <c r="T436" s="207"/>
      <c r="U436" s="16"/>
      <c r="V436" s="805"/>
      <c r="W436" s="807"/>
      <c r="X436" s="208"/>
      <c r="Y436" s="44"/>
      <c r="Z436" s="44"/>
      <c r="AA436" s="887" t="s">
        <v>1436</v>
      </c>
      <c r="AB436" s="827" t="s">
        <v>139</v>
      </c>
      <c r="AC436" s="827">
        <v>12.13</v>
      </c>
      <c r="AD436" s="887" t="s">
        <v>1305</v>
      </c>
      <c r="AE436" s="827" t="s">
        <v>500</v>
      </c>
      <c r="AF436" s="1223">
        <v>24</v>
      </c>
      <c r="AG436" s="575">
        <v>20557</v>
      </c>
      <c r="AH436" s="1125">
        <f t="shared" si="95"/>
        <v>493368</v>
      </c>
      <c r="AI436" s="1030" t="s">
        <v>1328</v>
      </c>
      <c r="AJ436" s="999" t="s">
        <v>22</v>
      </c>
      <c r="AK436" s="1203">
        <v>1</v>
      </c>
      <c r="AL436" s="575">
        <v>2920</v>
      </c>
      <c r="AM436" s="795">
        <f t="shared" si="96"/>
        <v>2920</v>
      </c>
    </row>
    <row r="437" spans="1:39" s="45" customFormat="1" ht="26.25" thickBot="1">
      <c r="A437" s="185"/>
      <c r="B437" s="827">
        <v>12.12</v>
      </c>
      <c r="C437" s="887" t="s">
        <v>1306</v>
      </c>
      <c r="D437" s="827" t="s">
        <v>500</v>
      </c>
      <c r="E437" s="594">
        <v>60</v>
      </c>
      <c r="F437" s="575">
        <v>5770</v>
      </c>
      <c r="G437" s="910">
        <f t="shared" si="94"/>
        <v>346200</v>
      </c>
      <c r="H437" s="208"/>
      <c r="I437" s="899"/>
      <c r="J437" s="208"/>
      <c r="K437" s="208"/>
      <c r="L437" s="208"/>
      <c r="M437" s="900"/>
      <c r="N437" s="901"/>
      <c r="O437" s="207"/>
      <c r="P437" s="207"/>
      <c r="Q437" s="207"/>
      <c r="R437" s="207"/>
      <c r="S437" s="207"/>
      <c r="T437" s="207"/>
      <c r="U437" s="16"/>
      <c r="V437" s="805"/>
      <c r="W437" s="807"/>
      <c r="X437" s="208"/>
      <c r="Y437" s="44"/>
      <c r="Z437" s="44"/>
      <c r="AA437" s="1074"/>
      <c r="AB437" s="1075"/>
      <c r="AC437" s="1124"/>
      <c r="AD437" s="887" t="s">
        <v>1306</v>
      </c>
      <c r="AE437" s="827" t="s">
        <v>500</v>
      </c>
      <c r="AF437" s="1223">
        <v>60</v>
      </c>
      <c r="AG437" s="575">
        <v>5770</v>
      </c>
      <c r="AH437" s="1125">
        <f t="shared" si="95"/>
        <v>346200</v>
      </c>
      <c r="AI437" s="887" t="s">
        <v>1329</v>
      </c>
      <c r="AJ437" s="999" t="s">
        <v>22</v>
      </c>
      <c r="AK437" s="1203">
        <v>4</v>
      </c>
      <c r="AL437" s="575">
        <v>3100</v>
      </c>
      <c r="AM437" s="795">
        <f t="shared" si="96"/>
        <v>12400</v>
      </c>
    </row>
    <row r="438" spans="1:39" s="45" customFormat="1" ht="26.25" thickBot="1">
      <c r="A438" s="185"/>
      <c r="B438" s="827">
        <v>12.13</v>
      </c>
      <c r="C438" s="887" t="s">
        <v>1436</v>
      </c>
      <c r="D438" s="827" t="s">
        <v>139</v>
      </c>
      <c r="E438" s="594">
        <v>2</v>
      </c>
      <c r="F438" s="575">
        <v>410360</v>
      </c>
      <c r="G438" s="910">
        <f t="shared" si="94"/>
        <v>820720</v>
      </c>
      <c r="H438" s="208"/>
      <c r="I438" s="899"/>
      <c r="J438" s="208"/>
      <c r="K438" s="208"/>
      <c r="L438" s="208"/>
      <c r="M438" s="900"/>
      <c r="N438" s="901"/>
      <c r="O438" s="207"/>
      <c r="P438" s="207"/>
      <c r="Q438" s="207"/>
      <c r="R438" s="207"/>
      <c r="S438" s="207"/>
      <c r="T438" s="207"/>
      <c r="U438" s="16"/>
      <c r="V438" s="805"/>
      <c r="W438" s="807"/>
      <c r="X438" s="208"/>
      <c r="Y438" s="44"/>
      <c r="Z438" s="44"/>
      <c r="AA438" s="887"/>
      <c r="AB438" s="827"/>
      <c r="AC438" s="827"/>
      <c r="AD438" s="887" t="s">
        <v>1436</v>
      </c>
      <c r="AE438" s="827" t="s">
        <v>139</v>
      </c>
      <c r="AF438" s="1223">
        <v>2</v>
      </c>
      <c r="AG438" s="575">
        <v>410360</v>
      </c>
      <c r="AH438" s="1125">
        <f t="shared" si="95"/>
        <v>820720</v>
      </c>
      <c r="AI438" s="1030" t="s">
        <v>1331</v>
      </c>
      <c r="AJ438" s="999" t="s">
        <v>500</v>
      </c>
      <c r="AK438" s="1203">
        <v>1</v>
      </c>
      <c r="AL438" s="575">
        <v>3370</v>
      </c>
      <c r="AM438" s="795">
        <f t="shared" si="96"/>
        <v>3370</v>
      </c>
    </row>
    <row r="439" spans="1:39" s="45" customFormat="1" ht="15.75" thickBot="1">
      <c r="A439" s="185"/>
      <c r="B439" s="1025"/>
      <c r="C439" s="871"/>
      <c r="D439" s="873"/>
      <c r="E439" s="874"/>
      <c r="F439" s="1180" t="s">
        <v>1323</v>
      </c>
      <c r="G439" s="1004">
        <f>SUM(G436:G438)</f>
        <v>1660288</v>
      </c>
      <c r="H439" s="208"/>
      <c r="I439" s="899"/>
      <c r="J439" s="208"/>
      <c r="K439" s="208"/>
      <c r="L439" s="208"/>
      <c r="M439" s="900"/>
      <c r="N439" s="901"/>
      <c r="O439" s="207"/>
      <c r="P439" s="207"/>
      <c r="Q439" s="207"/>
      <c r="R439" s="207"/>
      <c r="S439" s="207"/>
      <c r="T439" s="207"/>
      <c r="U439" s="16"/>
      <c r="V439" s="805"/>
      <c r="W439" s="807"/>
      <c r="X439" s="208"/>
      <c r="Y439" s="44"/>
      <c r="Z439" s="44"/>
      <c r="AA439" s="1060" t="s">
        <v>1412</v>
      </c>
      <c r="AB439" s="1061"/>
      <c r="AC439" s="1104">
        <v>13</v>
      </c>
      <c r="AD439" s="1074"/>
      <c r="AE439" s="1075"/>
      <c r="AF439" s="1227"/>
      <c r="AG439" s="1181" t="s">
        <v>1323</v>
      </c>
      <c r="AH439" s="1126">
        <f>SUM(AH436:AH438)</f>
        <v>1660288</v>
      </c>
      <c r="AI439" s="1030" t="s">
        <v>1330</v>
      </c>
      <c r="AJ439" s="999" t="s">
        <v>500</v>
      </c>
      <c r="AK439" s="1203">
        <v>24</v>
      </c>
      <c r="AL439" s="575">
        <v>3870</v>
      </c>
      <c r="AM439" s="795">
        <f t="shared" si="96"/>
        <v>92880</v>
      </c>
    </row>
    <row r="440" spans="1:39" s="45" customFormat="1" ht="15.75" thickBot="1">
      <c r="A440" s="185"/>
      <c r="B440" s="827"/>
      <c r="C440" s="887"/>
      <c r="D440" s="827"/>
      <c r="E440" s="594"/>
      <c r="F440" s="575"/>
      <c r="G440" s="910"/>
      <c r="H440" s="208"/>
      <c r="I440" s="899"/>
      <c r="J440" s="208"/>
      <c r="K440" s="208"/>
      <c r="L440" s="208"/>
      <c r="M440" s="900"/>
      <c r="N440" s="901"/>
      <c r="O440" s="207"/>
      <c r="P440" s="207"/>
      <c r="Q440" s="207"/>
      <c r="R440" s="207"/>
      <c r="S440" s="207"/>
      <c r="T440" s="207"/>
      <c r="U440" s="16"/>
      <c r="V440" s="805"/>
      <c r="W440" s="807"/>
      <c r="X440" s="208"/>
      <c r="Y440" s="44"/>
      <c r="Z440" s="44"/>
      <c r="AA440" s="975" t="s">
        <v>1343</v>
      </c>
      <c r="AB440" s="905"/>
      <c r="AC440" s="974">
        <v>13.1</v>
      </c>
      <c r="AD440" s="887"/>
      <c r="AE440" s="827"/>
      <c r="AF440" s="1223"/>
      <c r="AG440" s="575"/>
      <c r="AH440" s="1125"/>
      <c r="AI440" s="1030" t="s">
        <v>1333</v>
      </c>
      <c r="AJ440" s="999" t="s">
        <v>22</v>
      </c>
      <c r="AK440" s="1203">
        <v>7</v>
      </c>
      <c r="AL440" s="575">
        <v>4740</v>
      </c>
      <c r="AM440" s="795">
        <f t="shared" si="96"/>
        <v>33180</v>
      </c>
    </row>
    <row r="441" spans="1:39" s="45" customFormat="1">
      <c r="A441" s="185"/>
      <c r="B441" s="937">
        <v>13</v>
      </c>
      <c r="C441" s="75" t="s">
        <v>1412</v>
      </c>
      <c r="D441" s="76"/>
      <c r="E441" s="76"/>
      <c r="F441" s="76"/>
      <c r="G441" s="126"/>
      <c r="H441" s="208"/>
      <c r="I441" s="899"/>
      <c r="J441" s="208"/>
      <c r="K441" s="208"/>
      <c r="L441" s="208"/>
      <c r="M441" s="900"/>
      <c r="N441" s="901"/>
      <c r="O441" s="207"/>
      <c r="P441" s="207"/>
      <c r="Q441" s="207"/>
      <c r="R441" s="207"/>
      <c r="S441" s="207"/>
      <c r="T441" s="207"/>
      <c r="U441" s="16"/>
      <c r="V441" s="805"/>
      <c r="W441" s="807"/>
      <c r="X441" s="208"/>
      <c r="Y441" s="44"/>
      <c r="Z441" s="44"/>
      <c r="AA441" s="1030" t="s">
        <v>1325</v>
      </c>
      <c r="AB441" s="999" t="s">
        <v>22</v>
      </c>
      <c r="AC441" s="999" t="s">
        <v>1344</v>
      </c>
      <c r="AD441" s="1060" t="s">
        <v>1412</v>
      </c>
      <c r="AE441" s="1061"/>
      <c r="AF441" s="1221"/>
      <c r="AG441" s="1061"/>
      <c r="AH441" s="1113"/>
      <c r="AI441" s="1030" t="s">
        <v>1332</v>
      </c>
      <c r="AJ441" s="999" t="s">
        <v>22</v>
      </c>
      <c r="AK441" s="1203">
        <v>3</v>
      </c>
      <c r="AL441" s="575">
        <v>47640</v>
      </c>
      <c r="AM441" s="795">
        <f t="shared" si="96"/>
        <v>142920</v>
      </c>
    </row>
    <row r="442" spans="1:39" s="45" customFormat="1">
      <c r="A442" s="185"/>
      <c r="B442" s="974">
        <v>13.1</v>
      </c>
      <c r="C442" s="975" t="s">
        <v>1343</v>
      </c>
      <c r="D442" s="905"/>
      <c r="E442" s="905"/>
      <c r="F442" s="905"/>
      <c r="G442" s="906"/>
      <c r="H442" s="208"/>
      <c r="I442" s="899"/>
      <c r="J442" s="208"/>
      <c r="K442" s="208"/>
      <c r="L442" s="208"/>
      <c r="M442" s="900"/>
      <c r="N442" s="901"/>
      <c r="O442" s="207"/>
      <c r="P442" s="207"/>
      <c r="Q442" s="207"/>
      <c r="R442" s="207"/>
      <c r="S442" s="207"/>
      <c r="T442" s="207"/>
      <c r="U442" s="16"/>
      <c r="V442" s="805"/>
      <c r="W442" s="807"/>
      <c r="X442" s="208"/>
      <c r="Y442" s="44"/>
      <c r="Z442" s="44"/>
      <c r="AA442" s="1030" t="s">
        <v>1326</v>
      </c>
      <c r="AB442" s="999" t="s">
        <v>22</v>
      </c>
      <c r="AC442" s="999" t="s">
        <v>1345</v>
      </c>
      <c r="AD442" s="975" t="s">
        <v>1343</v>
      </c>
      <c r="AE442" s="905"/>
      <c r="AF442" s="1233"/>
      <c r="AG442" s="905"/>
      <c r="AH442" s="906"/>
      <c r="AI442" s="1030" t="s">
        <v>1334</v>
      </c>
      <c r="AJ442" s="999" t="s">
        <v>22</v>
      </c>
      <c r="AK442" s="1203">
        <v>3</v>
      </c>
      <c r="AL442" s="587">
        <v>33030</v>
      </c>
      <c r="AM442" s="795">
        <f t="shared" si="96"/>
        <v>99090</v>
      </c>
    </row>
    <row r="443" spans="1:39" s="45" customFormat="1" ht="25.5">
      <c r="A443" s="185"/>
      <c r="B443" s="999" t="s">
        <v>1344</v>
      </c>
      <c r="C443" s="1030" t="s">
        <v>1325</v>
      </c>
      <c r="D443" s="999" t="s">
        <v>22</v>
      </c>
      <c r="E443" s="1000">
        <v>7</v>
      </c>
      <c r="F443" s="575">
        <v>27920</v>
      </c>
      <c r="G443" s="795">
        <f t="shared" ref="G443:G452" si="97">+F443*E443</f>
        <v>195440</v>
      </c>
      <c r="H443" s="208"/>
      <c r="I443" s="899"/>
      <c r="J443" s="208"/>
      <c r="K443" s="208"/>
      <c r="L443" s="208"/>
      <c r="M443" s="900"/>
      <c r="N443" s="901"/>
      <c r="O443" s="207"/>
      <c r="P443" s="207"/>
      <c r="Q443" s="207"/>
      <c r="R443" s="207"/>
      <c r="S443" s="207"/>
      <c r="T443" s="207"/>
      <c r="U443" s="16"/>
      <c r="V443" s="805"/>
      <c r="W443" s="807"/>
      <c r="X443" s="208"/>
      <c r="Y443" s="44"/>
      <c r="Z443" s="44"/>
      <c r="AA443" s="1030" t="s">
        <v>1327</v>
      </c>
      <c r="AB443" s="999" t="s">
        <v>22</v>
      </c>
      <c r="AC443" s="999" t="s">
        <v>1346</v>
      </c>
      <c r="AD443" s="1030" t="s">
        <v>1325</v>
      </c>
      <c r="AE443" s="999" t="s">
        <v>22</v>
      </c>
      <c r="AF443" s="1232">
        <v>7</v>
      </c>
      <c r="AG443" s="575">
        <v>27920</v>
      </c>
      <c r="AH443" s="795">
        <f t="shared" ref="AH443:AH452" si="98">+AG443*AF443</f>
        <v>195440</v>
      </c>
      <c r="AI443" s="1103" t="s">
        <v>1335</v>
      </c>
      <c r="AJ443" s="1104"/>
      <c r="AK443" s="1203">
        <v>3</v>
      </c>
      <c r="AL443" s="575">
        <v>3250</v>
      </c>
      <c r="AM443" s="795">
        <f t="shared" si="96"/>
        <v>9750</v>
      </c>
    </row>
    <row r="444" spans="1:39" s="45" customFormat="1" ht="25.5">
      <c r="A444" s="185"/>
      <c r="B444" s="999" t="s">
        <v>1345</v>
      </c>
      <c r="C444" s="1030" t="s">
        <v>1326</v>
      </c>
      <c r="D444" s="999" t="s">
        <v>22</v>
      </c>
      <c r="E444" s="1000">
        <v>13</v>
      </c>
      <c r="F444" s="575">
        <v>3130</v>
      </c>
      <c r="G444" s="795">
        <f t="shared" si="97"/>
        <v>40690</v>
      </c>
      <c r="H444" s="208"/>
      <c r="I444" s="899"/>
      <c r="J444" s="208"/>
      <c r="K444" s="208"/>
      <c r="L444" s="208"/>
      <c r="M444" s="900"/>
      <c r="N444" s="901"/>
      <c r="O444" s="207"/>
      <c r="P444" s="207"/>
      <c r="Q444" s="207"/>
      <c r="R444" s="207"/>
      <c r="S444" s="207"/>
      <c r="T444" s="207"/>
      <c r="U444" s="16"/>
      <c r="V444" s="805"/>
      <c r="W444" s="807"/>
      <c r="X444" s="208"/>
      <c r="Y444" s="44"/>
      <c r="Z444" s="44"/>
      <c r="AA444" s="1030" t="s">
        <v>1328</v>
      </c>
      <c r="AB444" s="999" t="s">
        <v>22</v>
      </c>
      <c r="AC444" s="999" t="s">
        <v>1347</v>
      </c>
      <c r="AD444" s="1030" t="s">
        <v>1326</v>
      </c>
      <c r="AE444" s="999" t="s">
        <v>22</v>
      </c>
      <c r="AF444" s="1232">
        <v>13</v>
      </c>
      <c r="AG444" s="575">
        <v>3130</v>
      </c>
      <c r="AH444" s="795">
        <f t="shared" si="98"/>
        <v>40690</v>
      </c>
      <c r="AI444" s="593" t="s">
        <v>1336</v>
      </c>
      <c r="AJ444" s="827" t="s">
        <v>1337</v>
      </c>
      <c r="AK444" s="1194"/>
      <c r="AL444" s="1106"/>
      <c r="AM444" s="1127"/>
    </row>
    <row r="445" spans="1:39" s="45" customFormat="1">
      <c r="A445" s="185"/>
      <c r="B445" s="999" t="s">
        <v>1346</v>
      </c>
      <c r="C445" s="1030" t="s">
        <v>1327</v>
      </c>
      <c r="D445" s="999" t="s">
        <v>22</v>
      </c>
      <c r="E445" s="1000">
        <v>1</v>
      </c>
      <c r="F445" s="575">
        <v>2920</v>
      </c>
      <c r="G445" s="795">
        <f t="shared" si="97"/>
        <v>2920</v>
      </c>
      <c r="H445" s="208"/>
      <c r="I445" s="899"/>
      <c r="J445" s="208"/>
      <c r="K445" s="208"/>
      <c r="L445" s="208"/>
      <c r="M445" s="900"/>
      <c r="N445" s="901"/>
      <c r="O445" s="207"/>
      <c r="P445" s="207"/>
      <c r="Q445" s="207"/>
      <c r="R445" s="207"/>
      <c r="S445" s="207"/>
      <c r="T445" s="207"/>
      <c r="U445" s="16"/>
      <c r="V445" s="805"/>
      <c r="W445" s="807"/>
      <c r="X445" s="208"/>
      <c r="Y445" s="44"/>
      <c r="Z445" s="44"/>
      <c r="AA445" s="1030" t="s">
        <v>1329</v>
      </c>
      <c r="AB445" s="999" t="s">
        <v>22</v>
      </c>
      <c r="AC445" s="999" t="s">
        <v>1348</v>
      </c>
      <c r="AD445" s="1030" t="s">
        <v>1327</v>
      </c>
      <c r="AE445" s="999" t="s">
        <v>22</v>
      </c>
      <c r="AF445" s="1232">
        <v>1</v>
      </c>
      <c r="AG445" s="575">
        <v>2920</v>
      </c>
      <c r="AH445" s="795">
        <f t="shared" si="98"/>
        <v>2920</v>
      </c>
      <c r="AI445" s="593" t="s">
        <v>1339</v>
      </c>
      <c r="AJ445" s="827" t="s">
        <v>1337</v>
      </c>
      <c r="AK445" s="1194">
        <v>1</v>
      </c>
      <c r="AL445" s="973">
        <v>38073</v>
      </c>
      <c r="AM445" s="795">
        <f>+AL445*AK445</f>
        <v>38073</v>
      </c>
    </row>
    <row r="446" spans="1:39" s="45" customFormat="1">
      <c r="A446" s="185"/>
      <c r="B446" s="999" t="s">
        <v>1347</v>
      </c>
      <c r="C446" s="1030" t="s">
        <v>1328</v>
      </c>
      <c r="D446" s="999" t="s">
        <v>22</v>
      </c>
      <c r="E446" s="1000">
        <v>4</v>
      </c>
      <c r="F446" s="575">
        <v>3100</v>
      </c>
      <c r="G446" s="795">
        <f t="shared" si="97"/>
        <v>12400</v>
      </c>
      <c r="H446" s="208"/>
      <c r="I446" s="899"/>
      <c r="J446" s="208"/>
      <c r="K446" s="208"/>
      <c r="L446" s="208"/>
      <c r="M446" s="900"/>
      <c r="N446" s="901"/>
      <c r="O446" s="207"/>
      <c r="P446" s="207"/>
      <c r="Q446" s="207"/>
      <c r="R446" s="207"/>
      <c r="S446" s="207"/>
      <c r="T446" s="207"/>
      <c r="U446" s="16"/>
      <c r="V446" s="805"/>
      <c r="W446" s="807"/>
      <c r="X446" s="208"/>
      <c r="Y446" s="44"/>
      <c r="Z446" s="44"/>
      <c r="AA446" s="1030" t="s">
        <v>1331</v>
      </c>
      <c r="AB446" s="999" t="s">
        <v>500</v>
      </c>
      <c r="AC446" s="999" t="s">
        <v>1349</v>
      </c>
      <c r="AD446" s="1030" t="s">
        <v>1328</v>
      </c>
      <c r="AE446" s="999" t="s">
        <v>22</v>
      </c>
      <c r="AF446" s="1232">
        <v>4</v>
      </c>
      <c r="AG446" s="575">
        <v>3100</v>
      </c>
      <c r="AH446" s="795">
        <f t="shared" si="98"/>
        <v>12400</v>
      </c>
      <c r="AI446" s="593" t="s">
        <v>1340</v>
      </c>
      <c r="AJ446" s="827" t="s">
        <v>1337</v>
      </c>
      <c r="AK446" s="1194">
        <v>2</v>
      </c>
      <c r="AL446" s="973">
        <v>119840</v>
      </c>
      <c r="AM446" s="795">
        <f>+AL446*AK446</f>
        <v>239680</v>
      </c>
    </row>
    <row r="447" spans="1:39" s="45" customFormat="1">
      <c r="A447" s="185"/>
      <c r="B447" s="999" t="s">
        <v>1348</v>
      </c>
      <c r="C447" s="1030" t="s">
        <v>1329</v>
      </c>
      <c r="D447" s="999" t="s">
        <v>22</v>
      </c>
      <c r="E447" s="1000">
        <v>1</v>
      </c>
      <c r="F447" s="575">
        <v>3370</v>
      </c>
      <c r="G447" s="795">
        <f t="shared" si="97"/>
        <v>3370</v>
      </c>
      <c r="H447" s="208"/>
      <c r="I447" s="899"/>
      <c r="J447" s="208"/>
      <c r="K447" s="208"/>
      <c r="L447" s="208"/>
      <c r="M447" s="900"/>
      <c r="N447" s="901"/>
      <c r="O447" s="207"/>
      <c r="P447" s="207"/>
      <c r="Q447" s="207"/>
      <c r="R447" s="207"/>
      <c r="S447" s="207"/>
      <c r="T447" s="207"/>
      <c r="U447" s="16"/>
      <c r="V447" s="805"/>
      <c r="W447" s="807"/>
      <c r="X447" s="208"/>
      <c r="Y447" s="44"/>
      <c r="Z447" s="44"/>
      <c r="AA447" s="1030" t="s">
        <v>1330</v>
      </c>
      <c r="AB447" s="999" t="s">
        <v>500</v>
      </c>
      <c r="AC447" s="999" t="s">
        <v>1350</v>
      </c>
      <c r="AD447" s="1030" t="s">
        <v>1329</v>
      </c>
      <c r="AE447" s="999" t="s">
        <v>22</v>
      </c>
      <c r="AF447" s="1232">
        <v>1</v>
      </c>
      <c r="AG447" s="575">
        <v>3370</v>
      </c>
      <c r="AH447" s="795">
        <f t="shared" si="98"/>
        <v>3370</v>
      </c>
      <c r="AI447" s="593" t="s">
        <v>1341</v>
      </c>
      <c r="AJ447" s="827" t="s">
        <v>1337</v>
      </c>
      <c r="AK447" s="1194">
        <v>5</v>
      </c>
      <c r="AL447" s="973">
        <v>34234</v>
      </c>
      <c r="AM447" s="795">
        <f>+AL447*AK447</f>
        <v>171170</v>
      </c>
    </row>
    <row r="448" spans="1:39" s="45" customFormat="1" ht="25.5">
      <c r="A448" s="185"/>
      <c r="B448" s="999" t="s">
        <v>1349</v>
      </c>
      <c r="C448" s="1030" t="s">
        <v>1331</v>
      </c>
      <c r="D448" s="999" t="s">
        <v>500</v>
      </c>
      <c r="E448" s="1000">
        <v>24</v>
      </c>
      <c r="F448" s="575">
        <v>3870</v>
      </c>
      <c r="G448" s="795">
        <f t="shared" si="97"/>
        <v>92880</v>
      </c>
      <c r="H448" s="208"/>
      <c r="I448" s="899"/>
      <c r="J448" s="208"/>
      <c r="K448" s="208"/>
      <c r="L448" s="208"/>
      <c r="M448" s="900"/>
      <c r="N448" s="901"/>
      <c r="O448" s="207"/>
      <c r="P448" s="207"/>
      <c r="Q448" s="207"/>
      <c r="R448" s="207"/>
      <c r="S448" s="207"/>
      <c r="T448" s="207"/>
      <c r="U448" s="16"/>
      <c r="V448" s="805"/>
      <c r="W448" s="807"/>
      <c r="X448" s="208"/>
      <c r="Y448" s="44"/>
      <c r="Z448" s="44"/>
      <c r="AA448" s="1030" t="s">
        <v>1333</v>
      </c>
      <c r="AB448" s="999" t="s">
        <v>22</v>
      </c>
      <c r="AC448" s="999" t="s">
        <v>1351</v>
      </c>
      <c r="AD448" s="1030" t="s">
        <v>1331</v>
      </c>
      <c r="AE448" s="999" t="s">
        <v>500</v>
      </c>
      <c r="AF448" s="1232">
        <v>24</v>
      </c>
      <c r="AG448" s="575">
        <v>3870</v>
      </c>
      <c r="AH448" s="795">
        <f t="shared" si="98"/>
        <v>92880</v>
      </c>
      <c r="AI448" s="887" t="s">
        <v>1338</v>
      </c>
      <c r="AJ448" s="827" t="s">
        <v>22</v>
      </c>
      <c r="AK448" s="1194">
        <v>3</v>
      </c>
      <c r="AL448" s="575">
        <v>158604</v>
      </c>
      <c r="AM448" s="795">
        <f>+AL448*AK448</f>
        <v>475812</v>
      </c>
    </row>
    <row r="449" spans="1:39" s="45" customFormat="1" ht="25.5">
      <c r="A449" s="185"/>
      <c r="B449" s="999" t="s">
        <v>1350</v>
      </c>
      <c r="C449" s="1030" t="s">
        <v>1330</v>
      </c>
      <c r="D449" s="999" t="s">
        <v>500</v>
      </c>
      <c r="E449" s="1000">
        <v>7</v>
      </c>
      <c r="F449" s="575">
        <v>4740</v>
      </c>
      <c r="G449" s="795">
        <f t="shared" si="97"/>
        <v>33180</v>
      </c>
      <c r="H449" s="208"/>
      <c r="I449" s="899"/>
      <c r="J449" s="208"/>
      <c r="K449" s="208"/>
      <c r="L449" s="208"/>
      <c r="M449" s="900"/>
      <c r="N449" s="901"/>
      <c r="O449" s="207"/>
      <c r="P449" s="207"/>
      <c r="Q449" s="207"/>
      <c r="R449" s="207"/>
      <c r="S449" s="207"/>
      <c r="T449" s="207"/>
      <c r="U449" s="16"/>
      <c r="V449" s="805"/>
      <c r="W449" s="807"/>
      <c r="X449" s="208"/>
      <c r="Y449" s="44"/>
      <c r="Z449" s="44"/>
      <c r="AA449" s="1030" t="s">
        <v>1332</v>
      </c>
      <c r="AB449" s="999" t="s">
        <v>22</v>
      </c>
      <c r="AC449" s="999" t="s">
        <v>1352</v>
      </c>
      <c r="AD449" s="1030" t="s">
        <v>1330</v>
      </c>
      <c r="AE449" s="999" t="s">
        <v>500</v>
      </c>
      <c r="AF449" s="1232">
        <v>7</v>
      </c>
      <c r="AG449" s="575">
        <v>4740</v>
      </c>
      <c r="AH449" s="795">
        <f t="shared" si="98"/>
        <v>33180</v>
      </c>
      <c r="AI449" s="1103" t="s">
        <v>1342</v>
      </c>
      <c r="AJ449" s="1104"/>
      <c r="AK449" s="1194">
        <v>1</v>
      </c>
      <c r="AL449" s="575">
        <v>208740</v>
      </c>
      <c r="AM449" s="795">
        <f>+AL449*AK449</f>
        <v>208740</v>
      </c>
    </row>
    <row r="450" spans="1:39" s="45" customFormat="1" ht="38.25">
      <c r="A450" s="185"/>
      <c r="B450" s="999" t="s">
        <v>1351</v>
      </c>
      <c r="C450" s="1030" t="s">
        <v>1333</v>
      </c>
      <c r="D450" s="999" t="s">
        <v>22</v>
      </c>
      <c r="E450" s="1000">
        <v>3</v>
      </c>
      <c r="F450" s="575">
        <v>47640</v>
      </c>
      <c r="G450" s="795">
        <f t="shared" si="97"/>
        <v>142920</v>
      </c>
      <c r="H450" s="208"/>
      <c r="I450" s="899"/>
      <c r="J450" s="208"/>
      <c r="K450" s="208"/>
      <c r="L450" s="208"/>
      <c r="M450" s="900"/>
      <c r="N450" s="901"/>
      <c r="O450" s="207"/>
      <c r="P450" s="207"/>
      <c r="Q450" s="207"/>
      <c r="R450" s="207"/>
      <c r="S450" s="207"/>
      <c r="T450" s="207"/>
      <c r="U450" s="16"/>
      <c r="V450" s="805"/>
      <c r="W450" s="807"/>
      <c r="X450" s="208"/>
      <c r="Y450" s="44"/>
      <c r="Z450" s="44"/>
      <c r="AA450" s="1030" t="s">
        <v>1334</v>
      </c>
      <c r="AB450" s="999" t="s">
        <v>22</v>
      </c>
      <c r="AC450" s="999" t="s">
        <v>1353</v>
      </c>
      <c r="AD450" s="1030" t="s">
        <v>1333</v>
      </c>
      <c r="AE450" s="999" t="s">
        <v>22</v>
      </c>
      <c r="AF450" s="1232">
        <v>3</v>
      </c>
      <c r="AG450" s="575">
        <v>47640</v>
      </c>
      <c r="AH450" s="795">
        <f t="shared" si="98"/>
        <v>142920</v>
      </c>
      <c r="AI450" s="887" t="s">
        <v>1359</v>
      </c>
      <c r="AJ450" s="827" t="s">
        <v>22</v>
      </c>
      <c r="AK450" s="1194"/>
      <c r="AL450" s="1106"/>
      <c r="AM450" s="1127"/>
    </row>
    <row r="451" spans="1:39" s="45" customFormat="1" ht="38.25">
      <c r="A451" s="185"/>
      <c r="B451" s="999" t="s">
        <v>1352</v>
      </c>
      <c r="C451" s="1030" t="s">
        <v>1332</v>
      </c>
      <c r="D451" s="999" t="s">
        <v>22</v>
      </c>
      <c r="E451" s="1000">
        <v>3</v>
      </c>
      <c r="F451" s="587">
        <v>33030</v>
      </c>
      <c r="G451" s="795">
        <f t="shared" si="97"/>
        <v>99090</v>
      </c>
      <c r="H451" s="208"/>
      <c r="I451" s="899"/>
      <c r="J451" s="208"/>
      <c r="K451" s="208"/>
      <c r="L451" s="208"/>
      <c r="M451" s="900"/>
      <c r="N451" s="901"/>
      <c r="O451" s="207"/>
      <c r="P451" s="207"/>
      <c r="Q451" s="207"/>
      <c r="R451" s="207"/>
      <c r="S451" s="207"/>
      <c r="T451" s="207"/>
      <c r="U451" s="16"/>
      <c r="V451" s="805"/>
      <c r="W451" s="807"/>
      <c r="X451" s="208"/>
      <c r="Y451" s="44"/>
      <c r="Z451" s="44"/>
      <c r="AA451" s="1103" t="s">
        <v>1335</v>
      </c>
      <c r="AB451" s="1104"/>
      <c r="AC451" s="1104">
        <v>13.2</v>
      </c>
      <c r="AD451" s="1030" t="s">
        <v>1332</v>
      </c>
      <c r="AE451" s="999" t="s">
        <v>22</v>
      </c>
      <c r="AF451" s="1232">
        <v>3</v>
      </c>
      <c r="AG451" s="587">
        <v>33030</v>
      </c>
      <c r="AH451" s="795">
        <f t="shared" si="98"/>
        <v>99090</v>
      </c>
      <c r="AI451" s="887" t="s">
        <v>1360</v>
      </c>
      <c r="AJ451" s="827" t="s">
        <v>22</v>
      </c>
      <c r="AK451" s="1194">
        <v>3</v>
      </c>
      <c r="AL451" s="575">
        <v>29260</v>
      </c>
      <c r="AM451" s="795">
        <f>+AL451*AK451</f>
        <v>87780</v>
      </c>
    </row>
    <row r="452" spans="1:39" s="45" customFormat="1" ht="38.25">
      <c r="A452" s="185"/>
      <c r="B452" s="999" t="s">
        <v>1353</v>
      </c>
      <c r="C452" s="1030" t="s">
        <v>1334</v>
      </c>
      <c r="D452" s="999" t="s">
        <v>22</v>
      </c>
      <c r="E452" s="1000">
        <v>3</v>
      </c>
      <c r="F452" s="575">
        <v>3250</v>
      </c>
      <c r="G452" s="795">
        <f t="shared" si="97"/>
        <v>9750</v>
      </c>
      <c r="H452" s="208"/>
      <c r="I452" s="899"/>
      <c r="J452" s="208"/>
      <c r="K452" s="208"/>
      <c r="L452" s="208"/>
      <c r="M452" s="900"/>
      <c r="N452" s="901"/>
      <c r="O452" s="207"/>
      <c r="P452" s="207"/>
      <c r="Q452" s="207"/>
      <c r="R452" s="207"/>
      <c r="S452" s="207"/>
      <c r="T452" s="207"/>
      <c r="U452" s="16"/>
      <c r="V452" s="805"/>
      <c r="W452" s="807"/>
      <c r="X452" s="208"/>
      <c r="Y452" s="44"/>
      <c r="Z452" s="44"/>
      <c r="AA452" s="593" t="s">
        <v>1336</v>
      </c>
      <c r="AB452" s="827" t="s">
        <v>1337</v>
      </c>
      <c r="AC452" s="827" t="s">
        <v>1354</v>
      </c>
      <c r="AD452" s="1030" t="s">
        <v>1334</v>
      </c>
      <c r="AE452" s="999" t="s">
        <v>22</v>
      </c>
      <c r="AF452" s="1232">
        <v>3</v>
      </c>
      <c r="AG452" s="575">
        <v>3250</v>
      </c>
      <c r="AH452" s="795">
        <f t="shared" si="98"/>
        <v>9750</v>
      </c>
      <c r="AI452" s="887" t="s">
        <v>1362</v>
      </c>
      <c r="AJ452" s="827" t="s">
        <v>22</v>
      </c>
      <c r="AK452" s="1194">
        <v>3</v>
      </c>
      <c r="AL452" s="575">
        <v>33161</v>
      </c>
      <c r="AM452" s="795">
        <f>+AL452*AK452</f>
        <v>99483</v>
      </c>
    </row>
    <row r="453" spans="1:39" s="45" customFormat="1" ht="25.5">
      <c r="A453" s="185"/>
      <c r="B453" s="937">
        <v>13.2</v>
      </c>
      <c r="C453" s="981" t="s">
        <v>1335</v>
      </c>
      <c r="D453" s="937"/>
      <c r="E453" s="982"/>
      <c r="F453" s="983"/>
      <c r="G453" s="984"/>
      <c r="H453" s="208"/>
      <c r="I453" s="899"/>
      <c r="J453" s="208"/>
      <c r="K453" s="208"/>
      <c r="L453" s="208"/>
      <c r="M453" s="900"/>
      <c r="N453" s="901"/>
      <c r="O453" s="207"/>
      <c r="P453" s="207"/>
      <c r="Q453" s="207"/>
      <c r="R453" s="207"/>
      <c r="S453" s="207"/>
      <c r="T453" s="207"/>
      <c r="U453" s="16"/>
      <c r="V453" s="805"/>
      <c r="W453" s="807"/>
      <c r="X453" s="208"/>
      <c r="Y453" s="44"/>
      <c r="Z453" s="44"/>
      <c r="AA453" s="593" t="s">
        <v>1339</v>
      </c>
      <c r="AB453" s="827" t="s">
        <v>1337</v>
      </c>
      <c r="AC453" s="827" t="s">
        <v>1355</v>
      </c>
      <c r="AD453" s="1103" t="s">
        <v>1335</v>
      </c>
      <c r="AE453" s="1104"/>
      <c r="AF453" s="1223"/>
      <c r="AG453" s="1106"/>
      <c r="AH453" s="1127"/>
      <c r="AI453" s="1107" t="s">
        <v>1363</v>
      </c>
      <c r="AJ453" s="1104"/>
      <c r="AK453" s="1194">
        <v>3</v>
      </c>
      <c r="AL453" s="575">
        <v>66930</v>
      </c>
      <c r="AM453" s="795">
        <f>+AL453*AK453</f>
        <v>200790</v>
      </c>
    </row>
    <row r="454" spans="1:39" s="45" customFormat="1">
      <c r="A454" s="185"/>
      <c r="B454" s="827" t="s">
        <v>1354</v>
      </c>
      <c r="C454" s="593" t="s">
        <v>1336</v>
      </c>
      <c r="D454" s="827" t="s">
        <v>1337</v>
      </c>
      <c r="E454" s="594">
        <v>1</v>
      </c>
      <c r="F454" s="973">
        <v>38073</v>
      </c>
      <c r="G454" s="795">
        <f>+F454*E454</f>
        <v>38073</v>
      </c>
      <c r="H454" s="208"/>
      <c r="I454" s="899"/>
      <c r="J454" s="208"/>
      <c r="K454" s="208"/>
      <c r="L454" s="208"/>
      <c r="M454" s="900"/>
      <c r="N454" s="901"/>
      <c r="O454" s="207"/>
      <c r="P454" s="207"/>
      <c r="Q454" s="207"/>
      <c r="R454" s="207"/>
      <c r="S454" s="207"/>
      <c r="T454" s="207"/>
      <c r="U454" s="16"/>
      <c r="V454" s="805"/>
      <c r="W454" s="807"/>
      <c r="X454" s="208"/>
      <c r="Y454" s="44"/>
      <c r="Z454" s="44"/>
      <c r="AA454" s="593" t="s">
        <v>1340</v>
      </c>
      <c r="AB454" s="827" t="s">
        <v>1337</v>
      </c>
      <c r="AC454" s="827" t="s">
        <v>1356</v>
      </c>
      <c r="AD454" s="593" t="s">
        <v>1336</v>
      </c>
      <c r="AE454" s="827" t="s">
        <v>1337</v>
      </c>
      <c r="AF454" s="1223">
        <v>1</v>
      </c>
      <c r="AG454" s="973">
        <v>38073</v>
      </c>
      <c r="AH454" s="795">
        <f>+AG454*AF454</f>
        <v>38073</v>
      </c>
      <c r="AI454" s="102" t="s">
        <v>1364</v>
      </c>
      <c r="AJ454" s="104" t="s">
        <v>500</v>
      </c>
      <c r="AK454" s="1194"/>
      <c r="AL454" s="1106"/>
      <c r="AM454" s="1127"/>
    </row>
    <row r="455" spans="1:39" s="45" customFormat="1">
      <c r="A455" s="185"/>
      <c r="B455" s="827" t="s">
        <v>1355</v>
      </c>
      <c r="C455" s="593" t="s">
        <v>1339</v>
      </c>
      <c r="D455" s="827" t="s">
        <v>1337</v>
      </c>
      <c r="E455" s="594">
        <v>2</v>
      </c>
      <c r="F455" s="973">
        <v>119840</v>
      </c>
      <c r="G455" s="795">
        <f>+F455*E455</f>
        <v>239680</v>
      </c>
      <c r="H455" s="208"/>
      <c r="I455" s="899"/>
      <c r="J455" s="208"/>
      <c r="K455" s="208"/>
      <c r="L455" s="208"/>
      <c r="M455" s="900"/>
      <c r="N455" s="901"/>
      <c r="O455" s="207"/>
      <c r="P455" s="207"/>
      <c r="Q455" s="207"/>
      <c r="R455" s="207"/>
      <c r="S455" s="207"/>
      <c r="T455" s="207"/>
      <c r="U455" s="16"/>
      <c r="V455" s="805"/>
      <c r="W455" s="807"/>
      <c r="X455" s="208"/>
      <c r="Y455" s="44"/>
      <c r="Z455" s="44"/>
      <c r="AA455" s="593" t="s">
        <v>1341</v>
      </c>
      <c r="AB455" s="827" t="s">
        <v>1337</v>
      </c>
      <c r="AC455" s="827" t="s">
        <v>1357</v>
      </c>
      <c r="AD455" s="593" t="s">
        <v>1339</v>
      </c>
      <c r="AE455" s="827" t="s">
        <v>1337</v>
      </c>
      <c r="AF455" s="1223">
        <v>2</v>
      </c>
      <c r="AG455" s="973">
        <v>119840</v>
      </c>
      <c r="AH455" s="795">
        <f>+AG455*AF455</f>
        <v>239680</v>
      </c>
      <c r="AI455" s="102" t="s">
        <v>1365</v>
      </c>
      <c r="AJ455" s="104" t="s">
        <v>500</v>
      </c>
      <c r="AK455" s="1209">
        <v>5</v>
      </c>
      <c r="AL455" s="575">
        <v>21516</v>
      </c>
      <c r="AM455" s="795">
        <f>+AL455*AK455</f>
        <v>107580</v>
      </c>
    </row>
    <row r="456" spans="1:39" s="45" customFormat="1" ht="26.25" thickBot="1">
      <c r="A456" s="185"/>
      <c r="B456" s="827" t="s">
        <v>1356</v>
      </c>
      <c r="C456" s="593" t="s">
        <v>1340</v>
      </c>
      <c r="D456" s="827" t="s">
        <v>1337</v>
      </c>
      <c r="E456" s="594">
        <v>5</v>
      </c>
      <c r="F456" s="973">
        <v>34234</v>
      </c>
      <c r="G456" s="795">
        <f>+F456*E456</f>
        <v>171170</v>
      </c>
      <c r="H456" s="208"/>
      <c r="I456" s="899"/>
      <c r="J456" s="208"/>
      <c r="K456" s="208"/>
      <c r="L456" s="208"/>
      <c r="M456" s="900"/>
      <c r="N456" s="901"/>
      <c r="O456" s="207"/>
      <c r="P456" s="207"/>
      <c r="Q456" s="207"/>
      <c r="R456" s="207"/>
      <c r="S456" s="207"/>
      <c r="T456" s="207"/>
      <c r="U456" s="16"/>
      <c r="V456" s="805"/>
      <c r="W456" s="807"/>
      <c r="X456" s="208"/>
      <c r="Y456" s="44"/>
      <c r="Z456" s="44"/>
      <c r="AA456" s="887" t="s">
        <v>1338</v>
      </c>
      <c r="AB456" s="827" t="s">
        <v>22</v>
      </c>
      <c r="AC456" s="827" t="s">
        <v>1358</v>
      </c>
      <c r="AD456" s="593" t="s">
        <v>1340</v>
      </c>
      <c r="AE456" s="827" t="s">
        <v>1337</v>
      </c>
      <c r="AF456" s="1223">
        <v>5</v>
      </c>
      <c r="AG456" s="973">
        <v>34234</v>
      </c>
      <c r="AH456" s="795">
        <f>+AG456*AF456</f>
        <v>171170</v>
      </c>
      <c r="AI456" s="102" t="s">
        <v>1366</v>
      </c>
      <c r="AJ456" s="104" t="s">
        <v>500</v>
      </c>
      <c r="AK456" s="1209">
        <v>5</v>
      </c>
      <c r="AL456" s="575">
        <v>20557</v>
      </c>
      <c r="AM456" s="795">
        <f>+AL456*AK456</f>
        <v>102785</v>
      </c>
    </row>
    <row r="457" spans="1:39" s="45" customFormat="1" ht="26.25" thickBot="1">
      <c r="A457" s="185"/>
      <c r="B457" s="827" t="s">
        <v>1357</v>
      </c>
      <c r="C457" s="593" t="s">
        <v>1341</v>
      </c>
      <c r="D457" s="827" t="s">
        <v>1337</v>
      </c>
      <c r="E457" s="594">
        <v>3</v>
      </c>
      <c r="F457" s="575">
        <v>158604</v>
      </c>
      <c r="G457" s="795">
        <f>+F457*E457</f>
        <v>475812</v>
      </c>
      <c r="H457" s="208"/>
      <c r="I457" s="899"/>
      <c r="J457" s="208"/>
      <c r="K457" s="208"/>
      <c r="L457" s="208"/>
      <c r="M457" s="900"/>
      <c r="N457" s="901"/>
      <c r="O457" s="207"/>
      <c r="P457" s="207"/>
      <c r="Q457" s="207"/>
      <c r="R457" s="207"/>
      <c r="S457" s="207"/>
      <c r="T457" s="207"/>
      <c r="U457" s="16"/>
      <c r="V457" s="805"/>
      <c r="W457" s="807"/>
      <c r="X457" s="208"/>
      <c r="Y457" s="44"/>
      <c r="Z457" s="44"/>
      <c r="AA457" s="1103" t="s">
        <v>1342</v>
      </c>
      <c r="AB457" s="1104"/>
      <c r="AC457" s="1104">
        <v>13.3</v>
      </c>
      <c r="AD457" s="593" t="s">
        <v>1341</v>
      </c>
      <c r="AE457" s="827" t="s">
        <v>1337</v>
      </c>
      <c r="AF457" s="1223">
        <v>3</v>
      </c>
      <c r="AG457" s="575">
        <v>158604</v>
      </c>
      <c r="AH457" s="795">
        <f>+AG457*AF457</f>
        <v>475812</v>
      </c>
      <c r="AI457" s="1060" t="s">
        <v>1367</v>
      </c>
      <c r="AJ457" s="1061"/>
      <c r="AK457" s="1209">
        <v>4</v>
      </c>
      <c r="AL457" s="575">
        <v>18028</v>
      </c>
      <c r="AM457" s="795">
        <f>+AL457*AK457</f>
        <v>72112</v>
      </c>
    </row>
    <row r="458" spans="1:39" s="45" customFormat="1" ht="38.25">
      <c r="A458" s="185"/>
      <c r="B458" s="827" t="s">
        <v>1358</v>
      </c>
      <c r="C458" s="887" t="s">
        <v>1338</v>
      </c>
      <c r="D458" s="827" t="s">
        <v>22</v>
      </c>
      <c r="E458" s="594">
        <v>1</v>
      </c>
      <c r="F458" s="575">
        <v>208740</v>
      </c>
      <c r="G458" s="795">
        <f>+F458*E458</f>
        <v>208740</v>
      </c>
      <c r="H458" s="208"/>
      <c r="I458" s="899"/>
      <c r="J458" s="208"/>
      <c r="K458" s="208"/>
      <c r="L458" s="208"/>
      <c r="M458" s="900"/>
      <c r="N458" s="901"/>
      <c r="O458" s="207"/>
      <c r="P458" s="207"/>
      <c r="Q458" s="207"/>
      <c r="R458" s="207"/>
      <c r="S458" s="207"/>
      <c r="T458" s="207"/>
      <c r="U458" s="16"/>
      <c r="V458" s="805"/>
      <c r="W458" s="807"/>
      <c r="X458" s="208"/>
      <c r="Y458" s="44"/>
      <c r="Z458" s="44"/>
      <c r="AA458" s="887" t="s">
        <v>1359</v>
      </c>
      <c r="AB458" s="827" t="s">
        <v>22</v>
      </c>
      <c r="AC458" s="827" t="s">
        <v>1361</v>
      </c>
      <c r="AD458" s="887" t="s">
        <v>1338</v>
      </c>
      <c r="AE458" s="827" t="s">
        <v>22</v>
      </c>
      <c r="AF458" s="1223">
        <v>1</v>
      </c>
      <c r="AG458" s="575">
        <v>208740</v>
      </c>
      <c r="AH458" s="795">
        <f>+AG458*AF458</f>
        <v>208740</v>
      </c>
      <c r="AI458" s="593" t="s">
        <v>1364</v>
      </c>
      <c r="AJ458" s="827" t="s">
        <v>1337</v>
      </c>
      <c r="AK458" s="1192"/>
      <c r="AL458" s="1061"/>
      <c r="AM458" s="1113"/>
    </row>
    <row r="459" spans="1:39" s="45" customFormat="1" ht="38.25">
      <c r="A459" s="185"/>
      <c r="B459" s="937">
        <v>13.3</v>
      </c>
      <c r="C459" s="981" t="s">
        <v>1342</v>
      </c>
      <c r="D459" s="937"/>
      <c r="E459" s="982"/>
      <c r="F459" s="983"/>
      <c r="G459" s="984"/>
      <c r="H459" s="208"/>
      <c r="I459" s="899"/>
      <c r="J459" s="208"/>
      <c r="K459" s="208"/>
      <c r="L459" s="208"/>
      <c r="M459" s="900"/>
      <c r="N459" s="901"/>
      <c r="O459" s="207"/>
      <c r="P459" s="207"/>
      <c r="Q459" s="207"/>
      <c r="R459" s="207"/>
      <c r="S459" s="207"/>
      <c r="T459" s="207"/>
      <c r="U459" s="16"/>
      <c r="V459" s="805"/>
      <c r="W459" s="807"/>
      <c r="X459" s="208"/>
      <c r="Y459" s="44"/>
      <c r="Z459" s="44"/>
      <c r="AA459" s="887" t="s">
        <v>1360</v>
      </c>
      <c r="AB459" s="827" t="s">
        <v>22</v>
      </c>
      <c r="AC459" s="827" t="s">
        <v>1373</v>
      </c>
      <c r="AD459" s="1103" t="s">
        <v>1342</v>
      </c>
      <c r="AE459" s="1104"/>
      <c r="AF459" s="1223"/>
      <c r="AG459" s="1106"/>
      <c r="AH459" s="1127"/>
      <c r="AI459" s="593" t="s">
        <v>1365</v>
      </c>
      <c r="AJ459" s="827" t="s">
        <v>1337</v>
      </c>
      <c r="AK459" s="1194">
        <v>2</v>
      </c>
      <c r="AL459" s="575">
        <v>8658</v>
      </c>
      <c r="AM459" s="795">
        <f>+AL459*AK459</f>
        <v>17316</v>
      </c>
    </row>
    <row r="460" spans="1:39" s="45" customFormat="1" ht="39" thickBot="1">
      <c r="A460" s="185"/>
      <c r="B460" s="827" t="s">
        <v>1361</v>
      </c>
      <c r="C460" s="887" t="s">
        <v>1359</v>
      </c>
      <c r="D460" s="827" t="s">
        <v>22</v>
      </c>
      <c r="E460" s="594">
        <v>3</v>
      </c>
      <c r="F460" s="575">
        <v>29260</v>
      </c>
      <c r="G460" s="795">
        <f>+F460*E460</f>
        <v>87780</v>
      </c>
      <c r="H460" s="208"/>
      <c r="I460" s="899"/>
      <c r="J460" s="208"/>
      <c r="K460" s="208"/>
      <c r="L460" s="208"/>
      <c r="M460" s="900"/>
      <c r="N460" s="901"/>
      <c r="O460" s="207"/>
      <c r="P460" s="207"/>
      <c r="Q460" s="207"/>
      <c r="R460" s="207"/>
      <c r="S460" s="207"/>
      <c r="T460" s="207"/>
      <c r="U460" s="16"/>
      <c r="V460" s="805"/>
      <c r="W460" s="807"/>
      <c r="X460" s="208"/>
      <c r="Y460" s="44"/>
      <c r="Z460" s="44"/>
      <c r="AA460" s="887" t="s">
        <v>1362</v>
      </c>
      <c r="AB460" s="827" t="s">
        <v>22</v>
      </c>
      <c r="AC460" s="827" t="s">
        <v>1374</v>
      </c>
      <c r="AD460" s="887" t="s">
        <v>1359</v>
      </c>
      <c r="AE460" s="827" t="s">
        <v>22</v>
      </c>
      <c r="AF460" s="1223">
        <v>3</v>
      </c>
      <c r="AG460" s="575">
        <v>29260</v>
      </c>
      <c r="AH460" s="795">
        <f>+AG460*AF460</f>
        <v>87780</v>
      </c>
      <c r="AI460" s="593" t="s">
        <v>1366</v>
      </c>
      <c r="AJ460" s="827" t="s">
        <v>1337</v>
      </c>
      <c r="AK460" s="1194">
        <v>6</v>
      </c>
      <c r="AL460" s="575">
        <v>5510</v>
      </c>
      <c r="AM460" s="795">
        <f>+AL460*AK460</f>
        <v>33060</v>
      </c>
    </row>
    <row r="461" spans="1:39" s="45" customFormat="1" ht="26.25" thickBot="1">
      <c r="A461" s="185"/>
      <c r="B461" s="827" t="s">
        <v>1373</v>
      </c>
      <c r="C461" s="887" t="s">
        <v>1360</v>
      </c>
      <c r="D461" s="827" t="s">
        <v>22</v>
      </c>
      <c r="E461" s="594">
        <v>3</v>
      </c>
      <c r="F461" s="575">
        <v>33161</v>
      </c>
      <c r="G461" s="795">
        <f>+F461*E461</f>
        <v>99483</v>
      </c>
      <c r="H461" s="208"/>
      <c r="I461" s="899"/>
      <c r="J461" s="208"/>
      <c r="K461" s="208"/>
      <c r="L461" s="208"/>
      <c r="M461" s="900"/>
      <c r="N461" s="901"/>
      <c r="O461" s="207"/>
      <c r="P461" s="207"/>
      <c r="Q461" s="207"/>
      <c r="R461" s="207"/>
      <c r="S461" s="207"/>
      <c r="T461" s="207"/>
      <c r="U461" s="16"/>
      <c r="V461" s="805"/>
      <c r="W461" s="807"/>
      <c r="X461" s="208"/>
      <c r="Y461" s="44"/>
      <c r="Z461" s="44"/>
      <c r="AA461" s="1107" t="s">
        <v>1363</v>
      </c>
      <c r="AB461" s="1104"/>
      <c r="AC461" s="1104">
        <v>13.4</v>
      </c>
      <c r="AD461" s="887" t="s">
        <v>1360</v>
      </c>
      <c r="AE461" s="827" t="s">
        <v>22</v>
      </c>
      <c r="AF461" s="1223">
        <v>3</v>
      </c>
      <c r="AG461" s="575">
        <v>33161</v>
      </c>
      <c r="AH461" s="795">
        <f>+AG461*AF461</f>
        <v>99483</v>
      </c>
      <c r="AI461" s="1060" t="s">
        <v>1368</v>
      </c>
      <c r="AJ461" s="1061"/>
      <c r="AK461" s="1194">
        <v>2</v>
      </c>
      <c r="AL461" s="575">
        <v>2169</v>
      </c>
      <c r="AM461" s="795">
        <f>+AL461*AK461</f>
        <v>4338</v>
      </c>
    </row>
    <row r="462" spans="1:39" s="45" customFormat="1">
      <c r="A462" s="185"/>
      <c r="B462" s="827" t="s">
        <v>1374</v>
      </c>
      <c r="C462" s="887" t="s">
        <v>1362</v>
      </c>
      <c r="D462" s="827" t="s">
        <v>22</v>
      </c>
      <c r="E462" s="594">
        <v>3</v>
      </c>
      <c r="F462" s="575">
        <v>66930</v>
      </c>
      <c r="G462" s="795">
        <f>+F462*E462</f>
        <v>200790</v>
      </c>
      <c r="H462" s="208"/>
      <c r="I462" s="899"/>
      <c r="J462" s="208"/>
      <c r="K462" s="208"/>
      <c r="L462" s="208"/>
      <c r="M462" s="900"/>
      <c r="N462" s="901"/>
      <c r="O462" s="207"/>
      <c r="P462" s="207"/>
      <c r="Q462" s="207"/>
      <c r="R462" s="207"/>
      <c r="S462" s="207"/>
      <c r="T462" s="207"/>
      <c r="U462" s="16"/>
      <c r="V462" s="805"/>
      <c r="W462" s="807"/>
      <c r="X462" s="208"/>
      <c r="Y462" s="44"/>
      <c r="Z462" s="44"/>
      <c r="AA462" s="102" t="s">
        <v>1364</v>
      </c>
      <c r="AB462" s="104" t="s">
        <v>500</v>
      </c>
      <c r="AC462" s="827" t="s">
        <v>1375</v>
      </c>
      <c r="AD462" s="887" t="s">
        <v>1362</v>
      </c>
      <c r="AE462" s="827" t="s">
        <v>22</v>
      </c>
      <c r="AF462" s="1223">
        <v>3</v>
      </c>
      <c r="AG462" s="575">
        <v>66930</v>
      </c>
      <c r="AH462" s="795">
        <f>+AG462*AF462</f>
        <v>200790</v>
      </c>
      <c r="AI462" s="593" t="s">
        <v>1365</v>
      </c>
      <c r="AJ462" s="827" t="s">
        <v>1337</v>
      </c>
      <c r="AK462" s="1192"/>
      <c r="AL462" s="1061"/>
      <c r="AM462" s="1129"/>
    </row>
    <row r="463" spans="1:39" s="45" customFormat="1" ht="15.75" thickBot="1">
      <c r="A463" s="185"/>
      <c r="B463" s="937">
        <v>13.4</v>
      </c>
      <c r="C463" s="985" t="s">
        <v>1363</v>
      </c>
      <c r="D463" s="937"/>
      <c r="E463" s="982"/>
      <c r="F463" s="983"/>
      <c r="G463" s="984"/>
      <c r="H463" s="208"/>
      <c r="I463" s="899"/>
      <c r="J463" s="208"/>
      <c r="K463" s="208"/>
      <c r="L463" s="208"/>
      <c r="M463" s="900"/>
      <c r="N463" s="901"/>
      <c r="O463" s="207"/>
      <c r="P463" s="207"/>
      <c r="Q463" s="207"/>
      <c r="R463" s="207"/>
      <c r="S463" s="207"/>
      <c r="T463" s="207"/>
      <c r="U463" s="16"/>
      <c r="V463" s="805"/>
      <c r="W463" s="807"/>
      <c r="X463" s="208"/>
      <c r="Y463" s="44"/>
      <c r="Z463" s="44"/>
      <c r="AA463" s="102" t="s">
        <v>1365</v>
      </c>
      <c r="AB463" s="104" t="s">
        <v>500</v>
      </c>
      <c r="AC463" s="827" t="s">
        <v>1376</v>
      </c>
      <c r="AD463" s="1107" t="s">
        <v>1363</v>
      </c>
      <c r="AE463" s="1104"/>
      <c r="AF463" s="1223"/>
      <c r="AG463" s="1106"/>
      <c r="AH463" s="1127"/>
      <c r="AI463" s="593" t="s">
        <v>1366</v>
      </c>
      <c r="AJ463" s="827" t="s">
        <v>1337</v>
      </c>
      <c r="AK463" s="1194">
        <v>3</v>
      </c>
      <c r="AL463" s="575">
        <v>6465</v>
      </c>
      <c r="AM463" s="795">
        <f>+AL463*AK463</f>
        <v>19395</v>
      </c>
    </row>
    <row r="464" spans="1:39" s="45" customFormat="1" ht="15.75" thickBot="1">
      <c r="A464" s="185"/>
      <c r="B464" s="827" t="s">
        <v>1375</v>
      </c>
      <c r="C464" s="102" t="s">
        <v>1364</v>
      </c>
      <c r="D464" s="104" t="s">
        <v>500</v>
      </c>
      <c r="E464" s="103">
        <v>5</v>
      </c>
      <c r="F464" s="575">
        <v>21516</v>
      </c>
      <c r="G464" s="795">
        <f>+F464*E464</f>
        <v>107580</v>
      </c>
      <c r="H464" s="208"/>
      <c r="I464" s="899"/>
      <c r="J464" s="208"/>
      <c r="K464" s="208"/>
      <c r="L464" s="208"/>
      <c r="M464" s="900"/>
      <c r="N464" s="901"/>
      <c r="O464" s="207"/>
      <c r="P464" s="207"/>
      <c r="Q464" s="207"/>
      <c r="R464" s="207"/>
      <c r="S464" s="207"/>
      <c r="T464" s="207"/>
      <c r="U464" s="16"/>
      <c r="V464" s="805"/>
      <c r="W464" s="807"/>
      <c r="X464" s="208"/>
      <c r="Y464" s="44"/>
      <c r="Z464" s="44"/>
      <c r="AA464" s="102" t="s">
        <v>1366</v>
      </c>
      <c r="AB464" s="104" t="s">
        <v>500</v>
      </c>
      <c r="AC464" s="827" t="s">
        <v>1377</v>
      </c>
      <c r="AD464" s="102" t="s">
        <v>1364</v>
      </c>
      <c r="AE464" s="104" t="s">
        <v>500</v>
      </c>
      <c r="AF464" s="1238">
        <v>5</v>
      </c>
      <c r="AG464" s="575">
        <v>21516</v>
      </c>
      <c r="AH464" s="795">
        <f>+AG464*AF464</f>
        <v>107580</v>
      </c>
      <c r="AI464" s="1060" t="s">
        <v>1369</v>
      </c>
      <c r="AJ464" s="1061"/>
      <c r="AK464" s="1194">
        <v>1</v>
      </c>
      <c r="AL464" s="575">
        <v>4785</v>
      </c>
      <c r="AM464" s="795">
        <f>+AL464*AK464</f>
        <v>4785</v>
      </c>
    </row>
    <row r="465" spans="1:39" s="45" customFormat="1">
      <c r="A465" s="185"/>
      <c r="B465" s="827" t="s">
        <v>1376</v>
      </c>
      <c r="C465" s="102" t="s">
        <v>1365</v>
      </c>
      <c r="D465" s="104" t="s">
        <v>500</v>
      </c>
      <c r="E465" s="103">
        <v>5</v>
      </c>
      <c r="F465" s="575">
        <v>20557</v>
      </c>
      <c r="G465" s="795">
        <f>+F465*E465</f>
        <v>102785</v>
      </c>
      <c r="H465" s="208"/>
      <c r="I465" s="899"/>
      <c r="J465" s="208"/>
      <c r="K465" s="208"/>
      <c r="L465" s="208"/>
      <c r="M465" s="900"/>
      <c r="N465" s="901"/>
      <c r="O465" s="207"/>
      <c r="P465" s="207"/>
      <c r="Q465" s="207"/>
      <c r="R465" s="207"/>
      <c r="S465" s="207"/>
      <c r="T465" s="207"/>
      <c r="U465" s="16"/>
      <c r="V465" s="805"/>
      <c r="W465" s="807"/>
      <c r="X465" s="208"/>
      <c r="Y465" s="44"/>
      <c r="Z465" s="44"/>
      <c r="AA465" s="1060" t="s">
        <v>1367</v>
      </c>
      <c r="AB465" s="1061"/>
      <c r="AC465" s="1104">
        <v>13.5</v>
      </c>
      <c r="AD465" s="102" t="s">
        <v>1365</v>
      </c>
      <c r="AE465" s="104" t="s">
        <v>500</v>
      </c>
      <c r="AF465" s="1238">
        <v>5</v>
      </c>
      <c r="AG465" s="575">
        <v>20557</v>
      </c>
      <c r="AH465" s="795">
        <f>+AG465*AF465</f>
        <v>102785</v>
      </c>
      <c r="AI465" s="887" t="s">
        <v>1371</v>
      </c>
      <c r="AJ465" s="827" t="s">
        <v>1337</v>
      </c>
      <c r="AK465" s="1192"/>
      <c r="AL465" s="1061"/>
      <c r="AM465" s="1113"/>
    </row>
    <row r="466" spans="1:39" s="45" customFormat="1" ht="15.75" thickBot="1">
      <c r="A466" s="185"/>
      <c r="B466" s="827" t="s">
        <v>1377</v>
      </c>
      <c r="C466" s="102" t="s">
        <v>1366</v>
      </c>
      <c r="D466" s="104" t="s">
        <v>500</v>
      </c>
      <c r="E466" s="103">
        <v>4</v>
      </c>
      <c r="F466" s="575">
        <v>18028</v>
      </c>
      <c r="G466" s="795">
        <f>+F466*E466</f>
        <v>72112</v>
      </c>
      <c r="H466" s="208"/>
      <c r="I466" s="899"/>
      <c r="J466" s="208"/>
      <c r="K466" s="208"/>
      <c r="L466" s="208"/>
      <c r="M466" s="900"/>
      <c r="N466" s="901"/>
      <c r="O466" s="207"/>
      <c r="P466" s="207"/>
      <c r="Q466" s="207"/>
      <c r="R466" s="207"/>
      <c r="S466" s="207"/>
      <c r="T466" s="207"/>
      <c r="U466" s="16"/>
      <c r="V466" s="805"/>
      <c r="W466" s="807"/>
      <c r="X466" s="208"/>
      <c r="Y466" s="44"/>
      <c r="Z466" s="44"/>
      <c r="AA466" s="593" t="s">
        <v>1364</v>
      </c>
      <c r="AB466" s="827" t="s">
        <v>1337</v>
      </c>
      <c r="AC466" s="827" t="s">
        <v>1378</v>
      </c>
      <c r="AD466" s="102" t="s">
        <v>1366</v>
      </c>
      <c r="AE466" s="104" t="s">
        <v>500</v>
      </c>
      <c r="AF466" s="1238">
        <v>4</v>
      </c>
      <c r="AG466" s="575">
        <v>18028</v>
      </c>
      <c r="AH466" s="795">
        <f>+AG466*AF466</f>
        <v>72112</v>
      </c>
      <c r="AI466" s="887" t="s">
        <v>1370</v>
      </c>
      <c r="AJ466" s="827" t="s">
        <v>1337</v>
      </c>
      <c r="AK466" s="1194">
        <v>2</v>
      </c>
      <c r="AL466" s="575">
        <v>24760</v>
      </c>
      <c r="AM466" s="795">
        <f>+AL466*AK466</f>
        <v>49520</v>
      </c>
    </row>
    <row r="467" spans="1:39" s="45" customFormat="1" ht="15.75" thickBot="1">
      <c r="A467" s="185"/>
      <c r="B467" s="937">
        <v>13.5</v>
      </c>
      <c r="C467" s="978" t="s">
        <v>1367</v>
      </c>
      <c r="D467" s="979"/>
      <c r="E467" s="979"/>
      <c r="F467" s="979"/>
      <c r="G467" s="980"/>
      <c r="H467" s="208"/>
      <c r="I467" s="899"/>
      <c r="J467" s="208"/>
      <c r="K467" s="208"/>
      <c r="L467" s="208"/>
      <c r="M467" s="900"/>
      <c r="N467" s="901"/>
      <c r="O467" s="207"/>
      <c r="P467" s="207"/>
      <c r="Q467" s="207"/>
      <c r="R467" s="207"/>
      <c r="S467" s="207"/>
      <c r="T467" s="207"/>
      <c r="U467" s="16"/>
      <c r="V467" s="805"/>
      <c r="W467" s="807"/>
      <c r="X467" s="208"/>
      <c r="Y467" s="44"/>
      <c r="Z467" s="44"/>
      <c r="AA467" s="593" t="s">
        <v>1365</v>
      </c>
      <c r="AB467" s="827" t="s">
        <v>1337</v>
      </c>
      <c r="AC467" s="827" t="s">
        <v>1379</v>
      </c>
      <c r="AD467" s="1060" t="s">
        <v>1367</v>
      </c>
      <c r="AE467" s="1061"/>
      <c r="AF467" s="1221"/>
      <c r="AG467" s="1061"/>
      <c r="AH467" s="1113"/>
      <c r="AI467" s="1060" t="s">
        <v>1372</v>
      </c>
      <c r="AJ467" s="1061"/>
      <c r="AK467" s="1194">
        <v>2</v>
      </c>
      <c r="AL467" s="575">
        <v>29900</v>
      </c>
      <c r="AM467" s="795">
        <f>+AL467*AK467</f>
        <v>59800</v>
      </c>
    </row>
    <row r="468" spans="1:39" s="45" customFormat="1" ht="15.75" thickBot="1">
      <c r="A468" s="185"/>
      <c r="B468" s="827" t="s">
        <v>1378</v>
      </c>
      <c r="C468" s="593" t="s">
        <v>1364</v>
      </c>
      <c r="D468" s="827" t="s">
        <v>1337</v>
      </c>
      <c r="E468" s="594">
        <v>2</v>
      </c>
      <c r="F468" s="575">
        <v>8658</v>
      </c>
      <c r="G468" s="795">
        <f>+F468*E468</f>
        <v>17316</v>
      </c>
      <c r="H468" s="208"/>
      <c r="I468" s="899"/>
      <c r="J468" s="208"/>
      <c r="K468" s="208"/>
      <c r="L468" s="208"/>
      <c r="M468" s="900"/>
      <c r="N468" s="901"/>
      <c r="O468" s="207"/>
      <c r="P468" s="207"/>
      <c r="Q468" s="207"/>
      <c r="R468" s="207"/>
      <c r="S468" s="207"/>
      <c r="T468" s="207"/>
      <c r="U468" s="16"/>
      <c r="V468" s="805"/>
      <c r="W468" s="807"/>
      <c r="X468" s="208"/>
      <c r="Y468" s="44"/>
      <c r="Z468" s="44"/>
      <c r="AA468" s="593" t="s">
        <v>1366</v>
      </c>
      <c r="AB468" s="827" t="s">
        <v>1337</v>
      </c>
      <c r="AC468" s="827" t="s">
        <v>1380</v>
      </c>
      <c r="AD468" s="593" t="s">
        <v>1364</v>
      </c>
      <c r="AE468" s="827" t="s">
        <v>1337</v>
      </c>
      <c r="AF468" s="1223">
        <v>2</v>
      </c>
      <c r="AG468" s="575">
        <v>8658</v>
      </c>
      <c r="AH468" s="795">
        <f>+AG468*AF468</f>
        <v>17316</v>
      </c>
      <c r="AI468" s="102" t="s">
        <v>1365</v>
      </c>
      <c r="AJ468" s="104" t="s">
        <v>500</v>
      </c>
      <c r="AK468" s="1192"/>
      <c r="AL468" s="1061"/>
      <c r="AM468" s="1113"/>
    </row>
    <row r="469" spans="1:39" s="45" customFormat="1" ht="15.75" thickBot="1">
      <c r="A469" s="185"/>
      <c r="B469" s="827" t="s">
        <v>1379</v>
      </c>
      <c r="C469" s="593" t="s">
        <v>1365</v>
      </c>
      <c r="D469" s="827" t="s">
        <v>1337</v>
      </c>
      <c r="E469" s="594">
        <v>6</v>
      </c>
      <c r="F469" s="575">
        <v>5510</v>
      </c>
      <c r="G469" s="795">
        <f>+F469*E469</f>
        <v>33060</v>
      </c>
      <c r="H469" s="208"/>
      <c r="I469" s="899"/>
      <c r="J469" s="208"/>
      <c r="K469" s="208"/>
      <c r="L469" s="208"/>
      <c r="M469" s="900"/>
      <c r="N469" s="901"/>
      <c r="O469" s="207"/>
      <c r="P469" s="207"/>
      <c r="Q469" s="207"/>
      <c r="R469" s="207"/>
      <c r="S469" s="207"/>
      <c r="T469" s="207"/>
      <c r="U469" s="16"/>
      <c r="V469" s="805"/>
      <c r="W469" s="807"/>
      <c r="X469" s="208"/>
      <c r="Y469" s="44"/>
      <c r="Z469" s="44"/>
      <c r="AA469" s="1060" t="s">
        <v>1368</v>
      </c>
      <c r="AB469" s="1061"/>
      <c r="AC469" s="1128">
        <v>13.6</v>
      </c>
      <c r="AD469" s="593" t="s">
        <v>1365</v>
      </c>
      <c r="AE469" s="827" t="s">
        <v>1337</v>
      </c>
      <c r="AF469" s="1223">
        <v>6</v>
      </c>
      <c r="AG469" s="575">
        <v>5510</v>
      </c>
      <c r="AH469" s="795">
        <f>+AG469*AF469</f>
        <v>33060</v>
      </c>
      <c r="AI469" s="1074"/>
      <c r="AJ469" s="1075"/>
      <c r="AK469" s="1209">
        <v>3</v>
      </c>
      <c r="AL469" s="575">
        <v>10451</v>
      </c>
      <c r="AM469" s="792">
        <f>+AL469*AK469</f>
        <v>31353</v>
      </c>
    </row>
    <row r="470" spans="1:39" s="45" customFormat="1" ht="15.75" thickBot="1">
      <c r="A470" s="185"/>
      <c r="B470" s="827" t="s">
        <v>1380</v>
      </c>
      <c r="C470" s="593" t="s">
        <v>1366</v>
      </c>
      <c r="D470" s="827" t="s">
        <v>1337</v>
      </c>
      <c r="E470" s="594">
        <v>2</v>
      </c>
      <c r="F470" s="575">
        <v>2169</v>
      </c>
      <c r="G470" s="795">
        <f>+F470*E470</f>
        <v>4338</v>
      </c>
      <c r="H470" s="208"/>
      <c r="I470" s="899"/>
      <c r="J470" s="208"/>
      <c r="K470" s="208"/>
      <c r="L470" s="208"/>
      <c r="M470" s="900"/>
      <c r="N470" s="901"/>
      <c r="O470" s="207"/>
      <c r="P470" s="207"/>
      <c r="Q470" s="207"/>
      <c r="R470" s="207"/>
      <c r="S470" s="207"/>
      <c r="T470" s="207"/>
      <c r="U470" s="16"/>
      <c r="V470" s="805"/>
      <c r="W470" s="807"/>
      <c r="X470" s="208"/>
      <c r="Y470" s="44"/>
      <c r="Z470" s="44"/>
      <c r="AA470" s="593" t="s">
        <v>1365</v>
      </c>
      <c r="AB470" s="827" t="s">
        <v>1337</v>
      </c>
      <c r="AC470" s="592" t="s">
        <v>1381</v>
      </c>
      <c r="AD470" s="593" t="s">
        <v>1366</v>
      </c>
      <c r="AE470" s="827" t="s">
        <v>1337</v>
      </c>
      <c r="AF470" s="1223">
        <v>2</v>
      </c>
      <c r="AG470" s="575">
        <v>2169</v>
      </c>
      <c r="AH470" s="795">
        <f>+AG470*AF470</f>
        <v>4338</v>
      </c>
      <c r="AI470" s="1023"/>
      <c r="AJ470" s="821"/>
      <c r="AK470" s="1198"/>
      <c r="AL470" s="1181" t="s">
        <v>1404</v>
      </c>
      <c r="AM470" s="1126">
        <f>SUM(AM434:AM469)</f>
        <v>2656212</v>
      </c>
    </row>
    <row r="471" spans="1:39" s="45" customFormat="1" ht="15.75" thickBot="1">
      <c r="A471" s="185"/>
      <c r="B471" s="991">
        <v>13.6</v>
      </c>
      <c r="C471" s="978" t="s">
        <v>1368</v>
      </c>
      <c r="D471" s="979"/>
      <c r="E471" s="979"/>
      <c r="F471" s="979"/>
      <c r="G471" s="1002"/>
      <c r="H471" s="208"/>
      <c r="I471" s="899"/>
      <c r="J471" s="208"/>
      <c r="K471" s="208"/>
      <c r="L471" s="208"/>
      <c r="M471" s="900"/>
      <c r="N471" s="901"/>
      <c r="O471" s="207"/>
      <c r="P471" s="207"/>
      <c r="Q471" s="207"/>
      <c r="R471" s="207"/>
      <c r="S471" s="207"/>
      <c r="T471" s="207"/>
      <c r="U471" s="16"/>
      <c r="V471" s="805"/>
      <c r="W471" s="807"/>
      <c r="X471" s="208"/>
      <c r="Y471" s="44"/>
      <c r="Z471" s="44"/>
      <c r="AA471" s="593" t="s">
        <v>1366</v>
      </c>
      <c r="AB471" s="827" t="s">
        <v>1337</v>
      </c>
      <c r="AC471" s="592" t="s">
        <v>1382</v>
      </c>
      <c r="AD471" s="1060" t="s">
        <v>1368</v>
      </c>
      <c r="AE471" s="1061"/>
      <c r="AF471" s="1221"/>
      <c r="AG471" s="1061"/>
      <c r="AH471" s="1129"/>
      <c r="AI471" s="1060" t="s">
        <v>1408</v>
      </c>
      <c r="AJ471" s="1061"/>
      <c r="AK471" s="1195"/>
      <c r="AL471" s="826"/>
      <c r="AM471" s="1024"/>
    </row>
    <row r="472" spans="1:39" s="45" customFormat="1" ht="25.5">
      <c r="A472" s="185"/>
      <c r="B472" s="592" t="s">
        <v>1381</v>
      </c>
      <c r="C472" s="593" t="s">
        <v>1365</v>
      </c>
      <c r="D472" s="827" t="s">
        <v>1337</v>
      </c>
      <c r="E472" s="594">
        <v>3</v>
      </c>
      <c r="F472" s="575">
        <v>6465</v>
      </c>
      <c r="G472" s="795">
        <f>+F472*E472</f>
        <v>19395</v>
      </c>
      <c r="H472" s="208"/>
      <c r="I472" s="899"/>
      <c r="J472" s="208"/>
      <c r="K472" s="208"/>
      <c r="L472" s="208"/>
      <c r="M472" s="900"/>
      <c r="N472" s="901"/>
      <c r="O472" s="207"/>
      <c r="P472" s="207"/>
      <c r="Q472" s="207"/>
      <c r="R472" s="207"/>
      <c r="S472" s="207"/>
      <c r="T472" s="207"/>
      <c r="U472" s="16"/>
      <c r="V472" s="805"/>
      <c r="W472" s="807"/>
      <c r="X472" s="208"/>
      <c r="Y472" s="44"/>
      <c r="Z472" s="44"/>
      <c r="AA472" s="1060" t="s">
        <v>1369</v>
      </c>
      <c r="AB472" s="1061"/>
      <c r="AC472" s="1128">
        <v>13.7</v>
      </c>
      <c r="AD472" s="593" t="s">
        <v>1365</v>
      </c>
      <c r="AE472" s="827" t="s">
        <v>1337</v>
      </c>
      <c r="AF472" s="1223">
        <v>3</v>
      </c>
      <c r="AG472" s="575">
        <v>6465</v>
      </c>
      <c r="AH472" s="795">
        <f>+AG472*AF472</f>
        <v>19395</v>
      </c>
      <c r="AI472" s="86" t="s">
        <v>1400</v>
      </c>
      <c r="AJ472" s="87" t="s">
        <v>139</v>
      </c>
      <c r="AK472" s="1192"/>
      <c r="AL472" s="1061"/>
      <c r="AM472" s="1129"/>
    </row>
    <row r="473" spans="1:39" s="45" customFormat="1" ht="64.5" thickBot="1">
      <c r="A473" s="185"/>
      <c r="B473" s="592" t="s">
        <v>1382</v>
      </c>
      <c r="C473" s="593" t="s">
        <v>1366</v>
      </c>
      <c r="D473" s="827" t="s">
        <v>1337</v>
      </c>
      <c r="E473" s="594">
        <v>1</v>
      </c>
      <c r="F473" s="575">
        <v>4785</v>
      </c>
      <c r="G473" s="795">
        <f>+F473*E473</f>
        <v>4785</v>
      </c>
      <c r="H473" s="208"/>
      <c r="I473" s="899"/>
      <c r="J473" s="208"/>
      <c r="K473" s="208"/>
      <c r="L473" s="208"/>
      <c r="M473" s="900"/>
      <c r="N473" s="901"/>
      <c r="O473" s="207"/>
      <c r="P473" s="207"/>
      <c r="Q473" s="207"/>
      <c r="R473" s="207"/>
      <c r="S473" s="207"/>
      <c r="T473" s="207"/>
      <c r="U473" s="16"/>
      <c r="V473" s="805"/>
      <c r="W473" s="807"/>
      <c r="X473" s="208"/>
      <c r="Y473" s="44"/>
      <c r="Z473" s="44"/>
      <c r="AA473" s="887" t="s">
        <v>1371</v>
      </c>
      <c r="AB473" s="827" t="s">
        <v>1337</v>
      </c>
      <c r="AC473" s="827" t="s">
        <v>1383</v>
      </c>
      <c r="AD473" s="593" t="s">
        <v>1366</v>
      </c>
      <c r="AE473" s="827" t="s">
        <v>1337</v>
      </c>
      <c r="AF473" s="1223">
        <v>1</v>
      </c>
      <c r="AG473" s="575">
        <v>4785</v>
      </c>
      <c r="AH473" s="795">
        <f>+AG473*AF473</f>
        <v>4785</v>
      </c>
      <c r="AI473" s="102" t="s">
        <v>941</v>
      </c>
      <c r="AJ473" s="777" t="s">
        <v>139</v>
      </c>
      <c r="AK473" s="1210">
        <f>+(AK475+AK476+AK479+AK477+AK478+AK479)*0.7*1</f>
        <v>1163.3999999999999</v>
      </c>
      <c r="AL473" s="89">
        <v>2610</v>
      </c>
      <c r="AM473" s="795">
        <f>+AL473*AK473</f>
        <v>3036473.9999999995</v>
      </c>
    </row>
    <row r="474" spans="1:39" s="45" customFormat="1" ht="15.75" thickBot="1">
      <c r="A474" s="185"/>
      <c r="B474" s="992">
        <v>13.7</v>
      </c>
      <c r="C474" s="75" t="s">
        <v>1369</v>
      </c>
      <c r="D474" s="76"/>
      <c r="E474" s="76"/>
      <c r="F474" s="76"/>
      <c r="G474" s="126"/>
      <c r="H474" s="208"/>
      <c r="I474" s="899"/>
      <c r="J474" s="208"/>
      <c r="K474" s="208"/>
      <c r="L474" s="208"/>
      <c r="M474" s="900"/>
      <c r="N474" s="901"/>
      <c r="O474" s="207"/>
      <c r="P474" s="207"/>
      <c r="Q474" s="207"/>
      <c r="R474" s="207"/>
      <c r="S474" s="207"/>
      <c r="T474" s="207"/>
      <c r="U474" s="16"/>
      <c r="V474" s="805"/>
      <c r="W474" s="807"/>
      <c r="X474" s="208"/>
      <c r="Y474" s="44"/>
      <c r="Z474" s="44"/>
      <c r="AA474" s="887" t="s">
        <v>1370</v>
      </c>
      <c r="AB474" s="827" t="s">
        <v>1337</v>
      </c>
      <c r="AC474" s="827" t="s">
        <v>1384</v>
      </c>
      <c r="AD474" s="1060" t="s">
        <v>1369</v>
      </c>
      <c r="AE474" s="1061"/>
      <c r="AF474" s="1221"/>
      <c r="AG474" s="1061"/>
      <c r="AH474" s="1113"/>
      <c r="AI474" s="102" t="s">
        <v>1396</v>
      </c>
      <c r="AJ474" s="104" t="s">
        <v>500</v>
      </c>
      <c r="AK474" s="1201">
        <f>+AK473</f>
        <v>1163.3999999999999</v>
      </c>
      <c r="AL474" s="587">
        <v>10240</v>
      </c>
      <c r="AM474" s="587">
        <f>+AK474*AL474</f>
        <v>11913215.999999998</v>
      </c>
    </row>
    <row r="475" spans="1:39" s="45" customFormat="1">
      <c r="A475" s="185"/>
      <c r="B475" s="827" t="s">
        <v>1383</v>
      </c>
      <c r="C475" s="887" t="s">
        <v>1371</v>
      </c>
      <c r="D475" s="827" t="s">
        <v>1337</v>
      </c>
      <c r="E475" s="594">
        <v>2</v>
      </c>
      <c r="F475" s="575">
        <v>24760</v>
      </c>
      <c r="G475" s="795">
        <f>+F475*E475</f>
        <v>49520</v>
      </c>
      <c r="H475" s="208"/>
      <c r="I475" s="899"/>
      <c r="J475" s="208"/>
      <c r="K475" s="208"/>
      <c r="L475" s="208"/>
      <c r="M475" s="900"/>
      <c r="N475" s="901"/>
      <c r="O475" s="207"/>
      <c r="P475" s="207"/>
      <c r="Q475" s="207"/>
      <c r="R475" s="207"/>
      <c r="S475" s="207"/>
      <c r="T475" s="207"/>
      <c r="U475" s="16"/>
      <c r="V475" s="805"/>
      <c r="W475" s="807"/>
      <c r="X475" s="208"/>
      <c r="Y475" s="44"/>
      <c r="Z475" s="44"/>
      <c r="AA475" s="1060" t="s">
        <v>1372</v>
      </c>
      <c r="AB475" s="1061"/>
      <c r="AC475" s="1128">
        <v>13.8</v>
      </c>
      <c r="AD475" s="887" t="s">
        <v>1371</v>
      </c>
      <c r="AE475" s="827" t="s">
        <v>1337</v>
      </c>
      <c r="AF475" s="1223">
        <v>2</v>
      </c>
      <c r="AG475" s="575">
        <v>24760</v>
      </c>
      <c r="AH475" s="795">
        <f>+AG475*AF475</f>
        <v>49520</v>
      </c>
      <c r="AI475" s="102" t="s">
        <v>1397</v>
      </c>
      <c r="AJ475" s="104" t="s">
        <v>500</v>
      </c>
      <c r="AK475" s="1209">
        <v>50</v>
      </c>
      <c r="AL475" s="575">
        <v>5021</v>
      </c>
      <c r="AM475" s="792">
        <f>+AL475*AK475</f>
        <v>251050</v>
      </c>
    </row>
    <row r="476" spans="1:39" s="45" customFormat="1" ht="15.75" thickBot="1">
      <c r="A476" s="185"/>
      <c r="B476" s="827" t="s">
        <v>1384</v>
      </c>
      <c r="C476" s="887" t="s">
        <v>1370</v>
      </c>
      <c r="D476" s="827" t="s">
        <v>1337</v>
      </c>
      <c r="E476" s="594">
        <v>2</v>
      </c>
      <c r="F476" s="575">
        <v>29900</v>
      </c>
      <c r="G476" s="795">
        <f>+F476*E476</f>
        <v>59800</v>
      </c>
      <c r="H476" s="208"/>
      <c r="I476" s="899"/>
      <c r="J476" s="208"/>
      <c r="K476" s="208"/>
      <c r="L476" s="208"/>
      <c r="M476" s="900"/>
      <c r="N476" s="901"/>
      <c r="O476" s="207"/>
      <c r="P476" s="207"/>
      <c r="Q476" s="207"/>
      <c r="R476" s="207"/>
      <c r="S476" s="207"/>
      <c r="T476" s="207"/>
      <c r="U476" s="16"/>
      <c r="V476" s="805"/>
      <c r="W476" s="807"/>
      <c r="X476" s="208"/>
      <c r="Y476" s="44"/>
      <c r="Z476" s="44"/>
      <c r="AA476" s="102" t="s">
        <v>1365</v>
      </c>
      <c r="AB476" s="104" t="s">
        <v>500</v>
      </c>
      <c r="AC476" s="101" t="s">
        <v>1385</v>
      </c>
      <c r="AD476" s="887" t="s">
        <v>1370</v>
      </c>
      <c r="AE476" s="827" t="s">
        <v>1337</v>
      </c>
      <c r="AF476" s="1223">
        <v>2</v>
      </c>
      <c r="AG476" s="575">
        <v>29900</v>
      </c>
      <c r="AH476" s="795">
        <f>+AG476*AF476</f>
        <v>59800</v>
      </c>
      <c r="AI476" s="102" t="s">
        <v>1402</v>
      </c>
      <c r="AJ476" s="104" t="s">
        <v>500</v>
      </c>
      <c r="AK476" s="1209">
        <f>+'[7]PRESUPUESTO-SUM'!AK28</f>
        <v>0</v>
      </c>
      <c r="AL476" s="575">
        <v>5021</v>
      </c>
      <c r="AM476" s="792">
        <f>+AL476*AK476</f>
        <v>0</v>
      </c>
    </row>
    <row r="477" spans="1:39" s="45" customFormat="1" ht="15.75" thickBot="1">
      <c r="A477" s="185"/>
      <c r="B477" s="992">
        <v>13.8</v>
      </c>
      <c r="C477" s="75" t="s">
        <v>1372</v>
      </c>
      <c r="D477" s="76"/>
      <c r="E477" s="76"/>
      <c r="F477" s="76"/>
      <c r="G477" s="126"/>
      <c r="H477" s="208"/>
      <c r="I477" s="899"/>
      <c r="J477" s="208"/>
      <c r="K477" s="208"/>
      <c r="L477" s="208"/>
      <c r="M477" s="900"/>
      <c r="N477" s="901"/>
      <c r="O477" s="207"/>
      <c r="P477" s="207"/>
      <c r="Q477" s="207"/>
      <c r="R477" s="207"/>
      <c r="S477" s="207"/>
      <c r="T477" s="207"/>
      <c r="U477" s="16"/>
      <c r="V477" s="805"/>
      <c r="W477" s="807"/>
      <c r="X477" s="208"/>
      <c r="Y477" s="44"/>
      <c r="Z477" s="44"/>
      <c r="AA477" s="1074"/>
      <c r="AB477" s="1075"/>
      <c r="AC477" s="1124"/>
      <c r="AD477" s="1060" t="s">
        <v>1372</v>
      </c>
      <c r="AE477" s="1061"/>
      <c r="AF477" s="1221"/>
      <c r="AG477" s="1061"/>
      <c r="AH477" s="1113"/>
      <c r="AI477" s="102" t="s">
        <v>1434</v>
      </c>
      <c r="AJ477" s="104" t="s">
        <v>500</v>
      </c>
      <c r="AK477" s="1209">
        <v>220</v>
      </c>
      <c r="AL477" s="575">
        <v>3632</v>
      </c>
      <c r="AM477" s="792">
        <f>+AL477*AK477</f>
        <v>799040</v>
      </c>
    </row>
    <row r="478" spans="1:39" s="45" customFormat="1">
      <c r="A478" s="185"/>
      <c r="B478" s="101" t="s">
        <v>1385</v>
      </c>
      <c r="C478" s="102" t="s">
        <v>1365</v>
      </c>
      <c r="D478" s="104" t="s">
        <v>500</v>
      </c>
      <c r="E478" s="103">
        <v>3</v>
      </c>
      <c r="F478" s="575">
        <v>10451</v>
      </c>
      <c r="G478" s="792">
        <f>+F478*E478</f>
        <v>31353</v>
      </c>
      <c r="H478" s="208"/>
      <c r="I478" s="899"/>
      <c r="J478" s="208"/>
      <c r="K478" s="208"/>
      <c r="L478" s="208"/>
      <c r="M478" s="900"/>
      <c r="N478" s="901"/>
      <c r="O478" s="207"/>
      <c r="P478" s="207"/>
      <c r="Q478" s="207"/>
      <c r="R478" s="207"/>
      <c r="S478" s="207"/>
      <c r="T478" s="207"/>
      <c r="U478" s="16"/>
      <c r="V478" s="805"/>
      <c r="W478" s="807"/>
      <c r="X478" s="208"/>
      <c r="Y478" s="44"/>
      <c r="Z478" s="44"/>
      <c r="AA478" s="1023"/>
      <c r="AB478" s="821"/>
      <c r="AC478" s="16"/>
      <c r="AD478" s="102" t="s">
        <v>1365</v>
      </c>
      <c r="AE478" s="104" t="s">
        <v>500</v>
      </c>
      <c r="AF478" s="1238">
        <v>3</v>
      </c>
      <c r="AG478" s="575">
        <v>10451</v>
      </c>
      <c r="AH478" s="792">
        <f>+AG478*AF478</f>
        <v>31353</v>
      </c>
      <c r="AI478" s="1042" t="s">
        <v>1406</v>
      </c>
      <c r="AJ478" s="104" t="s">
        <v>500</v>
      </c>
      <c r="AK478" s="1209">
        <v>546</v>
      </c>
      <c r="AL478" s="575">
        <v>3512</v>
      </c>
      <c r="AM478" s="792">
        <f>+AL478*AK478</f>
        <v>1917552</v>
      </c>
    </row>
    <row r="479" spans="1:39" s="45" customFormat="1" ht="15.75" thickBot="1">
      <c r="A479" s="185"/>
      <c r="B479" s="1025"/>
      <c r="C479" s="871"/>
      <c r="D479" s="873"/>
      <c r="E479" s="874"/>
      <c r="F479" s="1180" t="s">
        <v>1404</v>
      </c>
      <c r="G479" s="1004">
        <f>SUM(G443:G478)</f>
        <v>2656212</v>
      </c>
      <c r="H479" s="208"/>
      <c r="I479" s="899"/>
      <c r="J479" s="208"/>
      <c r="K479" s="208"/>
      <c r="L479" s="208"/>
      <c r="M479" s="900"/>
      <c r="N479" s="901"/>
      <c r="O479" s="207"/>
      <c r="P479" s="207"/>
      <c r="Q479" s="207"/>
      <c r="R479" s="207"/>
      <c r="S479" s="207"/>
      <c r="T479" s="207"/>
      <c r="U479" s="16"/>
      <c r="V479" s="805"/>
      <c r="W479" s="807"/>
      <c r="X479" s="208"/>
      <c r="Y479" s="44"/>
      <c r="Z479" s="44"/>
      <c r="AA479" s="977"/>
      <c r="AB479" s="996"/>
      <c r="AC479" s="974"/>
      <c r="AD479" s="1074"/>
      <c r="AE479" s="1075"/>
      <c r="AF479" s="1227"/>
      <c r="AG479" s="1181" t="s">
        <v>1404</v>
      </c>
      <c r="AH479" s="1126">
        <f>SUM(AH443:AH478)</f>
        <v>2656212</v>
      </c>
      <c r="AI479" s="1074"/>
      <c r="AJ479" s="1075"/>
      <c r="AK479" s="1209">
        <v>423</v>
      </c>
      <c r="AL479" s="575">
        <v>3512</v>
      </c>
      <c r="AM479" s="792">
        <f>+AL479*AK479</f>
        <v>1485576</v>
      </c>
    </row>
    <row r="480" spans="1:39" s="45" customFormat="1" ht="15.75" thickBot="1">
      <c r="A480" s="185"/>
      <c r="B480" s="16"/>
      <c r="C480" s="1023"/>
      <c r="D480" s="821"/>
      <c r="E480" s="825"/>
      <c r="F480" s="826"/>
      <c r="G480" s="1024"/>
      <c r="H480" s="208"/>
      <c r="I480" s="899"/>
      <c r="J480" s="208"/>
      <c r="K480" s="208"/>
      <c r="L480" s="208"/>
      <c r="M480" s="900"/>
      <c r="N480" s="901"/>
      <c r="O480" s="207"/>
      <c r="P480" s="207"/>
      <c r="Q480" s="207"/>
      <c r="R480" s="207"/>
      <c r="S480" s="207"/>
      <c r="T480" s="207"/>
      <c r="U480" s="16"/>
      <c r="V480" s="805"/>
      <c r="W480" s="807"/>
      <c r="X480" s="208"/>
      <c r="Y480" s="44"/>
      <c r="Z480" s="44"/>
      <c r="AA480" s="1060" t="s">
        <v>1389</v>
      </c>
      <c r="AB480" s="1061"/>
      <c r="AC480" s="1111"/>
      <c r="AD480" s="1023"/>
      <c r="AE480" s="821"/>
      <c r="AF480" s="1224"/>
      <c r="AG480" s="826"/>
      <c r="AH480" s="1024"/>
      <c r="AI480" s="887"/>
      <c r="AJ480" s="827"/>
      <c r="AK480" s="1198"/>
      <c r="AL480" s="1181" t="s">
        <v>1398</v>
      </c>
      <c r="AM480" s="1126">
        <f>SUM(AM473:AM479)</f>
        <v>19402908</v>
      </c>
    </row>
    <row r="481" spans="1:39" s="45" customFormat="1" ht="63.75">
      <c r="A481" s="185"/>
      <c r="B481" s="74"/>
      <c r="C481" s="75" t="s">
        <v>1408</v>
      </c>
      <c r="D481" s="76"/>
      <c r="E481" s="76"/>
      <c r="F481" s="76"/>
      <c r="G481" s="77"/>
      <c r="H481" s="208"/>
      <c r="I481" s="899"/>
      <c r="J481" s="208"/>
      <c r="K481" s="208"/>
      <c r="L481" s="208"/>
      <c r="M481" s="900"/>
      <c r="N481" s="901"/>
      <c r="O481" s="207"/>
      <c r="P481" s="207"/>
      <c r="Q481" s="207"/>
      <c r="R481" s="207"/>
      <c r="S481" s="207"/>
      <c r="T481" s="207"/>
      <c r="U481" s="16"/>
      <c r="V481" s="805"/>
      <c r="W481" s="807"/>
      <c r="X481" s="208"/>
      <c r="Y481" s="44"/>
      <c r="Z481" s="44"/>
      <c r="AA481" s="102" t="s">
        <v>941</v>
      </c>
      <c r="AB481" s="777" t="s">
        <v>139</v>
      </c>
      <c r="AC481" s="771"/>
      <c r="AD481" s="1060" t="s">
        <v>1408</v>
      </c>
      <c r="AE481" s="1061"/>
      <c r="AF481" s="1221"/>
      <c r="AG481" s="1061"/>
      <c r="AH481" s="1129"/>
      <c r="AI481" s="1132"/>
      <c r="AJ481" s="1133"/>
      <c r="AK481" s="1194"/>
      <c r="AL481" s="575"/>
      <c r="AM481" s="792"/>
    </row>
    <row r="482" spans="1:39" s="45" customFormat="1">
      <c r="A482" s="185"/>
      <c r="B482" s="85"/>
      <c r="C482" s="86" t="s">
        <v>1400</v>
      </c>
      <c r="D482" s="87" t="s">
        <v>139</v>
      </c>
      <c r="E482" s="1045" t="e">
        <f>+(E484+E485+E488+E486+E487+E488)*0.7*1</f>
        <v>#REF!</v>
      </c>
      <c r="F482" s="89">
        <v>2610</v>
      </c>
      <c r="G482" s="795" t="e">
        <f>+F482*E482</f>
        <v>#REF!</v>
      </c>
      <c r="H482" s="208"/>
      <c r="I482" s="899"/>
      <c r="J482" s="208"/>
      <c r="K482" s="208"/>
      <c r="L482" s="208"/>
      <c r="M482" s="900"/>
      <c r="N482" s="901"/>
      <c r="O482" s="207"/>
      <c r="P482" s="207"/>
      <c r="Q482" s="207"/>
      <c r="R482" s="207"/>
      <c r="S482" s="207"/>
      <c r="T482" s="207"/>
      <c r="U482" s="16"/>
      <c r="V482" s="805"/>
      <c r="W482" s="807"/>
      <c r="X482" s="208"/>
      <c r="Y482" s="44"/>
      <c r="Z482" s="44"/>
      <c r="AA482" s="102" t="s">
        <v>1396</v>
      </c>
      <c r="AB482" s="104" t="s">
        <v>500</v>
      </c>
      <c r="AC482" s="101"/>
      <c r="AD482" s="86" t="s">
        <v>1400</v>
      </c>
      <c r="AE482" s="87" t="s">
        <v>139</v>
      </c>
      <c r="AF482" s="1239">
        <f>+(AF484+AF485+AF488+AF486+AF487+AF488)*0.7*1</f>
        <v>1163.3999999999999</v>
      </c>
      <c r="AG482" s="89">
        <v>2610</v>
      </c>
      <c r="AH482" s="795">
        <f>+AG482*AF482</f>
        <v>3036473.9999999995</v>
      </c>
      <c r="AI482" s="157"/>
      <c r="AK482" s="1211"/>
      <c r="AL482" s="1134" t="s">
        <v>94</v>
      </c>
      <c r="AM482" s="1135" t="e">
        <f>+AM480+AM470+AM430+AM413+#REF!+AM281+AM254+AM204+AM169+AM129+AM85+AM42+AM30</f>
        <v>#REF!</v>
      </c>
    </row>
    <row r="483" spans="1:39" s="45" customFormat="1" ht="45">
      <c r="A483" s="185"/>
      <c r="B483" s="771"/>
      <c r="C483" s="102" t="s">
        <v>941</v>
      </c>
      <c r="D483" s="777" t="s">
        <v>139</v>
      </c>
      <c r="E483" s="587" t="e">
        <f>+E482</f>
        <v>#REF!</v>
      </c>
      <c r="F483" s="587">
        <v>10240</v>
      </c>
      <c r="G483" s="587" t="e">
        <f t="shared" ref="G483" si="99">+E483*F483</f>
        <v>#REF!</v>
      </c>
      <c r="H483" s="208"/>
      <c r="I483" s="899"/>
      <c r="J483" s="208"/>
      <c r="K483" s="208"/>
      <c r="L483" s="208"/>
      <c r="M483" s="900"/>
      <c r="N483" s="901"/>
      <c r="O483" s="207"/>
      <c r="P483" s="207"/>
      <c r="Q483" s="207"/>
      <c r="R483" s="207"/>
      <c r="S483" s="207"/>
      <c r="T483" s="207"/>
      <c r="U483" s="16"/>
      <c r="V483" s="805"/>
      <c r="W483" s="807"/>
      <c r="X483" s="575">
        <v>98470</v>
      </c>
      <c r="Y483" s="960">
        <v>5021</v>
      </c>
      <c r="Z483" s="960">
        <f>+X483-Y483</f>
        <v>93449</v>
      </c>
      <c r="AA483" s="102" t="s">
        <v>1397</v>
      </c>
      <c r="AB483" s="104" t="s">
        <v>500</v>
      </c>
      <c r="AC483" s="101"/>
      <c r="AD483" s="102" t="s">
        <v>941</v>
      </c>
      <c r="AE483" s="777" t="s">
        <v>139</v>
      </c>
      <c r="AF483" s="1230">
        <f>+AF482</f>
        <v>1163.3999999999999</v>
      </c>
      <c r="AG483" s="587">
        <v>10240</v>
      </c>
      <c r="AH483" s="587">
        <f>+AF483*AG483</f>
        <v>11913215.999999998</v>
      </c>
      <c r="AI483" s="1136" t="s">
        <v>96</v>
      </c>
      <c r="AJ483" s="1137"/>
      <c r="AK483" s="1191"/>
      <c r="AM483" s="796"/>
    </row>
    <row r="484" spans="1:39" s="45" customFormat="1">
      <c r="A484" s="185"/>
      <c r="B484" s="101"/>
      <c r="C484" s="102" t="s">
        <v>1396</v>
      </c>
      <c r="D484" s="104" t="s">
        <v>500</v>
      </c>
      <c r="E484" s="103">
        <v>50</v>
      </c>
      <c r="F484" s="575">
        <v>5021</v>
      </c>
      <c r="G484" s="792">
        <f>+F484*E484</f>
        <v>251050</v>
      </c>
      <c r="H484" s="208"/>
      <c r="I484" s="899"/>
      <c r="J484" s="208"/>
      <c r="K484" s="208"/>
      <c r="L484" s="208"/>
      <c r="M484" s="900"/>
      <c r="N484" s="901"/>
      <c r="O484" s="207"/>
      <c r="P484" s="207"/>
      <c r="Q484" s="207"/>
      <c r="R484" s="207"/>
      <c r="S484" s="207"/>
      <c r="T484" s="207"/>
      <c r="U484" s="16"/>
      <c r="V484" s="805"/>
      <c r="W484" s="807"/>
      <c r="X484" s="575">
        <v>69240</v>
      </c>
      <c r="Y484" s="960">
        <v>5021</v>
      </c>
      <c r="Z484" s="960">
        <f t="shared" ref="Z484:Z485" si="100">+X484-Y484</f>
        <v>64219</v>
      </c>
      <c r="AA484" s="102" t="s">
        <v>1402</v>
      </c>
      <c r="AB484" s="104" t="s">
        <v>500</v>
      </c>
      <c r="AC484" s="101"/>
      <c r="AD484" s="102" t="s">
        <v>1396</v>
      </c>
      <c r="AE484" s="104" t="s">
        <v>500</v>
      </c>
      <c r="AF484" s="1238">
        <v>50</v>
      </c>
      <c r="AG484" s="575">
        <v>5021</v>
      </c>
      <c r="AH484" s="792">
        <f>+AG484*AF484</f>
        <v>251050</v>
      </c>
      <c r="AI484" s="170"/>
      <c r="AJ484" s="171"/>
      <c r="AK484" s="1212"/>
      <c r="AL484" s="1139"/>
      <c r="AM484" s="1140"/>
    </row>
    <row r="485" spans="1:39" s="45" customFormat="1">
      <c r="A485" s="185"/>
      <c r="B485" s="101"/>
      <c r="C485" s="102" t="s">
        <v>1397</v>
      </c>
      <c r="D485" s="104" t="s">
        <v>500</v>
      </c>
      <c r="E485" s="103" t="e">
        <f>+#REF!</f>
        <v>#REF!</v>
      </c>
      <c r="F485" s="575">
        <v>5021</v>
      </c>
      <c r="G485" s="792" t="e">
        <f>+F485*E485</f>
        <v>#REF!</v>
      </c>
      <c r="H485" s="208"/>
      <c r="I485" s="899"/>
      <c r="J485" s="208"/>
      <c r="K485" s="208"/>
      <c r="L485" s="208"/>
      <c r="M485" s="900"/>
      <c r="N485" s="901"/>
      <c r="O485" s="207"/>
      <c r="P485" s="207"/>
      <c r="Q485" s="207"/>
      <c r="R485" s="207"/>
      <c r="S485" s="207"/>
      <c r="T485" s="207"/>
      <c r="U485" s="16"/>
      <c r="V485" s="805"/>
      <c r="W485" s="807"/>
      <c r="X485" s="575">
        <v>42070</v>
      </c>
      <c r="Y485" s="960">
        <v>3632</v>
      </c>
      <c r="Z485" s="960">
        <f t="shared" si="100"/>
        <v>38438</v>
      </c>
      <c r="AA485" s="102" t="s">
        <v>1434</v>
      </c>
      <c r="AB485" s="104" t="s">
        <v>500</v>
      </c>
      <c r="AC485" s="101"/>
      <c r="AD485" s="102" t="s">
        <v>1397</v>
      </c>
      <c r="AE485" s="104" t="s">
        <v>500</v>
      </c>
      <c r="AF485" s="1238">
        <f>+'[8]PRESUPUESTO-SUM'!AF28</f>
        <v>0</v>
      </c>
      <c r="AG485" s="575">
        <v>5021</v>
      </c>
      <c r="AH485" s="792">
        <f>+AG485*AF485</f>
        <v>0</v>
      </c>
      <c r="AI485" s="177"/>
      <c r="AJ485" s="178"/>
      <c r="AK485" s="1213"/>
      <c r="AL485" s="172" t="s">
        <v>98</v>
      </c>
      <c r="AM485" s="799" t="e">
        <f>+AM482</f>
        <v>#REF!</v>
      </c>
    </row>
    <row r="486" spans="1:39" s="45" customFormat="1">
      <c r="A486" s="185"/>
      <c r="B486" s="101"/>
      <c r="C486" s="102" t="s">
        <v>1402</v>
      </c>
      <c r="D486" s="104" t="s">
        <v>500</v>
      </c>
      <c r="E486" s="103">
        <v>220</v>
      </c>
      <c r="F486" s="575">
        <v>3632</v>
      </c>
      <c r="G486" s="792">
        <f t="shared" ref="G486:G488" si="101">+F486*E486</f>
        <v>799040</v>
      </c>
      <c r="H486" s="208"/>
      <c r="I486" s="899"/>
      <c r="J486" s="208"/>
      <c r="K486" s="208"/>
      <c r="L486" s="208"/>
      <c r="M486" s="900"/>
      <c r="N486" s="901"/>
      <c r="O486" s="207"/>
      <c r="P486" s="207"/>
      <c r="Q486" s="207"/>
      <c r="R486" s="207"/>
      <c r="S486" s="207"/>
      <c r="T486" s="207"/>
      <c r="U486" s="16"/>
      <c r="V486" s="805"/>
      <c r="W486" s="807"/>
      <c r="X486" s="208">
        <v>14720</v>
      </c>
      <c r="Y486" s="44">
        <v>3514</v>
      </c>
      <c r="Z486" s="1031">
        <f>+X486-Y486</f>
        <v>11206</v>
      </c>
      <c r="AA486" s="1042" t="s">
        <v>1406</v>
      </c>
      <c r="AB486" s="104" t="s">
        <v>500</v>
      </c>
      <c r="AC486" s="998"/>
      <c r="AD486" s="102" t="s">
        <v>1402</v>
      </c>
      <c r="AE486" s="104" t="s">
        <v>500</v>
      </c>
      <c r="AF486" s="1238">
        <v>220</v>
      </c>
      <c r="AG486" s="575">
        <v>3632</v>
      </c>
      <c r="AH486" s="792">
        <f>+AG486*AF486</f>
        <v>799040</v>
      </c>
      <c r="AI486" s="1141"/>
      <c r="AJ486" s="1142"/>
      <c r="AK486" s="1214" t="s">
        <v>100</v>
      </c>
      <c r="AL486" s="180">
        <v>0.17499999999999999</v>
      </c>
      <c r="AM486" s="800" t="e">
        <f>+AM485*AL486</f>
        <v>#REF!</v>
      </c>
    </row>
    <row r="487" spans="1:39" s="45" customFormat="1" ht="15.75" thickBot="1">
      <c r="A487" s="185"/>
      <c r="B487" s="101"/>
      <c r="C487" s="102" t="s">
        <v>1434</v>
      </c>
      <c r="D487" s="104" t="s">
        <v>500</v>
      </c>
      <c r="E487" s="103">
        <v>546</v>
      </c>
      <c r="F487" s="575">
        <v>3512</v>
      </c>
      <c r="G487" s="792">
        <f t="shared" si="101"/>
        <v>1917552</v>
      </c>
      <c r="H487" s="208"/>
      <c r="I487" s="899"/>
      <c r="J487" s="208"/>
      <c r="K487" s="208"/>
      <c r="L487" s="208"/>
      <c r="M487" s="900"/>
      <c r="N487" s="901"/>
      <c r="O487" s="207"/>
      <c r="P487" s="207"/>
      <c r="Q487" s="207"/>
      <c r="R487" s="207"/>
      <c r="S487" s="207"/>
      <c r="T487" s="207"/>
      <c r="U487" s="16"/>
      <c r="V487" s="805"/>
      <c r="W487" s="807"/>
      <c r="X487" s="208"/>
      <c r="Y487" s="44"/>
      <c r="Z487" s="44"/>
      <c r="AA487" s="44"/>
      <c r="AB487" s="44">
        <f>304+242</f>
        <v>546</v>
      </c>
      <c r="AC487" s="1119"/>
      <c r="AD487" s="102" t="s">
        <v>1434</v>
      </c>
      <c r="AE487" s="104" t="s">
        <v>500</v>
      </c>
      <c r="AF487" s="1238">
        <v>546</v>
      </c>
      <c r="AG487" s="575">
        <v>3512</v>
      </c>
      <c r="AH487" s="792">
        <f>+AG487*AF487</f>
        <v>1917552</v>
      </c>
      <c r="AI487" s="1141"/>
      <c r="AJ487" s="1142"/>
      <c r="AK487" s="1215" t="s">
        <v>102</v>
      </c>
      <c r="AL487" s="1144">
        <v>8.5000000000000006E-2</v>
      </c>
      <c r="AM487" s="801" t="e">
        <f>+AM485*AL487</f>
        <v>#REF!</v>
      </c>
    </row>
    <row r="488" spans="1:39" s="45" customFormat="1">
      <c r="A488" s="185"/>
      <c r="B488" s="998"/>
      <c r="C488" s="1042" t="s">
        <v>1406</v>
      </c>
      <c r="D488" s="104" t="s">
        <v>500</v>
      </c>
      <c r="E488" s="103">
        <v>423</v>
      </c>
      <c r="F488" s="575">
        <v>3512</v>
      </c>
      <c r="G488" s="792">
        <f t="shared" si="101"/>
        <v>1485576</v>
      </c>
      <c r="H488" s="208"/>
      <c r="I488" s="899"/>
      <c r="J488" s="208"/>
      <c r="K488" s="208"/>
      <c r="L488" s="208"/>
      <c r="M488" s="900"/>
      <c r="N488" s="901"/>
      <c r="O488" s="207"/>
      <c r="P488" s="207"/>
      <c r="Q488" s="207"/>
      <c r="R488" s="207"/>
      <c r="S488" s="207"/>
      <c r="T488" s="207"/>
      <c r="U488" s="16"/>
      <c r="V488" s="805"/>
      <c r="W488" s="807"/>
      <c r="X488" s="208"/>
      <c r="Y488" s="44"/>
      <c r="Z488" s="44"/>
      <c r="AA488" s="44"/>
      <c r="AB488" s="44"/>
      <c r="AC488" s="827"/>
      <c r="AD488" s="1042" t="s">
        <v>1406</v>
      </c>
      <c r="AE488" s="104" t="s">
        <v>500</v>
      </c>
      <c r="AF488" s="1238">
        <v>423</v>
      </c>
      <c r="AG488" s="575">
        <v>3512</v>
      </c>
      <c r="AH488" s="792">
        <f>+AG488*AF488</f>
        <v>1485576</v>
      </c>
      <c r="AI488" s="191"/>
      <c r="AJ488" s="1145"/>
      <c r="AK488" s="1215" t="s">
        <v>104</v>
      </c>
      <c r="AL488" s="1144">
        <v>0.05</v>
      </c>
      <c r="AM488" s="801" t="e">
        <f>+AM485*AL488</f>
        <v>#REF!</v>
      </c>
    </row>
    <row r="489" spans="1:39" s="45" customFormat="1" ht="15.75" thickBot="1">
      <c r="A489" s="185"/>
      <c r="B489" s="876"/>
      <c r="C489" s="871"/>
      <c r="D489" s="873"/>
      <c r="E489" s="874"/>
      <c r="F489" s="1180" t="s">
        <v>1398</v>
      </c>
      <c r="G489" s="1004" t="e">
        <f>SUM(G482:G488)</f>
        <v>#REF!</v>
      </c>
      <c r="H489" s="208"/>
      <c r="I489" s="899"/>
      <c r="J489" s="208"/>
      <c r="K489" s="208"/>
      <c r="L489" s="208"/>
      <c r="M489" s="900"/>
      <c r="N489" s="901"/>
      <c r="O489" s="207"/>
      <c r="P489" s="207"/>
      <c r="Q489" s="207"/>
      <c r="R489" s="207"/>
      <c r="S489" s="207"/>
      <c r="T489" s="207"/>
      <c r="U489" s="16"/>
      <c r="V489" s="805"/>
      <c r="W489" s="807"/>
      <c r="X489" s="208"/>
      <c r="Y489" s="44"/>
      <c r="Z489" s="44"/>
      <c r="AA489" s="44"/>
      <c r="AB489" s="44"/>
      <c r="AC489" s="38"/>
      <c r="AD489" s="1074"/>
      <c r="AE489" s="1075"/>
      <c r="AF489" s="1227"/>
      <c r="AG489" s="1181" t="s">
        <v>1398</v>
      </c>
      <c r="AH489" s="1126">
        <f>SUM(AH482:AH488)</f>
        <v>19402908</v>
      </c>
      <c r="AI489" s="191"/>
      <c r="AJ489" s="1145"/>
      <c r="AK489" s="1216" t="s">
        <v>105</v>
      </c>
      <c r="AL489" s="194">
        <f>+AL488+AL487+AL486</f>
        <v>0.31</v>
      </c>
      <c r="AM489" s="802" t="e">
        <f>+AM486+AM487+AM488</f>
        <v>#REF!</v>
      </c>
    </row>
    <row r="490" spans="1:39" s="45" customFormat="1">
      <c r="A490" s="185"/>
      <c r="B490" s="827"/>
      <c r="C490" s="887"/>
      <c r="D490" s="827"/>
      <c r="E490" s="594"/>
      <c r="F490" s="575"/>
      <c r="G490" s="792"/>
      <c r="H490" s="208"/>
      <c r="I490" s="899"/>
      <c r="J490" s="208"/>
      <c r="K490" s="208"/>
      <c r="L490" s="208"/>
      <c r="M490" s="900"/>
      <c r="N490" s="901"/>
      <c r="O490" s="207"/>
      <c r="P490" s="207"/>
      <c r="Q490" s="207"/>
      <c r="R490" s="207"/>
      <c r="S490" s="207"/>
      <c r="T490" s="207"/>
      <c r="U490" s="16"/>
      <c r="V490" s="805"/>
      <c r="W490" s="807"/>
      <c r="X490" s="208"/>
      <c r="Y490" s="44"/>
      <c r="Z490" s="44"/>
      <c r="AA490" s="44"/>
      <c r="AB490" s="44"/>
      <c r="AC490" s="38"/>
      <c r="AD490" s="887"/>
      <c r="AE490" s="827"/>
      <c r="AF490" s="1223"/>
      <c r="AG490" s="575"/>
      <c r="AH490" s="792"/>
      <c r="AI490" s="1147"/>
      <c r="AJ490" s="1148"/>
      <c r="AK490" s="1216" t="s">
        <v>107</v>
      </c>
      <c r="AL490" s="194">
        <v>0.16</v>
      </c>
      <c r="AM490" s="803" t="e">
        <f>+AM488*AL490</f>
        <v>#REF!</v>
      </c>
    </row>
    <row r="491" spans="1:39" s="45" customFormat="1" ht="15.75" customHeight="1">
      <c r="A491" s="212"/>
      <c r="B491" s="38"/>
      <c r="C491" s="145"/>
      <c r="D491" s="146"/>
      <c r="E491" s="146"/>
      <c r="F491" s="147" t="s">
        <v>94</v>
      </c>
      <c r="G491" s="946" t="e">
        <f>+G489+G479+G439+G422+G412+G334+G281+G254+G204+G169+G129+G85+G42+G30</f>
        <v>#REF!</v>
      </c>
      <c r="H491" s="214"/>
      <c r="I491" s="214" t="e">
        <v>#DIV/0!</v>
      </c>
      <c r="J491" s="214"/>
      <c r="K491" s="214"/>
      <c r="L491" s="214"/>
      <c r="M491" s="214"/>
      <c r="N491" s="214"/>
      <c r="O491" s="214"/>
      <c r="P491" s="214"/>
      <c r="Q491" s="214"/>
      <c r="R491" s="214"/>
      <c r="S491" s="214"/>
      <c r="T491" s="214"/>
      <c r="U491" s="16"/>
      <c r="V491" s="805"/>
      <c r="W491" s="44"/>
      <c r="X491" s="44"/>
      <c r="Y491" s="44"/>
      <c r="Z491" s="44"/>
      <c r="AA491" s="44"/>
      <c r="AB491" s="44"/>
      <c r="AC491" s="38"/>
      <c r="AD491" s="1132"/>
      <c r="AE491" s="1133"/>
      <c r="AF491" s="1240"/>
      <c r="AG491" s="1134" t="s">
        <v>94</v>
      </c>
      <c r="AH491" s="1135">
        <f>+AH489+AH479+AH439+AH422+AH412+AH334+AH281+AH254+AH204+AH169+AH129+AH85+AH42+AH30</f>
        <v>1621751355.74</v>
      </c>
      <c r="AK491" s="1217"/>
      <c r="AL491" s="1149" t="s">
        <v>109</v>
      </c>
      <c r="AM491" s="1150" t="e">
        <f>+AM485+AM489+AM490</f>
        <v>#REF!</v>
      </c>
    </row>
    <row r="492" spans="1:39" s="45" customFormat="1">
      <c r="A492" s="212"/>
      <c r="B492" s="38"/>
      <c r="C492" s="157"/>
      <c r="G492" s="796"/>
      <c r="H492" s="38"/>
      <c r="I492" s="38"/>
      <c r="J492" s="38"/>
      <c r="K492" s="38"/>
      <c r="L492" s="38"/>
      <c r="M492" s="38"/>
      <c r="N492" s="38"/>
      <c r="O492" s="38"/>
      <c r="P492" s="38"/>
      <c r="Q492" s="38"/>
      <c r="R492" s="38"/>
      <c r="S492" s="38"/>
      <c r="T492" s="38"/>
      <c r="U492" s="16"/>
      <c r="V492" s="805"/>
      <c r="W492" s="44"/>
      <c r="X492" s="44"/>
      <c r="Y492" s="44"/>
      <c r="Z492" s="44"/>
      <c r="AA492" s="44"/>
      <c r="AB492" s="44"/>
      <c r="AC492" s="38"/>
      <c r="AD492" s="157"/>
      <c r="AF492" s="1220"/>
      <c r="AH492" s="796"/>
      <c r="AK492" s="1191"/>
    </row>
    <row r="493" spans="1:39" s="45" customFormat="1">
      <c r="A493" s="212"/>
      <c r="B493" s="38"/>
      <c r="C493" s="162" t="s">
        <v>96</v>
      </c>
      <c r="D493" s="163"/>
      <c r="E493" s="164"/>
      <c r="F493" s="165"/>
      <c r="G493" s="798"/>
      <c r="H493" s="95"/>
      <c r="I493" s="95"/>
      <c r="J493" s="95"/>
      <c r="K493" s="95"/>
      <c r="L493" s="95"/>
      <c r="M493" s="95"/>
      <c r="N493" s="95"/>
      <c r="O493" s="95"/>
      <c r="P493" s="95"/>
      <c r="Q493" s="95"/>
      <c r="R493" s="95"/>
      <c r="S493" s="95"/>
      <c r="T493" s="95"/>
      <c r="U493" s="16"/>
      <c r="V493" s="805"/>
      <c r="W493" s="44"/>
      <c r="X493" s="44"/>
      <c r="Y493" s="44"/>
      <c r="Z493" s="44"/>
      <c r="AA493" s="44"/>
      <c r="AB493" s="44"/>
      <c r="AC493" s="917"/>
      <c r="AD493" s="1136" t="s">
        <v>96</v>
      </c>
      <c r="AE493" s="1137"/>
      <c r="AF493" s="1241"/>
      <c r="AG493" s="1139"/>
      <c r="AH493" s="1140"/>
      <c r="AK493" s="1191"/>
    </row>
    <row r="494" spans="1:39" s="45" customFormat="1">
      <c r="A494" s="212"/>
      <c r="B494" s="38"/>
      <c r="C494" s="170"/>
      <c r="D494" s="171"/>
      <c r="E494" s="171"/>
      <c r="F494" s="172" t="s">
        <v>98</v>
      </c>
      <c r="G494" s="799" t="e">
        <f>+G491</f>
        <v>#REF!</v>
      </c>
      <c r="H494" s="95"/>
      <c r="I494" s="95"/>
      <c r="J494" s="95"/>
      <c r="K494" s="95"/>
      <c r="L494" s="95"/>
      <c r="M494" s="95"/>
      <c r="N494" s="95"/>
      <c r="O494" s="95"/>
      <c r="P494" s="95"/>
      <c r="Q494" s="95"/>
      <c r="R494" s="95"/>
      <c r="S494" s="95"/>
      <c r="T494" s="95"/>
      <c r="U494" s="16"/>
      <c r="V494" s="805"/>
      <c r="W494" s="44"/>
      <c r="X494" s="44"/>
      <c r="Y494" s="44"/>
      <c r="Z494" s="44"/>
      <c r="AA494" s="44"/>
      <c r="AB494" s="44"/>
      <c r="AC494" s="917"/>
      <c r="AD494" s="170"/>
      <c r="AE494" s="171"/>
      <c r="AF494" s="1242"/>
      <c r="AG494" s="172" t="s">
        <v>98</v>
      </c>
      <c r="AH494" s="799">
        <f>+AH491</f>
        <v>1621751355.74</v>
      </c>
      <c r="AK494" s="1191"/>
    </row>
    <row r="495" spans="1:39">
      <c r="C495" s="177"/>
      <c r="D495" s="178"/>
      <c r="E495" s="179" t="s">
        <v>100</v>
      </c>
      <c r="F495" s="180">
        <v>0.17</v>
      </c>
      <c r="G495" s="800" t="e">
        <f>+G494*F495</f>
        <v>#REF!</v>
      </c>
      <c r="W495" s="419"/>
      <c r="AD495" s="177"/>
      <c r="AE495" s="178"/>
      <c r="AF495" s="1243" t="s">
        <v>100</v>
      </c>
      <c r="AG495" s="180">
        <v>0.17499999999999999</v>
      </c>
      <c r="AH495" s="800">
        <f>+AH494*AG495</f>
        <v>283806487.25449997</v>
      </c>
    </row>
    <row r="496" spans="1:39">
      <c r="C496" s="186"/>
      <c r="D496" s="187"/>
      <c r="E496" s="188" t="s">
        <v>102</v>
      </c>
      <c r="F496" s="189">
        <v>0.08</v>
      </c>
      <c r="G496" s="801" t="e">
        <f>+G494*F496</f>
        <v>#REF!</v>
      </c>
      <c r="W496" s="419"/>
      <c r="AD496" s="1141"/>
      <c r="AE496" s="1142"/>
      <c r="AF496" s="1244" t="s">
        <v>102</v>
      </c>
      <c r="AG496" s="1144">
        <v>8.5000000000000006E-2</v>
      </c>
      <c r="AH496" s="801">
        <f>+AH494*AG496</f>
        <v>137848865.23790002</v>
      </c>
    </row>
    <row r="497" spans="3:34">
      <c r="C497" s="186"/>
      <c r="D497" s="187"/>
      <c r="E497" s="188" t="s">
        <v>104</v>
      </c>
      <c r="F497" s="189">
        <v>0.05</v>
      </c>
      <c r="G497" s="801" t="e">
        <f>+G494*F497</f>
        <v>#REF!</v>
      </c>
      <c r="W497" s="419"/>
      <c r="AD497" s="1141"/>
      <c r="AE497" s="1142"/>
      <c r="AF497" s="1244" t="s">
        <v>104</v>
      </c>
      <c r="AG497" s="1144">
        <v>0.05</v>
      </c>
      <c r="AH497" s="801">
        <f>+AH494*AG497</f>
        <v>81087567.787</v>
      </c>
    </row>
    <row r="498" spans="3:34">
      <c r="C498" s="191"/>
      <c r="D498" s="192"/>
      <c r="E498" s="193" t="s">
        <v>105</v>
      </c>
      <c r="F498" s="194">
        <f>+F497+F496+F495</f>
        <v>0.30000000000000004</v>
      </c>
      <c r="G498" s="802" t="e">
        <f>+G495+G496+G497</f>
        <v>#REF!</v>
      </c>
      <c r="AD498" s="191"/>
      <c r="AE498" s="1145"/>
      <c r="AF498" s="1245" t="s">
        <v>105</v>
      </c>
      <c r="AG498" s="194">
        <f>+AG497+AG496+AG495</f>
        <v>0.31</v>
      </c>
      <c r="AH498" s="802">
        <f>+AH495+AH496+AH497</f>
        <v>502742920.27939999</v>
      </c>
    </row>
    <row r="499" spans="3:34">
      <c r="C499" s="191"/>
      <c r="D499" s="192"/>
      <c r="E499" s="193" t="s">
        <v>107</v>
      </c>
      <c r="F499" s="194">
        <v>0.16</v>
      </c>
      <c r="G499" s="803" t="e">
        <f>+G497*F499</f>
        <v>#REF!</v>
      </c>
      <c r="AC499" s="45"/>
      <c r="AD499" s="191"/>
      <c r="AE499" s="1145"/>
      <c r="AF499" s="1245" t="s">
        <v>107</v>
      </c>
      <c r="AG499" s="194">
        <v>0.16</v>
      </c>
      <c r="AH499" s="803">
        <f>+AH497*AG499</f>
        <v>12974010.84592</v>
      </c>
    </row>
    <row r="500" spans="3:34">
      <c r="C500" s="200"/>
      <c r="D500" s="201"/>
      <c r="E500" s="201"/>
      <c r="F500" s="202" t="s">
        <v>109</v>
      </c>
      <c r="G500" s="804" t="e">
        <f>+G494+G498+G499</f>
        <v>#REF!</v>
      </c>
      <c r="X500" s="885" t="e">
        <f>+G500*1.08</f>
        <v>#REF!</v>
      </c>
      <c r="AC500" s="45"/>
      <c r="AD500" s="1147"/>
      <c r="AE500" s="1148"/>
      <c r="AF500" s="1246"/>
      <c r="AG500" s="1149" t="s">
        <v>109</v>
      </c>
      <c r="AH500" s="1150">
        <f>+AH494+AH498+AH499</f>
        <v>2137468286.8653202</v>
      </c>
    </row>
    <row r="501" spans="3:34">
      <c r="C501" s="38"/>
      <c r="G501" s="810"/>
      <c r="X501" s="917">
        <v>2406339517</v>
      </c>
    </row>
    <row r="502" spans="3:34">
      <c r="C502" s="38"/>
      <c r="G502" s="1046"/>
    </row>
    <row r="503" spans="3:34">
      <c r="C503" s="38"/>
      <c r="G503" s="1046"/>
      <c r="AD503" s="1040" t="e">
        <f>+AD533</f>
        <v>#REF!</v>
      </c>
    </row>
    <row r="504" spans="3:34">
      <c r="C504" s="38"/>
      <c r="G504" s="1046"/>
    </row>
    <row r="505" spans="3:34">
      <c r="C505" s="38"/>
      <c r="G505" s="1046"/>
    </row>
    <row r="506" spans="3:34">
      <c r="C506" s="38"/>
      <c r="G506" s="1046"/>
    </row>
    <row r="507" spans="3:34">
      <c r="C507" s="38"/>
      <c r="G507" s="1046"/>
    </row>
    <row r="508" spans="3:34">
      <c r="C508" s="38"/>
      <c r="G508" s="1046"/>
    </row>
    <row r="509" spans="3:34">
      <c r="C509" s="38"/>
      <c r="G509" s="1046"/>
    </row>
    <row r="510" spans="3:34">
      <c r="C510" s="38"/>
      <c r="G510" s="1046"/>
    </row>
    <row r="511" spans="3:34">
      <c r="C511" s="38"/>
      <c r="G511" s="1046"/>
    </row>
    <row r="512" spans="3:34">
      <c r="C512" s="38"/>
      <c r="G512" s="1046"/>
    </row>
    <row r="513" spans="2:28">
      <c r="C513" s="38"/>
      <c r="G513" s="1046"/>
    </row>
    <row r="514" spans="2:28">
      <c r="C514" s="38"/>
      <c r="G514" s="1046"/>
    </row>
    <row r="515" spans="2:28">
      <c r="C515" s="38"/>
      <c r="G515" s="1046"/>
    </row>
    <row r="516" spans="2:28">
      <c r="C516" s="38"/>
      <c r="G516" s="1046"/>
    </row>
    <row r="517" spans="2:28">
      <c r="C517" s="38"/>
      <c r="G517" s="1046"/>
    </row>
    <row r="518" spans="2:28">
      <c r="C518" s="38"/>
      <c r="G518" s="1046"/>
    </row>
    <row r="519" spans="2:28" ht="23.25">
      <c r="B519" s="1909" t="s">
        <v>1421</v>
      </c>
      <c r="C519" s="1909"/>
      <c r="D519" s="1909"/>
      <c r="E519" s="1909"/>
      <c r="F519" s="1909"/>
      <c r="G519" s="1909"/>
    </row>
    <row r="520" spans="2:28">
      <c r="C520" s="38"/>
      <c r="D520" s="38"/>
      <c r="E520" s="38"/>
      <c r="F520" s="38"/>
      <c r="G520" s="211"/>
    </row>
    <row r="521" spans="2:28">
      <c r="C521" s="38"/>
      <c r="D521" s="38"/>
      <c r="E521" s="38"/>
      <c r="F521" s="38"/>
      <c r="G521" s="211"/>
    </row>
    <row r="522" spans="2:28">
      <c r="C522" s="38"/>
      <c r="D522" s="216"/>
      <c r="E522" s="217"/>
      <c r="F522" s="95"/>
      <c r="G522" s="95"/>
    </row>
    <row r="523" spans="2:28" ht="15.75">
      <c r="C523" s="1920" t="s">
        <v>947</v>
      </c>
      <c r="D523" s="1920"/>
      <c r="E523" s="1920"/>
      <c r="F523" s="1920"/>
      <c r="G523" s="1038" t="e">
        <f>+G500</f>
        <v>#REF!</v>
      </c>
    </row>
    <row r="524" spans="2:28" ht="15.75">
      <c r="C524" s="1919" t="s">
        <v>1435</v>
      </c>
      <c r="D524" s="1919"/>
      <c r="E524" s="1919"/>
      <c r="F524" s="1919"/>
      <c r="G524" s="1003" t="e">
        <f>+G523*0.06</f>
        <v>#REF!</v>
      </c>
      <c r="AB524" s="419">
        <f>1231.45+0.12</f>
        <v>1231.57</v>
      </c>
    </row>
    <row r="525" spans="2:28" ht="15.75">
      <c r="C525" s="971"/>
      <c r="D525" s="971"/>
      <c r="E525" s="971"/>
      <c r="F525" s="971"/>
      <c r="G525" s="1003"/>
      <c r="AB525" s="419">
        <f>+AB524-0.06</f>
        <v>1231.51</v>
      </c>
    </row>
    <row r="526" spans="2:28" ht="15.75">
      <c r="C526" s="1921" t="s">
        <v>948</v>
      </c>
      <c r="D526" s="1921"/>
      <c r="E526" s="1921"/>
      <c r="F526" s="1921"/>
      <c r="G526" s="1003" t="e">
        <f>+#REF!</f>
        <v>#REF!</v>
      </c>
    </row>
    <row r="527" spans="2:28" ht="15.75">
      <c r="C527" s="1921" t="s">
        <v>1322</v>
      </c>
      <c r="D527" s="1921"/>
      <c r="E527" s="1921"/>
      <c r="F527" s="1921"/>
      <c r="G527" s="1003" t="e">
        <f>+G526*0.04</f>
        <v>#REF!</v>
      </c>
      <c r="X527" s="1029" t="e">
        <f>+X501-G527</f>
        <v>#REF!</v>
      </c>
    </row>
    <row r="528" spans="2:28" ht="15.75">
      <c r="C528" s="1182"/>
      <c r="D528" s="1182"/>
      <c r="E528" s="1182"/>
      <c r="F528" s="1182"/>
      <c r="G528" s="1037"/>
    </row>
    <row r="529" spans="3:30" ht="15.75">
      <c r="C529" s="1921" t="s">
        <v>570</v>
      </c>
      <c r="D529" s="1921"/>
      <c r="E529" s="1921"/>
      <c r="F529" s="1921"/>
      <c r="G529" s="1037" t="e">
        <f>SUM(G523:G528)</f>
        <v>#REF!</v>
      </c>
    </row>
    <row r="530" spans="3:30" ht="15.75">
      <c r="C530" s="1919" t="s">
        <v>1401</v>
      </c>
      <c r="D530" s="1919"/>
      <c r="E530" s="1919"/>
      <c r="F530" s="1919"/>
      <c r="G530" s="1003" t="e">
        <f>+(G529/0.98)*0.02</f>
        <v>#REF!</v>
      </c>
    </row>
    <row r="531" spans="3:30" ht="15.75">
      <c r="C531" s="1919" t="s">
        <v>484</v>
      </c>
      <c r="D531" s="1919"/>
      <c r="E531" s="1919"/>
      <c r="F531" s="1919"/>
      <c r="G531" s="1039" t="e">
        <f>+G529+G530</f>
        <v>#REF!</v>
      </c>
      <c r="X531" s="945" t="e">
        <f>+X501-G531</f>
        <v>#REF!</v>
      </c>
      <c r="AB531" s="424">
        <v>2401551544.4549584</v>
      </c>
      <c r="AD531" s="424">
        <v>2401551544.4549584</v>
      </c>
    </row>
    <row r="533" spans="3:30">
      <c r="AD533" s="1040" t="e">
        <f>+AD531-G531</f>
        <v>#REF!</v>
      </c>
    </row>
    <row r="534" spans="3:30">
      <c r="AB534" s="424" t="e">
        <f>+#REF!/1.3125</f>
        <v>#REF!</v>
      </c>
    </row>
  </sheetData>
  <mergeCells count="26">
    <mergeCell ref="AI30:AL30"/>
    <mergeCell ref="AI42:AL42"/>
    <mergeCell ref="C524:F524"/>
    <mergeCell ref="C526:F526"/>
    <mergeCell ref="C527:F527"/>
    <mergeCell ref="C529:F529"/>
    <mergeCell ref="C530:F530"/>
    <mergeCell ref="C531:F531"/>
    <mergeCell ref="AD30:AG30"/>
    <mergeCell ref="C42:F42"/>
    <mergeCell ref="AA42:AB42"/>
    <mergeCell ref="AD42:AG42"/>
    <mergeCell ref="B519:G519"/>
    <mergeCell ref="C523:F523"/>
    <mergeCell ref="AA30:AB30"/>
    <mergeCell ref="B5:B6"/>
    <mergeCell ref="C5:E6"/>
    <mergeCell ref="F6:G6"/>
    <mergeCell ref="P6:T6"/>
    <mergeCell ref="C30:F30"/>
    <mergeCell ref="E1:F1"/>
    <mergeCell ref="E2:F2"/>
    <mergeCell ref="B3:D3"/>
    <mergeCell ref="E3:G3"/>
    <mergeCell ref="B4:D4"/>
    <mergeCell ref="E4:G4"/>
  </mergeCells>
  <conditionalFormatting sqref="H491:T491">
    <cfRule type="cellIs" dxfId="133" priority="41" stopIfTrue="1" operator="equal">
      <formula>1</formula>
    </cfRule>
  </conditionalFormatting>
  <conditionalFormatting sqref="G500 X486:X490 X335:X482 J335:N490 H335:H490">
    <cfRule type="expression" dxfId="132" priority="42" stopIfTrue="1">
      <formula>"&gt;G29"</formula>
    </cfRule>
    <cfRule type="expression" dxfId="131" priority="43" stopIfTrue="1">
      <formula>"&lt;G29"""</formula>
    </cfRule>
  </conditionalFormatting>
  <conditionalFormatting sqref="N325">
    <cfRule type="cellIs" dxfId="130" priority="44" stopIfTrue="1" operator="notEqual">
      <formula>0</formula>
    </cfRule>
  </conditionalFormatting>
  <conditionalFormatting sqref="B5">
    <cfRule type="cellIs" dxfId="129" priority="45" stopIfTrue="1" operator="equal">
      <formula>"ESCRIBA AQUÍ EL NOMBRE DE LA OBRA"</formula>
    </cfRule>
  </conditionalFormatting>
  <conditionalFormatting sqref="O2:U2">
    <cfRule type="cellIs" dxfId="128" priority="46" stopIfTrue="1" operator="equal">
      <formula>"ESCRIBA AQUÍ EL NOMBRE DE LA OBRA"</formula>
    </cfRule>
  </conditionalFormatting>
  <conditionalFormatting sqref="G1:T1">
    <cfRule type="cellIs" dxfId="127" priority="47" stopIfTrue="1" operator="equal">
      <formula>"CHEQ. INSUMOS"</formula>
    </cfRule>
  </conditionalFormatting>
  <conditionalFormatting sqref="G2:T2">
    <cfRule type="cellIs" dxfId="126" priority="48" stopIfTrue="1" operator="equal">
      <formula>"CHEQ. INSUMOS"</formula>
    </cfRule>
  </conditionalFormatting>
  <conditionalFormatting sqref="O11:T11">
    <cfRule type="cellIs" dxfId="125" priority="38" stopIfTrue="1" operator="notEqual">
      <formula>0</formula>
    </cfRule>
  </conditionalFormatting>
  <conditionalFormatting sqref="U11">
    <cfRule type="cellIs" dxfId="124" priority="39" stopIfTrue="1" operator="notEqual">
      <formula>0</formula>
    </cfRule>
    <cfRule type="cellIs" dxfId="123" priority="40" stopIfTrue="1" operator="equal">
      <formula>0</formula>
    </cfRule>
  </conditionalFormatting>
  <conditionalFormatting sqref="B11:C11 B170:C170 B207:C207 C283 AC469 AD471 AC472 AD474 AC475 AD477 AC480 AD481 AC170:AD170 AC45:AD45 AC25:AD25 AC87:AD87 AC32:AD32 AC131:AD131 AC172:AD172 AC207:AD208 AC256:AD256">
    <cfRule type="cellIs" dxfId="122" priority="37" stopIfTrue="1" operator="equal">
      <formula>"ESCRIBA AQUÍ EL NOMBRE DEL CAPITULO"</formula>
    </cfRule>
  </conditionalFormatting>
  <conditionalFormatting sqref="O18:T18">
    <cfRule type="cellIs" dxfId="121" priority="34" stopIfTrue="1" operator="notEqual">
      <formula>0</formula>
    </cfRule>
  </conditionalFormatting>
  <conditionalFormatting sqref="U18">
    <cfRule type="cellIs" dxfId="120" priority="35" stopIfTrue="1" operator="notEqual">
      <formula>0</formula>
    </cfRule>
    <cfRule type="cellIs" dxfId="119" priority="36" stopIfTrue="1" operator="equal">
      <formula>0</formula>
    </cfRule>
  </conditionalFormatting>
  <conditionalFormatting sqref="B18:C18">
    <cfRule type="cellIs" dxfId="118" priority="33" stopIfTrue="1" operator="equal">
      <formula>"ESCRIBA AQUÍ EL NOMBRE DEL CAPITULO"</formula>
    </cfRule>
  </conditionalFormatting>
  <conditionalFormatting sqref="O45:T45">
    <cfRule type="cellIs" dxfId="117" priority="30" stopIfTrue="1" operator="notEqual">
      <formula>0</formula>
    </cfRule>
  </conditionalFormatting>
  <conditionalFormatting sqref="U45">
    <cfRule type="cellIs" dxfId="116" priority="31" stopIfTrue="1" operator="notEqual">
      <formula>0</formula>
    </cfRule>
    <cfRule type="cellIs" dxfId="115" priority="32" stopIfTrue="1" operator="equal">
      <formula>0</formula>
    </cfRule>
  </conditionalFormatting>
  <conditionalFormatting sqref="B45:C45">
    <cfRule type="cellIs" dxfId="114" priority="29" stopIfTrue="1" operator="equal">
      <formula>"ESCRIBA AQUÍ EL NOMBRE DEL CAPITULO"</formula>
    </cfRule>
  </conditionalFormatting>
  <conditionalFormatting sqref="O25:T25">
    <cfRule type="cellIs" dxfId="113" priority="26" stopIfTrue="1" operator="notEqual">
      <formula>0</formula>
    </cfRule>
  </conditionalFormatting>
  <conditionalFormatting sqref="U25">
    <cfRule type="cellIs" dxfId="112" priority="27" stopIfTrue="1" operator="notEqual">
      <formula>0</formula>
    </cfRule>
    <cfRule type="cellIs" dxfId="111" priority="28" stopIfTrue="1" operator="equal">
      <formula>0</formula>
    </cfRule>
  </conditionalFormatting>
  <conditionalFormatting sqref="B25:C25">
    <cfRule type="cellIs" dxfId="110" priority="25" stopIfTrue="1" operator="equal">
      <formula>"ESCRIBA AQUÍ EL NOMBRE DEL CAPITULO"</formula>
    </cfRule>
  </conditionalFormatting>
  <conditionalFormatting sqref="B87:C87">
    <cfRule type="cellIs" dxfId="109" priority="24" stopIfTrue="1" operator="equal">
      <formula>"ESCRIBA AQUÍ EL NOMBRE DEL CAPITULO"</formula>
    </cfRule>
  </conditionalFormatting>
  <conditionalFormatting sqref="B131:C131">
    <cfRule type="cellIs" dxfId="108" priority="23" stopIfTrue="1" operator="equal">
      <formula>"ESCRIBA AQUÍ EL NOMBRE DEL CAPITULO"</formula>
    </cfRule>
  </conditionalFormatting>
  <conditionalFormatting sqref="B172:C172">
    <cfRule type="cellIs" dxfId="107" priority="22" stopIfTrue="1" operator="equal">
      <formula>"ESCRIBA AQUÍ EL NOMBRE DEL CAPITULO"</formula>
    </cfRule>
  </conditionalFormatting>
  <conditionalFormatting sqref="B208:C208">
    <cfRule type="cellIs" dxfId="106" priority="21" stopIfTrue="1" operator="equal">
      <formula>"ESCRIBA AQUÍ EL NOMBRE DEL CAPITULO"</formula>
    </cfRule>
  </conditionalFormatting>
  <conditionalFormatting sqref="B32:C32">
    <cfRule type="cellIs" dxfId="105" priority="20" stopIfTrue="1" operator="equal">
      <formula>"ESCRIBA AQUÍ EL NOMBRE DEL CAPITULO"</formula>
    </cfRule>
  </conditionalFormatting>
  <conditionalFormatting sqref="B256:C256">
    <cfRule type="cellIs" dxfId="104" priority="19" stopIfTrue="1" operator="equal">
      <formula>"ESCRIBA AQUÍ EL NOMBRE DEL CAPITULO"</formula>
    </cfRule>
  </conditionalFormatting>
  <conditionalFormatting sqref="C336:C337">
    <cfRule type="cellIs" dxfId="103" priority="18" stopIfTrue="1" operator="equal">
      <formula>"ESCRIBA AQUÍ EL NOMBRE DEL CAPITULO"</formula>
    </cfRule>
  </conditionalFormatting>
  <conditionalFormatting sqref="C414">
    <cfRule type="cellIs" dxfId="102" priority="17" stopIfTrue="1" operator="equal">
      <formula>"ESCRIBA AQUÍ EL NOMBRE DEL CAPITULO"</formula>
    </cfRule>
  </conditionalFormatting>
  <conditionalFormatting sqref="C425">
    <cfRule type="cellIs" dxfId="101" priority="16" stopIfTrue="1" operator="equal">
      <formula>"ESCRIBA AQUÍ EL NOMBRE DEL CAPITULO"</formula>
    </cfRule>
  </conditionalFormatting>
  <conditionalFormatting sqref="C441:C442">
    <cfRule type="cellIs" dxfId="100" priority="15" stopIfTrue="1" operator="equal">
      <formula>"ESCRIBA AQUÍ EL NOMBRE DEL CAPITULO"</formula>
    </cfRule>
  </conditionalFormatting>
  <conditionalFormatting sqref="C467">
    <cfRule type="cellIs" dxfId="99" priority="14" stopIfTrue="1" operator="equal">
      <formula>"ESCRIBA AQUÍ EL NOMBRE DEL CAPITULO"</formula>
    </cfRule>
  </conditionalFormatting>
  <conditionalFormatting sqref="B471:C471">
    <cfRule type="cellIs" dxfId="98" priority="13" stopIfTrue="1" operator="equal">
      <formula>"ESCRIBA AQUÍ EL NOMBRE DEL CAPITULO"</formula>
    </cfRule>
  </conditionalFormatting>
  <conditionalFormatting sqref="B474:C474">
    <cfRule type="cellIs" dxfId="97" priority="12" stopIfTrue="1" operator="equal">
      <formula>"ESCRIBA AQUÍ EL NOMBRE DEL CAPITULO"</formula>
    </cfRule>
  </conditionalFormatting>
  <conditionalFormatting sqref="B477:C477">
    <cfRule type="cellIs" dxfId="96" priority="11" stopIfTrue="1" operator="equal">
      <formula>"ESCRIBA AQUÍ EL NOMBRE DEL CAPITULO"</formula>
    </cfRule>
  </conditionalFormatting>
  <conditionalFormatting sqref="B481:C481">
    <cfRule type="cellIs" dxfId="95" priority="8" stopIfTrue="1" operator="equal">
      <formula>"ESCRIBA AQUÍ EL NOMBRE DEL CAPITULO"</formula>
    </cfRule>
  </conditionalFormatting>
  <conditionalFormatting sqref="AA334:AA335 AA412 AA423 AA439:AA440 AA465 AA469 AA472 AA475 AA480 AA170 AA283 AA45 AA87 AA32 AA131 AA172 AA207:AA208 AA256">
    <cfRule type="cellIs" dxfId="94" priority="7" stopIfTrue="1" operator="equal">
      <formula>"ESCRIBA AQUÍ EL NOMBRE DEL CAPITULO"</formula>
    </cfRule>
  </conditionalFormatting>
  <conditionalFormatting sqref="AH500">
    <cfRule type="expression" dxfId="93" priority="5" stopIfTrue="1">
      <formula>"&gt;G29"</formula>
    </cfRule>
    <cfRule type="expression" dxfId="92" priority="6" stopIfTrue="1">
      <formula>"&lt;G29"""</formula>
    </cfRule>
  </conditionalFormatting>
  <conditionalFormatting sqref="AD336:AD337 AD414 AD425 AD441:AD442 AD467 AD283">
    <cfRule type="cellIs" dxfId="91" priority="4" stopIfTrue="1" operator="equal">
      <formula>"ESCRIBA AQUÍ EL NOMBRE DEL CAPITULO"</formula>
    </cfRule>
  </conditionalFormatting>
  <conditionalFormatting sqref="AM491">
    <cfRule type="expression" dxfId="90" priority="2" stopIfTrue="1">
      <formula>"&gt;G29"</formula>
    </cfRule>
    <cfRule type="expression" dxfId="89" priority="3" stopIfTrue="1">
      <formula>"&lt;G29"""</formula>
    </cfRule>
  </conditionalFormatting>
  <conditionalFormatting sqref="AI336:AI337 AI415 AI431:AI432 AI457 AI461 AI464 AI467 AI471 AI170 AI282 AI172 AI206:AI207 AI255 AI45 AI25 AI87 AI32 AI131">
    <cfRule type="cellIs" dxfId="88" priority="1" stopIfTrue="1" operator="equal">
      <formula>"ESCRIBA AQUÍ EL NOMBRE DEL CAPITULO"</formula>
    </cfRule>
  </conditionalFormatting>
  <pageMargins left="0.7" right="0.7" top="0.75" bottom="0.75" header="0.3" footer="0.3"/>
  <pageSetup scale="9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547"/>
  <sheetViews>
    <sheetView showGridLines="0" topLeftCell="B446" zoomScale="85" zoomScaleNormal="85" workbookViewId="0">
      <pane xSplit="1" topLeftCell="C1" activePane="topRight" state="frozen"/>
      <selection activeCell="B6" sqref="B6"/>
      <selection pane="topRight" activeCell="AE201" sqref="AE201"/>
    </sheetView>
  </sheetViews>
  <sheetFormatPr baseColWidth="10" defaultRowHeight="15"/>
  <cols>
    <col min="1" max="1" width="0" style="917" hidden="1" customWidth="1"/>
    <col min="2" max="2" width="8" style="917" customWidth="1"/>
    <col min="3" max="3" width="44" style="917" customWidth="1"/>
    <col min="4" max="4" width="6.140625" style="917" customWidth="1"/>
    <col min="5" max="5" width="9" style="917" customWidth="1"/>
    <col min="6" max="6" width="12.28515625" style="917" bestFit="1" customWidth="1"/>
    <col min="7" max="7" width="19.5703125" style="917" customWidth="1"/>
    <col min="8" max="11" width="11.42578125" style="917" hidden="1" customWidth="1"/>
    <col min="12" max="12" width="17.42578125" style="917" hidden="1" customWidth="1"/>
    <col min="13" max="13" width="16.42578125" style="917" hidden="1" customWidth="1"/>
    <col min="14" max="14" width="15.140625" style="917" hidden="1" customWidth="1"/>
    <col min="15" max="15" width="3.85546875" style="917" hidden="1" customWidth="1"/>
    <col min="16" max="18" width="11.42578125" style="917" hidden="1" customWidth="1"/>
    <col min="19" max="19" width="15.140625" style="917" hidden="1" customWidth="1"/>
    <col min="20" max="21" width="11.42578125" style="917" hidden="1" customWidth="1"/>
    <col min="22" max="22" width="1.85546875" style="917" hidden="1" customWidth="1"/>
    <col min="23" max="23" width="19.28515625" style="917" hidden="1" customWidth="1"/>
    <col min="24" max="24" width="16.5703125" style="917" hidden="1" customWidth="1"/>
    <col min="25" max="25" width="0" style="419" hidden="1" customWidth="1"/>
    <col min="26" max="26" width="13.7109375" style="419" hidden="1" customWidth="1"/>
    <col min="27" max="27" width="12.85546875" style="419" hidden="1" customWidth="1"/>
    <col min="28" max="28" width="8.140625" style="419" hidden="1" customWidth="1"/>
    <col min="29" max="29" width="0" style="917" hidden="1" customWidth="1"/>
    <col min="30" max="30" width="11" style="917" customWidth="1"/>
    <col min="31" max="31" width="28.7109375" style="917" customWidth="1"/>
    <col min="32" max="34" width="11.42578125" style="917"/>
    <col min="35" max="35" width="17.28515625" style="917" customWidth="1"/>
    <col min="36" max="89" width="11.42578125" style="917"/>
    <col min="90" max="92" width="0" style="917" hidden="1" customWidth="1"/>
    <col min="93" max="16384" width="11.42578125" style="917"/>
  </cols>
  <sheetData>
    <row r="1" spans="1:92" s="19" customFormat="1" ht="12" hidden="1" customHeight="1" thickTop="1">
      <c r="A1" s="1"/>
      <c r="B1" s="2">
        <v>2012.2</v>
      </c>
      <c r="C1" s="3"/>
      <c r="D1" s="4"/>
      <c r="E1" s="1885" t="s">
        <v>0</v>
      </c>
      <c r="F1" s="1885"/>
      <c r="G1" s="5">
        <v>408578100</v>
      </c>
      <c r="H1" s="6" t="s">
        <v>1</v>
      </c>
      <c r="I1" s="6" t="s">
        <v>2</v>
      </c>
      <c r="J1" s="7" t="s">
        <v>3</v>
      </c>
      <c r="K1" s="7" t="s">
        <v>4</v>
      </c>
      <c r="L1" s="6" t="s">
        <v>5</v>
      </c>
      <c r="M1" s="6" t="s">
        <v>6</v>
      </c>
      <c r="N1" s="8" t="s">
        <v>7</v>
      </c>
      <c r="O1" s="9" t="s">
        <v>6</v>
      </c>
      <c r="P1" s="10"/>
      <c r="Q1" s="10"/>
      <c r="R1" s="10"/>
      <c r="S1" s="10"/>
      <c r="T1" s="10"/>
      <c r="U1" s="11"/>
      <c r="V1" s="12"/>
      <c r="W1" s="13"/>
      <c r="X1" s="14" t="s">
        <v>8</v>
      </c>
      <c r="Y1" s="16"/>
      <c r="Z1" s="16"/>
      <c r="AA1" s="16"/>
      <c r="AB1" s="16"/>
      <c r="AC1" s="18"/>
      <c r="AD1" s="18"/>
      <c r="AE1" s="18"/>
      <c r="BF1" s="20"/>
      <c r="BG1" s="21"/>
      <c r="BH1" s="22"/>
      <c r="BI1" s="23"/>
      <c r="BJ1" s="24"/>
      <c r="BK1" s="25">
        <v>0</v>
      </c>
      <c r="BL1" s="26">
        <v>0</v>
      </c>
      <c r="BM1" s="27"/>
      <c r="BN1" s="25"/>
      <c r="BO1" s="25">
        <v>1</v>
      </c>
      <c r="BP1" s="25"/>
      <c r="BQ1" s="28">
        <v>0</v>
      </c>
      <c r="BR1" s="29">
        <v>0</v>
      </c>
      <c r="BS1" s="29">
        <v>0</v>
      </c>
      <c r="CL1" s="19" t="s">
        <v>9</v>
      </c>
      <c r="CN1" s="19">
        <v>0</v>
      </c>
    </row>
    <row r="2" spans="1:92" s="19" customFormat="1" ht="12" hidden="1" customHeight="1" thickBot="1">
      <c r="A2" s="1" t="s">
        <v>6</v>
      </c>
      <c r="B2" s="30" t="s">
        <v>6</v>
      </c>
      <c r="C2" s="31"/>
      <c r="D2" s="32"/>
      <c r="E2" s="1886"/>
      <c r="F2" s="1886"/>
      <c r="G2" s="33" t="s">
        <v>10</v>
      </c>
      <c r="H2" s="34">
        <v>2</v>
      </c>
      <c r="I2" s="34">
        <v>3</v>
      </c>
      <c r="J2" s="34"/>
      <c r="K2" s="34"/>
      <c r="L2" s="34"/>
      <c r="M2" s="34"/>
      <c r="N2" s="35">
        <v>1</v>
      </c>
      <c r="O2" s="36"/>
      <c r="P2" s="37"/>
      <c r="Q2" s="37"/>
      <c r="R2" s="37"/>
      <c r="S2" s="37"/>
      <c r="T2" s="37"/>
      <c r="U2" s="37"/>
      <c r="V2" s="12"/>
      <c r="W2" s="15"/>
      <c r="X2" s="15"/>
      <c r="Y2" s="16"/>
      <c r="Z2" s="16"/>
      <c r="AA2" s="16"/>
      <c r="AB2" s="16"/>
      <c r="AC2" s="38"/>
      <c r="AD2" s="38"/>
      <c r="AE2" s="38"/>
    </row>
    <row r="3" spans="1:92" s="45" customFormat="1" ht="21" customHeight="1" thickTop="1">
      <c r="A3" s="39"/>
      <c r="B3" s="1887" t="s">
        <v>1420</v>
      </c>
      <c r="C3" s="1888"/>
      <c r="D3" s="1888"/>
      <c r="E3" s="1889" t="s">
        <v>12</v>
      </c>
      <c r="F3" s="1890"/>
      <c r="G3" s="1891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1"/>
      <c r="V3" s="12"/>
      <c r="W3" s="42"/>
      <c r="X3" s="42"/>
      <c r="Y3" s="43"/>
      <c r="Z3" s="43"/>
      <c r="AA3" s="43"/>
      <c r="AB3" s="43"/>
      <c r="AC3" s="44"/>
      <c r="AD3" s="44"/>
      <c r="AE3" s="44"/>
    </row>
    <row r="4" spans="1:92" s="45" customFormat="1" ht="21" customHeight="1">
      <c r="A4" s="39"/>
      <c r="B4" s="1910" t="s">
        <v>1437</v>
      </c>
      <c r="C4" s="1911"/>
      <c r="D4" s="1912"/>
      <c r="E4" s="1894" t="s">
        <v>14</v>
      </c>
      <c r="F4" s="1895"/>
      <c r="G4" s="1896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1"/>
      <c r="V4" s="12"/>
      <c r="W4" s="42"/>
      <c r="X4" s="42"/>
      <c r="Y4" s="43"/>
      <c r="Z4" s="43"/>
      <c r="AA4" s="43"/>
      <c r="AB4" s="43"/>
      <c r="AC4" s="44"/>
      <c r="AD4" s="44"/>
      <c r="AE4" s="44"/>
    </row>
    <row r="5" spans="1:92" s="45" customFormat="1" ht="15" customHeight="1" thickBot="1">
      <c r="A5" s="39"/>
      <c r="B5" s="1897" t="s">
        <v>15</v>
      </c>
      <c r="C5" s="1913" t="s">
        <v>480</v>
      </c>
      <c r="D5" s="1914"/>
      <c r="E5" s="1915"/>
      <c r="F5" s="46" t="s">
        <v>17</v>
      </c>
      <c r="G5" s="47">
        <v>41751</v>
      </c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9"/>
      <c r="V5" s="12"/>
      <c r="W5" s="42"/>
      <c r="X5" s="42"/>
      <c r="Y5" s="43"/>
      <c r="Z5" s="43"/>
      <c r="AA5" s="43"/>
      <c r="AB5" s="43"/>
      <c r="AC5" s="44"/>
      <c r="AD5" s="44"/>
      <c r="AE5" s="44"/>
    </row>
    <row r="6" spans="1:92" s="45" customFormat="1" ht="21" customHeight="1" thickBot="1">
      <c r="A6" s="39"/>
      <c r="B6" s="1898"/>
      <c r="C6" s="1916"/>
      <c r="D6" s="1917"/>
      <c r="E6" s="1918"/>
      <c r="F6" s="1905"/>
      <c r="G6" s="1906"/>
      <c r="H6" s="50"/>
      <c r="I6" s="50"/>
      <c r="J6" s="50"/>
      <c r="K6" s="50"/>
      <c r="L6" s="50"/>
      <c r="M6" s="50"/>
      <c r="N6" s="50"/>
      <c r="O6" s="50"/>
      <c r="P6" s="1881" t="s">
        <v>18</v>
      </c>
      <c r="Q6" s="1882"/>
      <c r="R6" s="1882"/>
      <c r="S6" s="1882"/>
      <c r="T6" s="1883"/>
      <c r="U6" s="51"/>
      <c r="V6" s="12"/>
      <c r="W6" s="42"/>
      <c r="X6" s="42"/>
      <c r="Y6" s="43"/>
      <c r="Z6" s="43"/>
      <c r="AA6" s="43"/>
      <c r="AB6" s="43"/>
      <c r="AC6" s="44"/>
      <c r="AD6" s="44"/>
      <c r="AE6" s="44"/>
    </row>
    <row r="7" spans="1:92" s="45" customFormat="1" ht="20.100000000000001" customHeight="1" thickTop="1">
      <c r="A7" s="39"/>
      <c r="B7" s="52"/>
      <c r="C7" s="53"/>
      <c r="D7" s="54"/>
      <c r="E7" s="55"/>
      <c r="F7" s="52"/>
      <c r="G7" s="56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8"/>
      <c r="V7" s="12"/>
      <c r="Y7" s="44"/>
      <c r="Z7" s="44"/>
      <c r="AA7" s="44"/>
      <c r="AB7" s="44"/>
    </row>
    <row r="8" spans="1:92" s="45" customFormat="1" ht="15.75" customHeight="1">
      <c r="A8" s="59" t="s">
        <v>19</v>
      </c>
      <c r="B8" s="60" t="s">
        <v>20</v>
      </c>
      <c r="C8" s="60" t="s">
        <v>21</v>
      </c>
      <c r="D8" s="60" t="s">
        <v>22</v>
      </c>
      <c r="E8" s="60" t="s">
        <v>23</v>
      </c>
      <c r="F8" s="60" t="s">
        <v>24</v>
      </c>
      <c r="G8" s="61" t="s">
        <v>25</v>
      </c>
      <c r="H8" s="62" t="s">
        <v>26</v>
      </c>
      <c r="I8" s="62" t="s">
        <v>27</v>
      </c>
      <c r="J8" s="62" t="s">
        <v>28</v>
      </c>
      <c r="K8" s="62" t="s">
        <v>29</v>
      </c>
      <c r="L8" s="62" t="s">
        <v>30</v>
      </c>
      <c r="M8" s="62" t="s">
        <v>31</v>
      </c>
      <c r="N8" s="63" t="s">
        <v>32</v>
      </c>
      <c r="O8" s="57"/>
      <c r="P8" s="64" t="s">
        <v>33</v>
      </c>
      <c r="Q8" s="64" t="s">
        <v>34</v>
      </c>
      <c r="R8" s="64" t="s">
        <v>35</v>
      </c>
      <c r="S8" s="64" t="s">
        <v>36</v>
      </c>
      <c r="T8" s="65" t="s">
        <v>37</v>
      </c>
      <c r="U8" s="58"/>
      <c r="V8" s="12"/>
      <c r="Y8" s="44"/>
      <c r="Z8" s="44"/>
      <c r="AA8" s="44"/>
      <c r="AB8" s="44"/>
    </row>
    <row r="9" spans="1:92" s="45" customFormat="1" ht="14.25" customHeight="1" thickBot="1">
      <c r="A9" s="66"/>
      <c r="B9" s="67"/>
      <c r="C9" s="68"/>
      <c r="D9" s="69"/>
      <c r="E9" s="70"/>
      <c r="F9" s="67"/>
      <c r="G9" s="71"/>
      <c r="H9" s="917"/>
      <c r="I9" s="917"/>
      <c r="J9" s="917"/>
      <c r="K9" s="917"/>
      <c r="L9" s="917"/>
      <c r="M9" s="917"/>
      <c r="N9" s="917"/>
      <c r="O9" s="917"/>
      <c r="P9" s="917"/>
      <c r="Q9" s="917"/>
      <c r="R9" s="917"/>
      <c r="S9" s="917"/>
      <c r="T9" s="917"/>
      <c r="U9" s="917"/>
      <c r="V9" s="72"/>
      <c r="Y9" s="44"/>
      <c r="Z9" s="44"/>
      <c r="AA9" s="44"/>
      <c r="AB9" s="44"/>
    </row>
    <row r="10" spans="1:92" s="45" customFormat="1" ht="23.1" hidden="1" customHeight="1">
      <c r="A10" s="66"/>
      <c r="B10" s="67"/>
      <c r="C10" s="68"/>
      <c r="D10" s="69"/>
      <c r="E10" s="70"/>
      <c r="F10" s="67"/>
      <c r="G10" s="71"/>
      <c r="H10" s="917"/>
      <c r="I10" s="917"/>
      <c r="J10" s="917"/>
      <c r="K10" s="917"/>
      <c r="L10" s="917"/>
      <c r="M10" s="917"/>
      <c r="N10" s="917"/>
      <c r="O10" s="917"/>
      <c r="P10" s="917"/>
      <c r="Q10" s="917"/>
      <c r="R10" s="917"/>
      <c r="S10" s="917"/>
      <c r="T10" s="917"/>
      <c r="U10" s="917"/>
      <c r="V10" s="72"/>
      <c r="Y10" s="44"/>
      <c r="Z10" s="44"/>
      <c r="AA10" s="44"/>
      <c r="AB10" s="44"/>
    </row>
    <row r="11" spans="1:92" s="45" customFormat="1" ht="12.75" hidden="1" customHeight="1">
      <c r="A11" s="73" t="s">
        <v>38</v>
      </c>
      <c r="B11" s="74"/>
      <c r="C11" s="75" t="s">
        <v>39</v>
      </c>
      <c r="D11" s="76"/>
      <c r="E11" s="76"/>
      <c r="F11" s="76"/>
      <c r="G11" s="77">
        <f>+G16</f>
        <v>1224780</v>
      </c>
      <c r="H11" s="19"/>
      <c r="I11" s="19"/>
      <c r="J11" s="19"/>
      <c r="K11" s="19"/>
      <c r="L11" s="19"/>
      <c r="M11" s="19"/>
      <c r="N11" s="78">
        <v>689000</v>
      </c>
      <c r="O11" s="79"/>
      <c r="P11" s="80"/>
      <c r="Q11" s="81"/>
      <c r="R11" s="81"/>
      <c r="S11" s="82"/>
      <c r="T11" s="83"/>
      <c r="U11" s="79">
        <v>0</v>
      </c>
      <c r="V11" s="12" t="s">
        <v>9</v>
      </c>
      <c r="Y11" s="44"/>
      <c r="Z11" s="44"/>
      <c r="AA11" s="44"/>
      <c r="AB11" s="44"/>
    </row>
    <row r="12" spans="1:92" s="45" customFormat="1" ht="12.75" hidden="1" customHeight="1">
      <c r="A12" s="84" t="s">
        <v>40</v>
      </c>
      <c r="B12" s="85"/>
      <c r="C12" s="86"/>
      <c r="D12" s="87"/>
      <c r="E12" s="88"/>
      <c r="F12" s="89"/>
      <c r="G12" s="90"/>
      <c r="H12" s="91"/>
      <c r="I12" s="89"/>
      <c r="J12" s="89"/>
      <c r="K12" s="89"/>
      <c r="L12" s="92"/>
      <c r="M12" s="93"/>
      <c r="N12" s="94"/>
      <c r="O12" s="95"/>
      <c r="P12" s="96"/>
      <c r="Q12" s="97"/>
      <c r="R12" s="97"/>
      <c r="S12" s="98"/>
      <c r="T12" s="99"/>
      <c r="U12" s="79"/>
      <c r="V12" s="72"/>
      <c r="Y12" s="44"/>
      <c r="Z12" s="44"/>
      <c r="AA12" s="44"/>
      <c r="AB12" s="44"/>
    </row>
    <row r="13" spans="1:92" s="45" customFormat="1" ht="15.75" hidden="1" thickBot="1">
      <c r="A13" s="100" t="s">
        <v>41</v>
      </c>
      <c r="B13" s="101"/>
      <c r="C13" s="102" t="s">
        <v>42</v>
      </c>
      <c r="D13" s="574" t="s">
        <v>43</v>
      </c>
      <c r="E13" s="103">
        <v>298</v>
      </c>
      <c r="F13" s="25">
        <v>2760</v>
      </c>
      <c r="G13" s="26">
        <f>+F13*E13</f>
        <v>822480</v>
      </c>
      <c r="H13" s="27">
        <v>1300</v>
      </c>
      <c r="I13" s="25">
        <v>1726</v>
      </c>
      <c r="J13" s="25">
        <v>1</v>
      </c>
      <c r="K13" s="25">
        <v>1</v>
      </c>
      <c r="L13" s="28">
        <v>448760</v>
      </c>
      <c r="M13" s="29">
        <v>338000</v>
      </c>
      <c r="N13" s="29">
        <v>338000</v>
      </c>
      <c r="O13" s="95"/>
      <c r="P13" s="96"/>
      <c r="Q13" s="97">
        <v>13369</v>
      </c>
      <c r="R13" s="97">
        <v>267417</v>
      </c>
      <c r="S13" s="98">
        <v>57200</v>
      </c>
      <c r="T13" s="99"/>
      <c r="U13" s="79"/>
      <c r="V13" s="72">
        <v>10</v>
      </c>
      <c r="Y13" s="44"/>
      <c r="Z13" s="44"/>
      <c r="AA13" s="44"/>
      <c r="AB13" s="44"/>
    </row>
    <row r="14" spans="1:92" s="45" customFormat="1" ht="15.75" hidden="1" thickBot="1">
      <c r="A14" s="100" t="s">
        <v>44</v>
      </c>
      <c r="B14" s="101"/>
      <c r="C14" s="102" t="s">
        <v>45</v>
      </c>
      <c r="D14" s="104" t="s">
        <v>43</v>
      </c>
      <c r="E14" s="103">
        <v>298</v>
      </c>
      <c r="F14" s="25">
        <v>1350</v>
      </c>
      <c r="G14" s="26">
        <f t="shared" ref="G14" si="0">+F14*E14</f>
        <v>402300</v>
      </c>
      <c r="H14" s="27">
        <v>1350</v>
      </c>
      <c r="I14" s="25">
        <v>1793</v>
      </c>
      <c r="J14" s="25">
        <v>1</v>
      </c>
      <c r="K14" s="25"/>
      <c r="L14" s="28">
        <v>466180</v>
      </c>
      <c r="M14" s="29">
        <v>351000</v>
      </c>
      <c r="N14" s="29">
        <v>351000</v>
      </c>
      <c r="O14" s="95"/>
      <c r="P14" s="96"/>
      <c r="Q14" s="97">
        <v>351003</v>
      </c>
      <c r="R14" s="97"/>
      <c r="S14" s="98"/>
      <c r="T14" s="99"/>
      <c r="U14" s="79"/>
      <c r="V14" s="72">
        <v>11</v>
      </c>
      <c r="Y14" s="44"/>
      <c r="Z14" s="44"/>
      <c r="AA14" s="44"/>
      <c r="AB14" s="44"/>
    </row>
    <row r="15" spans="1:92" s="45" customFormat="1" ht="15.75" hidden="1" thickBot="1">
      <c r="A15" s="105"/>
      <c r="B15" s="106"/>
      <c r="C15" s="22"/>
      <c r="D15" s="23"/>
      <c r="E15" s="107"/>
      <c r="F15" s="25"/>
      <c r="G15" s="108"/>
      <c r="H15" s="27"/>
      <c r="I15" s="25"/>
      <c r="J15" s="25"/>
      <c r="K15" s="25"/>
      <c r="L15" s="109"/>
      <c r="M15" s="110"/>
      <c r="N15" s="111"/>
      <c r="O15" s="95"/>
      <c r="P15" s="96"/>
      <c r="Q15" s="97"/>
      <c r="R15" s="97"/>
      <c r="S15" s="98"/>
      <c r="T15" s="99"/>
      <c r="U15" s="79"/>
      <c r="V15" s="72"/>
      <c r="Y15" s="44"/>
      <c r="Z15" s="44"/>
      <c r="AA15" s="44"/>
      <c r="AB15" s="44"/>
    </row>
    <row r="16" spans="1:92" s="45" customFormat="1" ht="12.75" hidden="1" customHeight="1" thickBot="1">
      <c r="A16" s="112" t="s">
        <v>46</v>
      </c>
      <c r="B16" s="113"/>
      <c r="C16" s="114"/>
      <c r="D16" s="115"/>
      <c r="E16" s="116"/>
      <c r="F16" s="117" t="s">
        <v>47</v>
      </c>
      <c r="G16" s="118">
        <f>SUM(G13:G15)</f>
        <v>1224780</v>
      </c>
      <c r="H16" s="27"/>
      <c r="I16" s="25"/>
      <c r="J16" s="25"/>
      <c r="K16" s="25"/>
      <c r="L16" s="109"/>
      <c r="M16" s="110"/>
      <c r="N16" s="119">
        <v>689000</v>
      </c>
      <c r="O16" s="95"/>
      <c r="P16" s="120">
        <v>0</v>
      </c>
      <c r="Q16" s="121">
        <v>364372</v>
      </c>
      <c r="R16" s="121">
        <v>267417</v>
      </c>
      <c r="S16" s="122">
        <v>57200</v>
      </c>
      <c r="T16" s="123">
        <v>0</v>
      </c>
      <c r="U16" s="79"/>
      <c r="V16" s="72"/>
      <c r="Y16" s="44"/>
      <c r="Z16" s="44"/>
      <c r="AA16" s="44"/>
      <c r="AB16" s="44"/>
    </row>
    <row r="17" spans="1:35" s="45" customFormat="1" ht="23.1" hidden="1" customHeight="1" thickBot="1">
      <c r="A17" s="124"/>
      <c r="B17" s="67"/>
      <c r="C17" s="68"/>
      <c r="D17" s="69"/>
      <c r="E17" s="70"/>
      <c r="F17" s="67"/>
      <c r="G17" s="125"/>
      <c r="H17" s="917"/>
      <c r="I17" s="917"/>
      <c r="J17" s="917"/>
      <c r="K17" s="917"/>
      <c r="L17" s="917"/>
      <c r="M17" s="917"/>
      <c r="N17" s="917"/>
      <c r="O17" s="917"/>
      <c r="P17" s="917"/>
      <c r="Q17" s="917"/>
      <c r="R17" s="917"/>
      <c r="S17" s="917"/>
      <c r="T17" s="917"/>
      <c r="U17" s="917"/>
      <c r="V17" s="72"/>
      <c r="Y17" s="44"/>
      <c r="Z17" s="44"/>
      <c r="AA17" s="44"/>
      <c r="AB17" s="44"/>
    </row>
    <row r="18" spans="1:35" s="45" customFormat="1" ht="15.75" hidden="1" thickBot="1">
      <c r="A18" s="73" t="s">
        <v>38</v>
      </c>
      <c r="B18" s="74"/>
      <c r="C18" s="75" t="s">
        <v>48</v>
      </c>
      <c r="D18" s="76"/>
      <c r="E18" s="76"/>
      <c r="F18" s="76"/>
      <c r="G18" s="126">
        <f>+G24</f>
        <v>85268164</v>
      </c>
      <c r="H18" s="19"/>
      <c r="I18" s="19"/>
      <c r="J18" s="19"/>
      <c r="K18" s="19"/>
      <c r="L18" s="19"/>
      <c r="M18" s="19"/>
      <c r="N18" s="78">
        <v>495900</v>
      </c>
      <c r="O18" s="79"/>
      <c r="P18" s="80"/>
      <c r="Q18" s="81"/>
      <c r="R18" s="81"/>
      <c r="S18" s="82"/>
      <c r="T18" s="83"/>
      <c r="U18" s="79">
        <v>0</v>
      </c>
      <c r="V18" s="12" t="s">
        <v>9</v>
      </c>
      <c r="Y18" s="44"/>
      <c r="Z18" s="44"/>
      <c r="AA18" s="44"/>
      <c r="AB18" s="44"/>
    </row>
    <row r="19" spans="1:35" s="45" customFormat="1" ht="15.75" hidden="1" thickBot="1">
      <c r="A19" s="84" t="s">
        <v>40</v>
      </c>
      <c r="B19" s="85"/>
      <c r="C19" s="86"/>
      <c r="D19" s="87"/>
      <c r="E19" s="88"/>
      <c r="F19" s="89"/>
      <c r="G19" s="90"/>
      <c r="H19" s="91"/>
      <c r="I19" s="89"/>
      <c r="J19" s="89"/>
      <c r="K19" s="89"/>
      <c r="L19" s="92"/>
      <c r="M19" s="93"/>
      <c r="N19" s="94"/>
      <c r="O19" s="95"/>
      <c r="P19" s="96"/>
      <c r="Q19" s="97"/>
      <c r="R19" s="97"/>
      <c r="S19" s="98"/>
      <c r="T19" s="99"/>
      <c r="U19" s="79"/>
      <c r="V19" s="72"/>
      <c r="Y19" s="44"/>
      <c r="Z19" s="44"/>
      <c r="AA19" s="44"/>
      <c r="AB19" s="44"/>
    </row>
    <row r="20" spans="1:35" s="45" customFormat="1" ht="20.25" hidden="1" customHeight="1">
      <c r="A20" s="127" t="s">
        <v>49</v>
      </c>
      <c r="B20" s="128"/>
      <c r="C20" s="129" t="s">
        <v>50</v>
      </c>
      <c r="D20" s="130" t="s">
        <v>51</v>
      </c>
      <c r="E20" s="131">
        <f>(111+218+146+116+780+2150)*1.2</f>
        <v>4225.2</v>
      </c>
      <c r="F20" s="25">
        <v>2610</v>
      </c>
      <c r="G20" s="26">
        <f>+F20*E20</f>
        <v>11027772</v>
      </c>
      <c r="H20" s="27">
        <v>2610</v>
      </c>
      <c r="I20" s="25">
        <v>3466</v>
      </c>
      <c r="J20" s="25">
        <v>1</v>
      </c>
      <c r="K20" s="25"/>
      <c r="L20" s="28">
        <v>450580</v>
      </c>
      <c r="M20" s="29">
        <v>339300</v>
      </c>
      <c r="N20" s="29">
        <v>339300</v>
      </c>
      <c r="O20" s="95"/>
      <c r="P20" s="96"/>
      <c r="Q20" s="97">
        <v>339300</v>
      </c>
      <c r="R20" s="97"/>
      <c r="S20" s="98"/>
      <c r="T20" s="99"/>
      <c r="U20" s="79"/>
      <c r="V20" s="72">
        <v>13</v>
      </c>
      <c r="Y20" s="44"/>
      <c r="Z20" s="44"/>
      <c r="AA20" s="44"/>
      <c r="AB20" s="44"/>
    </row>
    <row r="21" spans="1:35" s="45" customFormat="1" ht="24.75" hidden="1" customHeight="1">
      <c r="A21" s="584"/>
      <c r="B21" s="592"/>
      <c r="C21" s="593" t="s">
        <v>481</v>
      </c>
      <c r="D21" s="130" t="s">
        <v>51</v>
      </c>
      <c r="E21" s="594">
        <f>7.2+5.3+7.5+6+20+15</f>
        <v>61</v>
      </c>
      <c r="F21" s="575">
        <v>74380</v>
      </c>
      <c r="G21" s="26">
        <f>+F21*E21</f>
        <v>4537180</v>
      </c>
      <c r="H21" s="576"/>
      <c r="I21" s="575"/>
      <c r="J21" s="575"/>
      <c r="K21" s="575"/>
      <c r="L21" s="577"/>
      <c r="M21" s="578"/>
      <c r="N21" s="578"/>
      <c r="O21" s="95"/>
      <c r="P21" s="579"/>
      <c r="Q21" s="580"/>
      <c r="R21" s="580"/>
      <c r="S21" s="581"/>
      <c r="T21" s="582"/>
      <c r="U21" s="79"/>
      <c r="V21" s="72"/>
      <c r="Y21" s="44"/>
      <c r="Z21" s="44"/>
      <c r="AA21" s="44"/>
      <c r="AB21" s="44"/>
    </row>
    <row r="22" spans="1:35" s="45" customFormat="1" ht="15.75" hidden="1" thickBot="1">
      <c r="A22" s="132" t="s">
        <v>52</v>
      </c>
      <c r="B22" s="133"/>
      <c r="C22" s="134" t="s">
        <v>474</v>
      </c>
      <c r="D22" s="135" t="s">
        <v>51</v>
      </c>
      <c r="E22" s="136">
        <f>+E20</f>
        <v>4225.2</v>
      </c>
      <c r="F22" s="25">
        <v>15560</v>
      </c>
      <c r="G22" s="26">
        <f>+F22*E22</f>
        <v>65744112</v>
      </c>
      <c r="H22" s="27">
        <v>2610</v>
      </c>
      <c r="I22" s="25">
        <v>3466</v>
      </c>
      <c r="J22" s="25">
        <v>1</v>
      </c>
      <c r="K22" s="25"/>
      <c r="L22" s="28">
        <v>207960</v>
      </c>
      <c r="M22" s="29">
        <v>156600</v>
      </c>
      <c r="N22" s="29">
        <v>156600</v>
      </c>
      <c r="O22" s="95"/>
      <c r="P22" s="96"/>
      <c r="Q22" s="97">
        <v>156600</v>
      </c>
      <c r="R22" s="97"/>
      <c r="S22" s="98"/>
      <c r="T22" s="99"/>
      <c r="U22" s="79"/>
      <c r="V22" s="72">
        <v>14</v>
      </c>
      <c r="Y22" s="44"/>
      <c r="Z22" s="44"/>
      <c r="AA22" s="44"/>
      <c r="AB22" s="44"/>
    </row>
    <row r="23" spans="1:35" s="45" customFormat="1" ht="15.75" hidden="1" thickBot="1">
      <c r="A23" s="105"/>
      <c r="B23" s="106"/>
      <c r="C23" s="22" t="s">
        <v>482</v>
      </c>
      <c r="D23" s="23" t="s">
        <v>483</v>
      </c>
      <c r="E23" s="107">
        <f>68+40+100+30+80</f>
        <v>318</v>
      </c>
      <c r="F23" s="25">
        <v>12450</v>
      </c>
      <c r="G23" s="26">
        <f>+F23*E23</f>
        <v>3959100</v>
      </c>
      <c r="H23" s="27"/>
      <c r="I23" s="25"/>
      <c r="J23" s="25"/>
      <c r="K23" s="25"/>
      <c r="L23" s="109"/>
      <c r="M23" s="110"/>
      <c r="N23" s="111"/>
      <c r="O23" s="95"/>
      <c r="P23" s="96"/>
      <c r="Q23" s="97"/>
      <c r="R23" s="97"/>
      <c r="S23" s="98"/>
      <c r="T23" s="99"/>
      <c r="U23" s="79"/>
      <c r="V23" s="72"/>
      <c r="Y23" s="44"/>
      <c r="Z23" s="44"/>
      <c r="AA23" s="44"/>
      <c r="AB23" s="44"/>
    </row>
    <row r="24" spans="1:35" s="45" customFormat="1" ht="15.75" hidden="1" thickBot="1">
      <c r="A24" s="112" t="s">
        <v>46</v>
      </c>
      <c r="B24" s="113"/>
      <c r="C24" s="114"/>
      <c r="D24" s="115"/>
      <c r="E24" s="116"/>
      <c r="F24" s="117" t="s">
        <v>54</v>
      </c>
      <c r="G24" s="137">
        <f>SUM(G20:G23)</f>
        <v>85268164</v>
      </c>
      <c r="H24" s="27"/>
      <c r="I24" s="25"/>
      <c r="J24" s="25"/>
      <c r="K24" s="25"/>
      <c r="L24" s="109"/>
      <c r="M24" s="110"/>
      <c r="N24" s="119">
        <v>495900</v>
      </c>
      <c r="O24" s="95"/>
      <c r="P24" s="120">
        <v>0</v>
      </c>
      <c r="Q24" s="121">
        <v>495900</v>
      </c>
      <c r="R24" s="121">
        <v>0</v>
      </c>
      <c r="S24" s="122">
        <v>0</v>
      </c>
      <c r="T24" s="123">
        <v>0</v>
      </c>
      <c r="U24" s="79"/>
      <c r="V24" s="72"/>
      <c r="Y24" s="44"/>
      <c r="Z24" s="44"/>
      <c r="AA24" s="44"/>
      <c r="AB24" s="44"/>
    </row>
    <row r="25" spans="1:35" s="45" customFormat="1">
      <c r="A25" s="73"/>
      <c r="B25" s="74">
        <v>1</v>
      </c>
      <c r="C25" s="775" t="s">
        <v>1114</v>
      </c>
      <c r="D25" s="76"/>
      <c r="E25" s="76"/>
      <c r="F25" s="76"/>
      <c r="G25" s="126"/>
      <c r="H25" s="19"/>
      <c r="I25" s="19"/>
      <c r="J25" s="19"/>
      <c r="K25" s="19"/>
      <c r="L25" s="19"/>
      <c r="M25" s="19"/>
      <c r="N25" s="78"/>
      <c r="O25" s="79"/>
      <c r="P25" s="80"/>
      <c r="Q25" s="81"/>
      <c r="R25" s="81"/>
      <c r="S25" s="82"/>
      <c r="T25" s="83"/>
      <c r="U25" s="79"/>
      <c r="V25" s="12"/>
      <c r="Y25" s="44"/>
      <c r="Z25" s="44"/>
      <c r="AA25" s="44"/>
      <c r="AB25" s="44"/>
      <c r="AC25" s="1111">
        <v>1</v>
      </c>
      <c r="AD25" s="1111"/>
      <c r="AE25" s="1112" t="s">
        <v>1114</v>
      </c>
      <c r="AF25" s="1061"/>
      <c r="AG25" s="1061"/>
      <c r="AH25" s="1061"/>
      <c r="AI25" s="1113"/>
    </row>
    <row r="26" spans="1:35" s="45" customFormat="1" ht="15" customHeight="1">
      <c r="A26" s="124"/>
      <c r="B26" s="771">
        <v>1.1000000000000001</v>
      </c>
      <c r="C26" s="102" t="s">
        <v>975</v>
      </c>
      <c r="D26" s="772" t="s">
        <v>56</v>
      </c>
      <c r="E26" s="773">
        <v>964</v>
      </c>
      <c r="F26" s="587">
        <v>1320</v>
      </c>
      <c r="G26" s="774">
        <f>+F26*E26</f>
        <v>1272480</v>
      </c>
      <c r="H26" s="917"/>
      <c r="I26" s="917"/>
      <c r="J26" s="917"/>
      <c r="K26" s="917"/>
      <c r="L26" s="917"/>
      <c r="M26" s="917"/>
      <c r="N26" s="917"/>
      <c r="O26" s="917"/>
      <c r="P26" s="917"/>
      <c r="Q26" s="917"/>
      <c r="R26" s="917"/>
      <c r="S26" s="917"/>
      <c r="T26" s="917"/>
      <c r="U26" s="917"/>
      <c r="V26" s="72"/>
      <c r="Y26" s="44"/>
      <c r="Z26" s="44"/>
      <c r="AA26" s="102" t="s">
        <v>975</v>
      </c>
      <c r="AB26" s="772" t="s">
        <v>56</v>
      </c>
      <c r="AC26" s="771">
        <v>1.1000000000000001</v>
      </c>
      <c r="AD26" s="1154"/>
      <c r="AE26" s="102" t="s">
        <v>975</v>
      </c>
      <c r="AF26" s="772" t="s">
        <v>56</v>
      </c>
      <c r="AG26" s="773">
        <v>964</v>
      </c>
      <c r="AH26" s="587">
        <v>1320</v>
      </c>
      <c r="AI26" s="774">
        <f>+AH26*AG26</f>
        <v>1272480</v>
      </c>
    </row>
    <row r="27" spans="1:35" s="45" customFormat="1" ht="15" customHeight="1">
      <c r="A27" s="124"/>
      <c r="B27" s="771">
        <f>+B26+0.1</f>
        <v>1.2000000000000002</v>
      </c>
      <c r="C27" s="102" t="s">
        <v>940</v>
      </c>
      <c r="D27" s="820" t="s">
        <v>56</v>
      </c>
      <c r="E27" s="773">
        <v>964</v>
      </c>
      <c r="F27" s="587">
        <v>1350</v>
      </c>
      <c r="G27" s="774">
        <f t="shared" ref="G27:G29" si="1">+F27*E27</f>
        <v>1301400</v>
      </c>
      <c r="H27" s="917"/>
      <c r="I27" s="917"/>
      <c r="J27" s="917"/>
      <c r="K27" s="917"/>
      <c r="L27" s="917"/>
      <c r="M27" s="917"/>
      <c r="N27" s="917"/>
      <c r="O27" s="917"/>
      <c r="P27" s="917"/>
      <c r="Q27" s="917"/>
      <c r="R27" s="917"/>
      <c r="S27" s="917"/>
      <c r="T27" s="917"/>
      <c r="U27" s="917"/>
      <c r="V27" s="72"/>
      <c r="W27" s="45">
        <f>890+6</f>
        <v>896</v>
      </c>
      <c r="Y27" s="44"/>
      <c r="Z27" s="44"/>
      <c r="AA27" s="102" t="s">
        <v>940</v>
      </c>
      <c r="AB27" s="820" t="s">
        <v>56</v>
      </c>
      <c r="AC27" s="771">
        <f>+AC26+0.1</f>
        <v>1.2000000000000002</v>
      </c>
      <c r="AD27" s="1154"/>
      <c r="AE27" s="102" t="s">
        <v>940</v>
      </c>
      <c r="AF27" s="820" t="s">
        <v>56</v>
      </c>
      <c r="AG27" s="773">
        <v>964</v>
      </c>
      <c r="AH27" s="587">
        <v>1350</v>
      </c>
      <c r="AI27" s="774">
        <f>+AH27*AG27</f>
        <v>1301400</v>
      </c>
    </row>
    <row r="28" spans="1:35" s="45" customFormat="1" ht="15" customHeight="1">
      <c r="A28" s="124"/>
      <c r="B28" s="771">
        <f t="shared" ref="B28:B29" si="2">+B27+0.1</f>
        <v>1.3000000000000003</v>
      </c>
      <c r="C28" s="593" t="s">
        <v>974</v>
      </c>
      <c r="D28" s="827" t="s">
        <v>22</v>
      </c>
      <c r="E28" s="594">
        <v>1</v>
      </c>
      <c r="F28" s="575">
        <v>1533150</v>
      </c>
      <c r="G28" s="795">
        <f t="shared" si="1"/>
        <v>1533150</v>
      </c>
      <c r="H28" s="917"/>
      <c r="I28" s="917"/>
      <c r="J28" s="917"/>
      <c r="K28" s="917"/>
      <c r="L28" s="917"/>
      <c r="M28" s="917"/>
      <c r="N28" s="917"/>
      <c r="O28" s="917"/>
      <c r="P28" s="917"/>
      <c r="Q28" s="917"/>
      <c r="R28" s="917"/>
      <c r="S28" s="917"/>
      <c r="T28" s="917"/>
      <c r="U28" s="917"/>
      <c r="V28" s="72"/>
      <c r="Y28" s="44"/>
      <c r="Z28" s="44"/>
      <c r="AA28" s="593" t="s">
        <v>974</v>
      </c>
      <c r="AB28" s="827" t="s">
        <v>22</v>
      </c>
      <c r="AC28" s="771">
        <f>+AC27+0.1</f>
        <v>1.3000000000000003</v>
      </c>
      <c r="AD28" s="1154"/>
      <c r="AE28" s="593" t="s">
        <v>974</v>
      </c>
      <c r="AF28" s="827" t="s">
        <v>22</v>
      </c>
      <c r="AG28" s="594">
        <v>1</v>
      </c>
      <c r="AH28" s="575">
        <v>1533150</v>
      </c>
      <c r="AI28" s="795">
        <f>+AH28*AG28</f>
        <v>1533150</v>
      </c>
    </row>
    <row r="29" spans="1:35" s="45" customFormat="1" ht="15" customHeight="1" thickBot="1">
      <c r="A29" s="124"/>
      <c r="B29" s="771">
        <f t="shared" si="2"/>
        <v>1.4000000000000004</v>
      </c>
      <c r="C29" s="102" t="s">
        <v>1001</v>
      </c>
      <c r="D29" s="772" t="s">
        <v>56</v>
      </c>
      <c r="E29" s="780">
        <v>40</v>
      </c>
      <c r="F29" s="587">
        <v>29190</v>
      </c>
      <c r="G29" s="795">
        <f t="shared" si="1"/>
        <v>1167600</v>
      </c>
      <c r="H29" s="917"/>
      <c r="I29" s="917"/>
      <c r="J29" s="917"/>
      <c r="K29" s="917"/>
      <c r="L29" s="917"/>
      <c r="M29" s="917"/>
      <c r="N29" s="917"/>
      <c r="O29" s="917"/>
      <c r="P29" s="917"/>
      <c r="Q29" s="917"/>
      <c r="R29" s="917"/>
      <c r="S29" s="917"/>
      <c r="T29" s="917"/>
      <c r="U29" s="917"/>
      <c r="V29" s="72"/>
      <c r="Y29" s="44"/>
      <c r="Z29" s="44"/>
      <c r="AA29" s="102" t="s">
        <v>1001</v>
      </c>
      <c r="AB29" s="772" t="s">
        <v>56</v>
      </c>
      <c r="AC29" s="771">
        <f>+AC28+0.1</f>
        <v>1.4000000000000004</v>
      </c>
      <c r="AD29" s="1154"/>
      <c r="AE29" s="102" t="s">
        <v>1001</v>
      </c>
      <c r="AF29" s="772" t="s">
        <v>56</v>
      </c>
      <c r="AG29" s="1059">
        <v>40</v>
      </c>
      <c r="AH29" s="587">
        <v>29190</v>
      </c>
      <c r="AI29" s="792">
        <f>+AH29*AG29</f>
        <v>1167600</v>
      </c>
    </row>
    <row r="30" spans="1:35" s="45" customFormat="1" ht="15" customHeight="1" thickBot="1">
      <c r="A30" s="124"/>
      <c r="B30" s="869"/>
      <c r="C30" s="1884" t="s">
        <v>982</v>
      </c>
      <c r="D30" s="1884"/>
      <c r="E30" s="1884"/>
      <c r="F30" s="1884"/>
      <c r="G30" s="870">
        <f>SUM(G26:G29)</f>
        <v>5274630</v>
      </c>
      <c r="H30" s="917"/>
      <c r="I30" s="917"/>
      <c r="J30" s="917"/>
      <c r="K30" s="917"/>
      <c r="L30" s="917"/>
      <c r="M30" s="917"/>
      <c r="N30" s="917"/>
      <c r="O30" s="917"/>
      <c r="P30" s="917"/>
      <c r="Q30" s="917"/>
      <c r="R30" s="917"/>
      <c r="S30" s="917"/>
      <c r="T30" s="917"/>
      <c r="U30" s="917"/>
      <c r="V30" s="72"/>
      <c r="Y30" s="44"/>
      <c r="Z30" s="44"/>
      <c r="AA30" s="1927" t="s">
        <v>982</v>
      </c>
      <c r="AB30" s="1927"/>
      <c r="AC30" s="1114"/>
      <c r="AD30" s="1155"/>
      <c r="AE30" s="1927" t="s">
        <v>982</v>
      </c>
      <c r="AF30" s="1927"/>
      <c r="AG30" s="1927"/>
      <c r="AH30" s="1927"/>
      <c r="AI30" s="1115">
        <f>SUM(AI26:AI29)</f>
        <v>5274630</v>
      </c>
    </row>
    <row r="31" spans="1:35" s="45" customFormat="1" ht="15" customHeight="1" thickBot="1">
      <c r="A31" s="124"/>
      <c r="B31" s="823"/>
      <c r="C31" s="824"/>
      <c r="D31" s="821"/>
      <c r="E31" s="825"/>
      <c r="F31" s="43"/>
      <c r="G31" s="826"/>
      <c r="H31" s="917"/>
      <c r="I31" s="917"/>
      <c r="J31" s="917"/>
      <c r="K31" s="917"/>
      <c r="L31" s="917"/>
      <c r="M31" s="917"/>
      <c r="N31" s="917"/>
      <c r="O31" s="917"/>
      <c r="P31" s="917"/>
      <c r="Q31" s="917"/>
      <c r="R31" s="917"/>
      <c r="S31" s="917"/>
      <c r="T31" s="917"/>
      <c r="U31" s="917"/>
      <c r="V31" s="72"/>
      <c r="Y31" s="44"/>
      <c r="Z31" s="44"/>
      <c r="AA31" s="824"/>
      <c r="AB31" s="821"/>
      <c r="AC31" s="823"/>
      <c r="AD31" s="823"/>
      <c r="AE31" s="824"/>
      <c r="AF31" s="821"/>
      <c r="AG31" s="825"/>
      <c r="AH31" s="43"/>
      <c r="AI31" s="826"/>
    </row>
    <row r="32" spans="1:35" s="45" customFormat="1" ht="15" customHeight="1">
      <c r="A32" s="124"/>
      <c r="B32" s="74">
        <v>2</v>
      </c>
      <c r="C32" s="75" t="s">
        <v>85</v>
      </c>
      <c r="D32" s="76"/>
      <c r="E32" s="76"/>
      <c r="F32" s="76"/>
      <c r="G32" s="126"/>
      <c r="H32" s="917"/>
      <c r="I32" s="917"/>
      <c r="J32" s="917"/>
      <c r="K32" s="917"/>
      <c r="L32" s="917"/>
      <c r="M32" s="917"/>
      <c r="N32" s="917"/>
      <c r="O32" s="917"/>
      <c r="P32" s="917"/>
      <c r="Q32" s="917"/>
      <c r="R32" s="917"/>
      <c r="S32" s="917"/>
      <c r="T32" s="917"/>
      <c r="U32" s="917"/>
      <c r="V32" s="72"/>
      <c r="Y32" s="44"/>
      <c r="Z32" s="44"/>
      <c r="AA32" s="1060" t="s">
        <v>85</v>
      </c>
      <c r="AB32" s="1061"/>
      <c r="AC32" s="1111">
        <v>2</v>
      </c>
      <c r="AD32" s="1156"/>
      <c r="AE32" s="1060" t="s">
        <v>85</v>
      </c>
      <c r="AF32" s="1061"/>
      <c r="AG32" s="1061"/>
      <c r="AH32" s="1061"/>
      <c r="AI32" s="1113"/>
    </row>
    <row r="33" spans="1:35" s="45" customFormat="1" ht="15" customHeight="1">
      <c r="A33" s="124"/>
      <c r="B33" s="85"/>
      <c r="C33" s="86"/>
      <c r="D33" s="87"/>
      <c r="E33" s="88"/>
      <c r="F33" s="89"/>
      <c r="G33" s="90"/>
      <c r="H33" s="917"/>
      <c r="I33" s="917"/>
      <c r="J33" s="917"/>
      <c r="K33" s="917"/>
      <c r="L33" s="917"/>
      <c r="M33" s="917"/>
      <c r="N33" s="917"/>
      <c r="O33" s="917"/>
      <c r="P33" s="917"/>
      <c r="Q33" s="917"/>
      <c r="R33" s="917"/>
      <c r="S33" s="917"/>
      <c r="T33" s="917"/>
      <c r="U33" s="917"/>
      <c r="V33" s="72"/>
      <c r="Y33" s="44"/>
      <c r="Z33" s="44"/>
      <c r="AA33" s="86"/>
      <c r="AB33" s="87"/>
      <c r="AC33" s="85"/>
      <c r="AD33" s="1157"/>
      <c r="AE33" s="86"/>
      <c r="AF33" s="87"/>
      <c r="AG33" s="88"/>
      <c r="AH33" s="89"/>
      <c r="AI33" s="90"/>
    </row>
    <row r="34" spans="1:35" s="45" customFormat="1" ht="28.5" customHeight="1">
      <c r="A34" s="124"/>
      <c r="B34" s="592">
        <v>2.1</v>
      </c>
      <c r="C34" s="822" t="s">
        <v>86</v>
      </c>
      <c r="D34" s="827" t="s">
        <v>483</v>
      </c>
      <c r="E34" s="594">
        <v>360</v>
      </c>
      <c r="F34" s="575">
        <v>21831</v>
      </c>
      <c r="G34" s="795">
        <f>+F34*E34</f>
        <v>7859160</v>
      </c>
      <c r="H34" s="917"/>
      <c r="I34" s="917"/>
      <c r="J34" s="917"/>
      <c r="K34" s="917"/>
      <c r="L34" s="917"/>
      <c r="M34" s="917"/>
      <c r="N34" s="917"/>
      <c r="O34" s="917"/>
      <c r="P34" s="917"/>
      <c r="Q34" s="917"/>
      <c r="R34" s="917"/>
      <c r="S34" s="917"/>
      <c r="T34" s="917"/>
      <c r="U34" s="917"/>
      <c r="V34" s="72"/>
      <c r="Y34" s="44"/>
      <c r="Z34" s="44"/>
      <c r="AA34" s="822" t="s">
        <v>86</v>
      </c>
      <c r="AB34" s="827" t="s">
        <v>483</v>
      </c>
      <c r="AC34" s="592">
        <v>2.1</v>
      </c>
      <c r="AD34" s="1158"/>
      <c r="AE34" s="822" t="s">
        <v>86</v>
      </c>
      <c r="AF34" s="827" t="s">
        <v>483</v>
      </c>
      <c r="AG34" s="594">
        <v>360</v>
      </c>
      <c r="AH34" s="575">
        <v>21831</v>
      </c>
      <c r="AI34" s="795">
        <f>+AH34*AG34</f>
        <v>7859160</v>
      </c>
    </row>
    <row r="35" spans="1:35" s="45" customFormat="1" ht="15" customHeight="1">
      <c r="A35" s="124"/>
      <c r="B35" s="592">
        <f>+B34+0.1</f>
        <v>2.2000000000000002</v>
      </c>
      <c r="C35" s="593" t="s">
        <v>87</v>
      </c>
      <c r="D35" s="827" t="s">
        <v>43</v>
      </c>
      <c r="E35" s="594">
        <f>+E34*2</f>
        <v>720</v>
      </c>
      <c r="F35" s="575">
        <v>20403</v>
      </c>
      <c r="G35" s="795">
        <f t="shared" ref="G35:G40" si="3">+F35*E35</f>
        <v>14690160</v>
      </c>
      <c r="H35" s="917"/>
      <c r="I35" s="917"/>
      <c r="J35" s="917"/>
      <c r="K35" s="917"/>
      <c r="L35" s="917"/>
      <c r="M35" s="917"/>
      <c r="N35" s="917"/>
      <c r="O35" s="917"/>
      <c r="P35" s="917"/>
      <c r="Q35" s="917"/>
      <c r="R35" s="917"/>
      <c r="S35" s="917"/>
      <c r="T35" s="917"/>
      <c r="U35" s="917"/>
      <c r="V35" s="72"/>
      <c r="Y35" s="44"/>
      <c r="Z35" s="44"/>
      <c r="AA35" s="593" t="s">
        <v>87</v>
      </c>
      <c r="AB35" s="827" t="s">
        <v>43</v>
      </c>
      <c r="AC35" s="592">
        <f t="shared" ref="AC35:AC40" si="4">+AC34+0.1</f>
        <v>2.2000000000000002</v>
      </c>
      <c r="AD35" s="1159"/>
      <c r="AE35" s="593" t="s">
        <v>87</v>
      </c>
      <c r="AF35" s="827" t="s">
        <v>43</v>
      </c>
      <c r="AG35" s="594">
        <f>+AG34*2</f>
        <v>720</v>
      </c>
      <c r="AH35" s="575">
        <v>20403</v>
      </c>
      <c r="AI35" s="795">
        <f t="shared" ref="AI35:AI40" si="5">+AH35*AG35</f>
        <v>14690160</v>
      </c>
    </row>
    <row r="36" spans="1:35" s="45" customFormat="1" ht="15" customHeight="1">
      <c r="A36" s="124"/>
      <c r="B36" s="592">
        <f t="shared" ref="B36:B40" si="6">+B35+0.1</f>
        <v>2.3000000000000003</v>
      </c>
      <c r="C36" s="593" t="s">
        <v>88</v>
      </c>
      <c r="D36" s="827" t="s">
        <v>483</v>
      </c>
      <c r="E36" s="594">
        <v>360</v>
      </c>
      <c r="F36" s="575">
        <v>25834</v>
      </c>
      <c r="G36" s="795">
        <f t="shared" si="3"/>
        <v>9300240</v>
      </c>
      <c r="H36" s="917"/>
      <c r="I36" s="917"/>
      <c r="J36" s="917"/>
      <c r="K36" s="917"/>
      <c r="L36" s="917"/>
      <c r="M36" s="917"/>
      <c r="N36" s="917"/>
      <c r="O36" s="917"/>
      <c r="P36" s="917"/>
      <c r="Q36" s="917"/>
      <c r="R36" s="917"/>
      <c r="S36" s="917"/>
      <c r="T36" s="917"/>
      <c r="U36" s="917"/>
      <c r="V36" s="72"/>
      <c r="Y36" s="44"/>
      <c r="Z36" s="44"/>
      <c r="AA36" s="593" t="s">
        <v>88</v>
      </c>
      <c r="AB36" s="827" t="s">
        <v>483</v>
      </c>
      <c r="AC36" s="592">
        <f t="shared" si="4"/>
        <v>2.3000000000000003</v>
      </c>
      <c r="AD36" s="1159"/>
      <c r="AE36" s="593" t="s">
        <v>88</v>
      </c>
      <c r="AF36" s="827" t="s">
        <v>483</v>
      </c>
      <c r="AG36" s="594">
        <v>360</v>
      </c>
      <c r="AH36" s="575">
        <v>25834</v>
      </c>
      <c r="AI36" s="795">
        <f t="shared" si="5"/>
        <v>9300240</v>
      </c>
    </row>
    <row r="37" spans="1:35" s="45" customFormat="1" ht="15" customHeight="1">
      <c r="A37" s="124"/>
      <c r="B37" s="592">
        <f t="shared" si="6"/>
        <v>2.4000000000000004</v>
      </c>
      <c r="C37" s="593" t="s">
        <v>89</v>
      </c>
      <c r="D37" s="827" t="s">
        <v>483</v>
      </c>
      <c r="E37" s="594">
        <v>100</v>
      </c>
      <c r="F37" s="575">
        <v>20326</v>
      </c>
      <c r="G37" s="795">
        <f t="shared" si="3"/>
        <v>2032600</v>
      </c>
      <c r="H37" s="917"/>
      <c r="I37" s="917"/>
      <c r="J37" s="917"/>
      <c r="K37" s="917"/>
      <c r="L37" s="917"/>
      <c r="M37" s="917"/>
      <c r="N37" s="917"/>
      <c r="O37" s="917"/>
      <c r="P37" s="917"/>
      <c r="Q37" s="917"/>
      <c r="R37" s="917"/>
      <c r="S37" s="917"/>
      <c r="T37" s="917"/>
      <c r="U37" s="917"/>
      <c r="V37" s="72"/>
      <c r="Y37" s="44"/>
      <c r="Z37" s="44"/>
      <c r="AA37" s="593" t="s">
        <v>89</v>
      </c>
      <c r="AB37" s="827" t="s">
        <v>483</v>
      </c>
      <c r="AC37" s="592">
        <f t="shared" si="4"/>
        <v>2.4000000000000004</v>
      </c>
      <c r="AD37" s="1159"/>
      <c r="AE37" s="593" t="s">
        <v>89</v>
      </c>
      <c r="AF37" s="827" t="s">
        <v>483</v>
      </c>
      <c r="AG37" s="594">
        <v>100</v>
      </c>
      <c r="AH37" s="575">
        <v>20326</v>
      </c>
      <c r="AI37" s="795">
        <f t="shared" si="5"/>
        <v>2032600</v>
      </c>
    </row>
    <row r="38" spans="1:35" s="45" customFormat="1" ht="15" customHeight="1">
      <c r="A38" s="124"/>
      <c r="B38" s="592">
        <f t="shared" si="6"/>
        <v>2.5000000000000004</v>
      </c>
      <c r="C38" s="593" t="s">
        <v>90</v>
      </c>
      <c r="D38" s="827" t="s">
        <v>483</v>
      </c>
      <c r="E38" s="594">
        <v>360</v>
      </c>
      <c r="F38" s="575">
        <v>1864</v>
      </c>
      <c r="G38" s="795">
        <f t="shared" si="3"/>
        <v>671040</v>
      </c>
      <c r="H38" s="917"/>
      <c r="I38" s="917"/>
      <c r="J38" s="917"/>
      <c r="K38" s="917"/>
      <c r="L38" s="917"/>
      <c r="M38" s="917"/>
      <c r="N38" s="917"/>
      <c r="O38" s="917"/>
      <c r="P38" s="917"/>
      <c r="Q38" s="917"/>
      <c r="R38" s="917"/>
      <c r="S38" s="917"/>
      <c r="T38" s="917"/>
      <c r="U38" s="917"/>
      <c r="V38" s="72"/>
      <c r="Y38" s="44"/>
      <c r="Z38" s="44"/>
      <c r="AA38" s="593" t="s">
        <v>90</v>
      </c>
      <c r="AB38" s="827" t="s">
        <v>483</v>
      </c>
      <c r="AC38" s="592">
        <f t="shared" si="4"/>
        <v>2.5000000000000004</v>
      </c>
      <c r="AD38" s="1159"/>
      <c r="AE38" s="593" t="s">
        <v>90</v>
      </c>
      <c r="AF38" s="827" t="s">
        <v>483</v>
      </c>
      <c r="AG38" s="594">
        <v>360</v>
      </c>
      <c r="AH38" s="575">
        <v>1864</v>
      </c>
      <c r="AI38" s="795">
        <f t="shared" si="5"/>
        <v>671040</v>
      </c>
    </row>
    <row r="39" spans="1:35" s="45" customFormat="1" ht="15" customHeight="1">
      <c r="A39" s="124"/>
      <c r="B39" s="592">
        <f t="shared" si="6"/>
        <v>2.6000000000000005</v>
      </c>
      <c r="C39" s="593" t="s">
        <v>91</v>
      </c>
      <c r="D39" s="827" t="s">
        <v>977</v>
      </c>
      <c r="E39" s="594">
        <v>2</v>
      </c>
      <c r="F39" s="575">
        <v>618839</v>
      </c>
      <c r="G39" s="795">
        <f t="shared" si="3"/>
        <v>1237678</v>
      </c>
      <c r="H39" s="917"/>
      <c r="I39" s="917"/>
      <c r="J39" s="917"/>
      <c r="K39" s="917"/>
      <c r="L39" s="917"/>
      <c r="M39" s="917"/>
      <c r="N39" s="917"/>
      <c r="O39" s="917"/>
      <c r="P39" s="917"/>
      <c r="Q39" s="917"/>
      <c r="R39" s="917"/>
      <c r="S39" s="917"/>
      <c r="T39" s="917"/>
      <c r="U39" s="917"/>
      <c r="V39" s="72"/>
      <c r="Y39" s="44"/>
      <c r="Z39" s="44"/>
      <c r="AA39" s="593" t="s">
        <v>91</v>
      </c>
      <c r="AB39" s="827" t="s">
        <v>977</v>
      </c>
      <c r="AC39" s="592">
        <f t="shared" si="4"/>
        <v>2.6000000000000005</v>
      </c>
      <c r="AD39" s="1159"/>
      <c r="AE39" s="593" t="s">
        <v>91</v>
      </c>
      <c r="AF39" s="827" t="s">
        <v>977</v>
      </c>
      <c r="AG39" s="594">
        <v>2</v>
      </c>
      <c r="AH39" s="575">
        <v>618839</v>
      </c>
      <c r="AI39" s="795">
        <f t="shared" si="5"/>
        <v>1237678</v>
      </c>
    </row>
    <row r="40" spans="1:35" s="45" customFormat="1" ht="15" customHeight="1">
      <c r="A40" s="124"/>
      <c r="B40" s="592">
        <f t="shared" si="6"/>
        <v>2.7000000000000006</v>
      </c>
      <c r="C40" s="593" t="s">
        <v>92</v>
      </c>
      <c r="D40" s="827" t="s">
        <v>977</v>
      </c>
      <c r="E40" s="594">
        <v>1</v>
      </c>
      <c r="F40" s="575">
        <v>614676</v>
      </c>
      <c r="G40" s="795">
        <f t="shared" si="3"/>
        <v>614676</v>
      </c>
      <c r="H40" s="917"/>
      <c r="I40" s="917"/>
      <c r="J40" s="917"/>
      <c r="K40" s="917"/>
      <c r="L40" s="917"/>
      <c r="M40" s="917"/>
      <c r="N40" s="917"/>
      <c r="O40" s="917"/>
      <c r="P40" s="917"/>
      <c r="Q40" s="917"/>
      <c r="R40" s="917"/>
      <c r="S40" s="917"/>
      <c r="T40" s="917"/>
      <c r="U40" s="917"/>
      <c r="V40" s="72"/>
      <c r="Y40" s="44"/>
      <c r="Z40" s="44"/>
      <c r="AA40" s="593" t="s">
        <v>92</v>
      </c>
      <c r="AB40" s="827" t="s">
        <v>977</v>
      </c>
      <c r="AC40" s="592">
        <f t="shared" si="4"/>
        <v>2.7000000000000006</v>
      </c>
      <c r="AD40" s="1159"/>
      <c r="AE40" s="593" t="s">
        <v>92</v>
      </c>
      <c r="AF40" s="827" t="s">
        <v>977</v>
      </c>
      <c r="AG40" s="594">
        <v>1</v>
      </c>
      <c r="AH40" s="575">
        <v>614676</v>
      </c>
      <c r="AI40" s="795">
        <f t="shared" si="5"/>
        <v>614676</v>
      </c>
    </row>
    <row r="41" spans="1:35" s="45" customFormat="1" ht="15" customHeight="1">
      <c r="A41" s="124"/>
      <c r="B41" s="592"/>
      <c r="C41" s="593"/>
      <c r="D41" s="827"/>
      <c r="E41" s="594"/>
      <c r="F41" s="575"/>
      <c r="G41" s="792"/>
      <c r="H41" s="917"/>
      <c r="I41" s="917"/>
      <c r="J41" s="917"/>
      <c r="K41" s="917"/>
      <c r="L41" s="917"/>
      <c r="M41" s="917"/>
      <c r="N41" s="917"/>
      <c r="O41" s="917"/>
      <c r="P41" s="917"/>
      <c r="Q41" s="917"/>
      <c r="R41" s="917"/>
      <c r="S41" s="917"/>
      <c r="T41" s="917"/>
      <c r="U41" s="917"/>
      <c r="V41" s="72"/>
      <c r="Y41" s="44"/>
      <c r="Z41" s="44"/>
      <c r="AA41" s="593"/>
      <c r="AB41" s="827"/>
      <c r="AC41" s="592"/>
      <c r="AD41" s="1159"/>
      <c r="AE41" s="593"/>
      <c r="AF41" s="827"/>
      <c r="AG41" s="594"/>
      <c r="AH41" s="575"/>
      <c r="AI41" s="792"/>
    </row>
    <row r="42" spans="1:35" s="45" customFormat="1" ht="15" customHeight="1" thickBot="1">
      <c r="A42" s="124"/>
      <c r="B42" s="871"/>
      <c r="C42" s="1884" t="s">
        <v>983</v>
      </c>
      <c r="D42" s="1884"/>
      <c r="E42" s="1884"/>
      <c r="F42" s="1884"/>
      <c r="G42" s="1004">
        <f>SUM(G34:G41)</f>
        <v>36405554</v>
      </c>
      <c r="H42" s="917"/>
      <c r="I42" s="917"/>
      <c r="J42" s="917"/>
      <c r="K42" s="917"/>
      <c r="L42" s="917"/>
      <c r="M42" s="917"/>
      <c r="N42" s="917"/>
      <c r="O42" s="917"/>
      <c r="P42" s="917"/>
      <c r="Q42" s="917"/>
      <c r="R42" s="917"/>
      <c r="S42" s="917"/>
      <c r="T42" s="917"/>
      <c r="U42" s="917"/>
      <c r="V42" s="72"/>
      <c r="Y42" s="44"/>
      <c r="Z42" s="44"/>
      <c r="AA42" s="1927" t="s">
        <v>983</v>
      </c>
      <c r="AB42" s="1927"/>
      <c r="AC42" s="1074"/>
      <c r="AD42" s="1074"/>
      <c r="AE42" s="1927" t="s">
        <v>983</v>
      </c>
      <c r="AF42" s="1927"/>
      <c r="AG42" s="1927"/>
      <c r="AH42" s="1927"/>
      <c r="AI42" s="1115">
        <f>SUM(AI34:AI41)</f>
        <v>36405554</v>
      </c>
    </row>
    <row r="43" spans="1:35" s="45" customFormat="1" ht="15" customHeight="1">
      <c r="A43" s="124"/>
      <c r="B43" s="823"/>
      <c r="C43" s="824"/>
      <c r="D43" s="821"/>
      <c r="E43" s="825"/>
      <c r="F43" s="43"/>
      <c r="G43" s="826"/>
      <c r="H43" s="917"/>
      <c r="I43" s="917"/>
      <c r="J43" s="917"/>
      <c r="K43" s="917"/>
      <c r="L43" s="917"/>
      <c r="M43" s="917"/>
      <c r="N43" s="917"/>
      <c r="O43" s="917"/>
      <c r="P43" s="917"/>
      <c r="Q43" s="917"/>
      <c r="R43" s="917"/>
      <c r="S43" s="917"/>
      <c r="T43" s="917"/>
      <c r="U43" s="917"/>
      <c r="V43" s="72"/>
      <c r="Y43" s="44"/>
      <c r="Z43" s="44"/>
      <c r="AA43" s="824"/>
      <c r="AB43" s="821"/>
      <c r="AC43" s="823"/>
      <c r="AD43" s="823"/>
      <c r="AE43" s="824"/>
      <c r="AF43" s="821"/>
      <c r="AG43" s="825"/>
      <c r="AH43" s="43"/>
      <c r="AI43" s="826"/>
    </row>
    <row r="44" spans="1:35" s="45" customFormat="1" ht="16.5" customHeight="1" thickBot="1">
      <c r="A44" s="124"/>
      <c r="B44" s="67"/>
      <c r="C44" s="102"/>
      <c r="D44" s="69"/>
      <c r="E44" s="70"/>
      <c r="F44" s="67"/>
      <c r="G44" s="125"/>
      <c r="H44" s="917"/>
      <c r="I44" s="917"/>
      <c r="J44" s="917"/>
      <c r="K44" s="917"/>
      <c r="L44" s="917"/>
      <c r="M44" s="917"/>
      <c r="N44" s="917"/>
      <c r="O44" s="917"/>
      <c r="P44" s="917"/>
      <c r="Q44" s="917"/>
      <c r="R44" s="917"/>
      <c r="S44" s="917"/>
      <c r="T44" s="917"/>
      <c r="U44" s="917"/>
      <c r="V44" s="72"/>
      <c r="Y44" s="44"/>
      <c r="Z44" s="44"/>
      <c r="AA44" s="102"/>
      <c r="AB44" s="69"/>
      <c r="AC44" s="67"/>
      <c r="AD44" s="67"/>
      <c r="AE44" s="102"/>
      <c r="AF44" s="69"/>
      <c r="AG44" s="70"/>
      <c r="AH44" s="67"/>
      <c r="AI44" s="125"/>
    </row>
    <row r="45" spans="1:35" s="45" customFormat="1">
      <c r="A45" s="73" t="s">
        <v>38</v>
      </c>
      <c r="B45" s="74">
        <v>3</v>
      </c>
      <c r="C45" s="75" t="s">
        <v>956</v>
      </c>
      <c r="D45" s="76"/>
      <c r="E45" s="76"/>
      <c r="F45" s="76"/>
      <c r="G45" s="126"/>
      <c r="H45" s="19"/>
      <c r="I45" s="19"/>
      <c r="J45" s="19"/>
      <c r="K45" s="19"/>
      <c r="L45" s="19"/>
      <c r="M45" s="19"/>
      <c r="N45" s="78">
        <v>33292178</v>
      </c>
      <c r="O45" s="79"/>
      <c r="P45" s="80"/>
      <c r="Q45" s="81"/>
      <c r="R45" s="81"/>
      <c r="S45" s="82"/>
      <c r="T45" s="83"/>
      <c r="U45" s="79">
        <v>0</v>
      </c>
      <c r="V45" s="12" t="s">
        <v>9</v>
      </c>
      <c r="Y45" s="44"/>
      <c r="Z45" s="44"/>
      <c r="AA45" s="1060" t="s">
        <v>956</v>
      </c>
      <c r="AB45" s="1061"/>
      <c r="AC45" s="1111">
        <v>3</v>
      </c>
      <c r="AD45" s="1156"/>
      <c r="AE45" s="1060" t="s">
        <v>956</v>
      </c>
      <c r="AF45" s="1061"/>
      <c r="AG45" s="1061"/>
      <c r="AH45" s="1061"/>
      <c r="AI45" s="1113"/>
    </row>
    <row r="46" spans="1:35" s="45" customFormat="1" ht="15" hidden="1" customHeight="1">
      <c r="A46" s="84" t="s">
        <v>40</v>
      </c>
      <c r="B46" s="85"/>
      <c r="C46" s="86"/>
      <c r="D46" s="87"/>
      <c r="E46" s="88"/>
      <c r="F46" s="89"/>
      <c r="G46" s="90"/>
      <c r="H46" s="91"/>
      <c r="I46" s="89"/>
      <c r="J46" s="89"/>
      <c r="K46" s="89"/>
      <c r="L46" s="92"/>
      <c r="M46" s="93"/>
      <c r="N46" s="94"/>
      <c r="O46" s="95"/>
      <c r="P46" s="96"/>
      <c r="Q46" s="97"/>
      <c r="R46" s="97"/>
      <c r="S46" s="98"/>
      <c r="T46" s="99"/>
      <c r="U46" s="79"/>
      <c r="V46" s="72"/>
      <c r="Y46" s="44"/>
      <c r="Z46" s="44"/>
      <c r="AA46" s="86"/>
      <c r="AB46" s="87"/>
      <c r="AC46" s="85"/>
      <c r="AD46" s="1157"/>
      <c r="AE46" s="86"/>
      <c r="AF46" s="87"/>
      <c r="AG46" s="88"/>
      <c r="AH46" s="89"/>
      <c r="AI46" s="90"/>
    </row>
    <row r="47" spans="1:35" s="45" customFormat="1">
      <c r="A47" s="586"/>
      <c r="B47" s="771"/>
      <c r="C47" s="788" t="s">
        <v>947</v>
      </c>
      <c r="D47" s="772"/>
      <c r="E47" s="773"/>
      <c r="F47" s="587"/>
      <c r="G47" s="774"/>
      <c r="H47" s="588"/>
      <c r="I47" s="587"/>
      <c r="J47" s="587"/>
      <c r="K47" s="587"/>
      <c r="L47" s="589"/>
      <c r="M47" s="590"/>
      <c r="N47" s="591"/>
      <c r="O47" s="95"/>
      <c r="P47" s="579"/>
      <c r="Q47" s="580"/>
      <c r="R47" s="580"/>
      <c r="S47" s="581"/>
      <c r="T47" s="582"/>
      <c r="U47" s="79"/>
      <c r="V47" s="621"/>
      <c r="Y47" s="44"/>
      <c r="Z47" s="44"/>
      <c r="AA47" s="788" t="s">
        <v>947</v>
      </c>
      <c r="AB47" s="772"/>
      <c r="AC47" s="771"/>
      <c r="AD47" s="1154"/>
      <c r="AE47" s="788" t="s">
        <v>947</v>
      </c>
      <c r="AF47" s="772"/>
      <c r="AG47" s="773"/>
      <c r="AH47" s="587"/>
      <c r="AI47" s="774"/>
    </row>
    <row r="48" spans="1:35" s="45" customFormat="1" ht="38.25">
      <c r="A48" s="586"/>
      <c r="B48" s="771">
        <v>3.1</v>
      </c>
      <c r="C48" s="102" t="s">
        <v>943</v>
      </c>
      <c r="D48" s="772" t="s">
        <v>139</v>
      </c>
      <c r="E48" s="780">
        <v>60</v>
      </c>
      <c r="F48" s="587">
        <v>2610</v>
      </c>
      <c r="G48" s="774">
        <f>+E48*F48</f>
        <v>156600</v>
      </c>
      <c r="H48" s="588"/>
      <c r="I48" s="587"/>
      <c r="J48" s="587"/>
      <c r="K48" s="587"/>
      <c r="L48" s="589"/>
      <c r="M48" s="590"/>
      <c r="N48" s="591"/>
      <c r="O48" s="95"/>
      <c r="P48" s="579"/>
      <c r="Q48" s="580"/>
      <c r="R48" s="580"/>
      <c r="S48" s="581"/>
      <c r="T48" s="582"/>
      <c r="U48" s="79"/>
      <c r="V48" s="621"/>
      <c r="Y48" s="44"/>
      <c r="Z48" s="44"/>
      <c r="AA48" s="102" t="s">
        <v>943</v>
      </c>
      <c r="AB48" s="772" t="s">
        <v>139</v>
      </c>
      <c r="AC48" s="771">
        <v>3.1</v>
      </c>
      <c r="AD48" s="1154"/>
      <c r="AE48" s="102" t="s">
        <v>943</v>
      </c>
      <c r="AF48" s="772" t="s">
        <v>139</v>
      </c>
      <c r="AG48" s="1059">
        <v>60</v>
      </c>
      <c r="AH48" s="587">
        <v>2610</v>
      </c>
      <c r="AI48" s="774">
        <f>+AG48*AH48</f>
        <v>156600</v>
      </c>
    </row>
    <row r="49" spans="1:35" s="45" customFormat="1" ht="38.25">
      <c r="A49" s="586"/>
      <c r="B49" s="771">
        <f t="shared" ref="B49:B54" si="7">+B48+0.1</f>
        <v>3.2</v>
      </c>
      <c r="C49" s="102" t="s">
        <v>1101</v>
      </c>
      <c r="D49" s="772" t="s">
        <v>139</v>
      </c>
      <c r="E49" s="780">
        <v>20</v>
      </c>
      <c r="F49" s="587">
        <v>5190</v>
      </c>
      <c r="G49" s="774">
        <f t="shared" ref="G49:G54" si="8">+E49*F49</f>
        <v>103800</v>
      </c>
      <c r="H49" s="588"/>
      <c r="I49" s="587"/>
      <c r="J49" s="587"/>
      <c r="K49" s="587"/>
      <c r="L49" s="589"/>
      <c r="M49" s="590"/>
      <c r="N49" s="591"/>
      <c r="O49" s="95"/>
      <c r="P49" s="579"/>
      <c r="Q49" s="580"/>
      <c r="R49" s="580"/>
      <c r="S49" s="581"/>
      <c r="T49" s="582"/>
      <c r="U49" s="79"/>
      <c r="V49" s="621"/>
      <c r="Y49" s="44"/>
      <c r="Z49" s="44"/>
      <c r="AA49" s="102" t="s">
        <v>1101</v>
      </c>
      <c r="AB49" s="772" t="s">
        <v>139</v>
      </c>
      <c r="AC49" s="771">
        <f t="shared" ref="AC49:AC54" si="9">+AC48+0.1</f>
        <v>3.2</v>
      </c>
      <c r="AD49" s="1154"/>
      <c r="AE49" s="102" t="s">
        <v>1101</v>
      </c>
      <c r="AF49" s="772" t="s">
        <v>139</v>
      </c>
      <c r="AG49" s="1059">
        <v>20</v>
      </c>
      <c r="AH49" s="587">
        <v>5190</v>
      </c>
      <c r="AI49" s="774">
        <f t="shared" ref="AI49:AI54" si="10">+AG49*AH49</f>
        <v>103800</v>
      </c>
    </row>
    <row r="50" spans="1:35" s="45" customFormat="1" ht="63.75">
      <c r="A50" s="586"/>
      <c r="B50" s="771">
        <f t="shared" si="7"/>
        <v>3.3000000000000003</v>
      </c>
      <c r="C50" s="102" t="s">
        <v>941</v>
      </c>
      <c r="D50" s="777" t="s">
        <v>139</v>
      </c>
      <c r="E50" s="780">
        <v>106</v>
      </c>
      <c r="F50" s="776">
        <v>10240</v>
      </c>
      <c r="G50" s="774">
        <f t="shared" si="8"/>
        <v>1085440</v>
      </c>
      <c r="H50" s="588"/>
      <c r="I50" s="587"/>
      <c r="J50" s="587"/>
      <c r="K50" s="587"/>
      <c r="L50" s="589"/>
      <c r="M50" s="590"/>
      <c r="N50" s="591"/>
      <c r="O50" s="95"/>
      <c r="P50" s="579"/>
      <c r="Q50" s="580"/>
      <c r="R50" s="580"/>
      <c r="S50" s="581"/>
      <c r="T50" s="582"/>
      <c r="U50" s="79"/>
      <c r="V50" s="621"/>
      <c r="Y50" s="44"/>
      <c r="Z50" s="44"/>
      <c r="AA50" s="102" t="s">
        <v>941</v>
      </c>
      <c r="AB50" s="777" t="s">
        <v>139</v>
      </c>
      <c r="AC50" s="771">
        <f t="shared" si="9"/>
        <v>3.3000000000000003</v>
      </c>
      <c r="AD50" s="1154"/>
      <c r="AE50" s="102" t="s">
        <v>941</v>
      </c>
      <c r="AF50" s="777" t="s">
        <v>139</v>
      </c>
      <c r="AG50" s="1059">
        <v>106</v>
      </c>
      <c r="AH50" s="776">
        <v>10240</v>
      </c>
      <c r="AI50" s="774">
        <f t="shared" si="10"/>
        <v>1085440</v>
      </c>
    </row>
    <row r="51" spans="1:35" s="45" customFormat="1" ht="51">
      <c r="A51" s="586"/>
      <c r="B51" s="771">
        <f t="shared" si="7"/>
        <v>3.4000000000000004</v>
      </c>
      <c r="C51" s="102" t="s">
        <v>497</v>
      </c>
      <c r="D51" s="777" t="s">
        <v>56</v>
      </c>
      <c r="E51" s="780">
        <v>99</v>
      </c>
      <c r="F51" s="587">
        <v>17220</v>
      </c>
      <c r="G51" s="774">
        <f t="shared" si="8"/>
        <v>1704780</v>
      </c>
      <c r="H51" s="588"/>
      <c r="I51" s="587"/>
      <c r="J51" s="587"/>
      <c r="K51" s="587"/>
      <c r="L51" s="589"/>
      <c r="M51" s="590"/>
      <c r="N51" s="591"/>
      <c r="O51" s="95"/>
      <c r="P51" s="579"/>
      <c r="Q51" s="580"/>
      <c r="R51" s="580"/>
      <c r="S51" s="581"/>
      <c r="T51" s="582"/>
      <c r="U51" s="79"/>
      <c r="V51" s="621"/>
      <c r="Y51" s="44"/>
      <c r="Z51" s="44"/>
      <c r="AA51" s="102" t="s">
        <v>497</v>
      </c>
      <c r="AB51" s="777" t="s">
        <v>56</v>
      </c>
      <c r="AC51" s="771">
        <f t="shared" si="9"/>
        <v>3.4000000000000004</v>
      </c>
      <c r="AD51" s="1154"/>
      <c r="AE51" s="102" t="s">
        <v>497</v>
      </c>
      <c r="AF51" s="777" t="s">
        <v>56</v>
      </c>
      <c r="AG51" s="1059">
        <v>99</v>
      </c>
      <c r="AH51" s="587">
        <v>17220</v>
      </c>
      <c r="AI51" s="774">
        <f t="shared" si="10"/>
        <v>1704780</v>
      </c>
    </row>
    <row r="52" spans="1:35" s="45" customFormat="1" ht="51">
      <c r="A52" s="586"/>
      <c r="B52" s="771">
        <f t="shared" si="7"/>
        <v>3.5000000000000004</v>
      </c>
      <c r="C52" s="782" t="s">
        <v>979</v>
      </c>
      <c r="D52" s="772" t="s">
        <v>139</v>
      </c>
      <c r="E52" s="780">
        <v>29</v>
      </c>
      <c r="F52" s="791">
        <v>573533</v>
      </c>
      <c r="G52" s="774">
        <f t="shared" si="8"/>
        <v>16632457</v>
      </c>
      <c r="H52" s="588"/>
      <c r="I52" s="587"/>
      <c r="J52" s="587"/>
      <c r="K52" s="587"/>
      <c r="L52" s="589"/>
      <c r="M52" s="590"/>
      <c r="N52" s="591"/>
      <c r="O52" s="95"/>
      <c r="P52" s="579"/>
      <c r="Q52" s="580"/>
      <c r="R52" s="580"/>
      <c r="S52" s="581"/>
      <c r="T52" s="582"/>
      <c r="U52" s="79"/>
      <c r="V52" s="621"/>
      <c r="Y52" s="44"/>
      <c r="Z52" s="44"/>
      <c r="AA52" s="1062" t="s">
        <v>979</v>
      </c>
      <c r="AB52" s="772" t="s">
        <v>139</v>
      </c>
      <c r="AC52" s="771">
        <f t="shared" si="9"/>
        <v>3.5000000000000004</v>
      </c>
      <c r="AD52" s="1154"/>
      <c r="AE52" s="1062" t="s">
        <v>979</v>
      </c>
      <c r="AF52" s="772" t="s">
        <v>139</v>
      </c>
      <c r="AG52" s="1059">
        <v>29</v>
      </c>
      <c r="AH52" s="1047">
        <v>573533</v>
      </c>
      <c r="AI52" s="774">
        <f t="shared" si="10"/>
        <v>16632457</v>
      </c>
    </row>
    <row r="53" spans="1:35" s="45" customFormat="1" ht="63.75">
      <c r="A53" s="586"/>
      <c r="B53" s="771">
        <f t="shared" si="7"/>
        <v>3.6000000000000005</v>
      </c>
      <c r="C53" s="102" t="s">
        <v>976</v>
      </c>
      <c r="D53" s="772" t="s">
        <v>139</v>
      </c>
      <c r="E53" s="780">
        <v>43</v>
      </c>
      <c r="F53" s="587">
        <v>614040</v>
      </c>
      <c r="G53" s="774">
        <f t="shared" si="8"/>
        <v>26403720</v>
      </c>
      <c r="H53" s="588"/>
      <c r="I53" s="587"/>
      <c r="J53" s="587"/>
      <c r="K53" s="587"/>
      <c r="L53" s="589"/>
      <c r="M53" s="590"/>
      <c r="N53" s="591"/>
      <c r="O53" s="95"/>
      <c r="P53" s="579"/>
      <c r="Q53" s="580"/>
      <c r="R53" s="580"/>
      <c r="S53" s="581"/>
      <c r="T53" s="582"/>
      <c r="U53" s="79"/>
      <c r="V53" s="621"/>
      <c r="Y53" s="44"/>
      <c r="Z53" s="44"/>
      <c r="AA53" s="102" t="s">
        <v>976</v>
      </c>
      <c r="AB53" s="772" t="s">
        <v>139</v>
      </c>
      <c r="AC53" s="771">
        <f t="shared" si="9"/>
        <v>3.6000000000000005</v>
      </c>
      <c r="AD53" s="1154"/>
      <c r="AE53" s="102" t="s">
        <v>976</v>
      </c>
      <c r="AF53" s="772" t="s">
        <v>139</v>
      </c>
      <c r="AG53" s="1059">
        <v>43</v>
      </c>
      <c r="AH53" s="587">
        <v>614040</v>
      </c>
      <c r="AI53" s="774">
        <f t="shared" si="10"/>
        <v>26403720</v>
      </c>
    </row>
    <row r="54" spans="1:35" s="45" customFormat="1" ht="38.25">
      <c r="A54" s="586"/>
      <c r="B54" s="771">
        <f t="shared" si="7"/>
        <v>3.7000000000000006</v>
      </c>
      <c r="C54" s="102" t="s">
        <v>980</v>
      </c>
      <c r="D54" s="772" t="s">
        <v>139</v>
      </c>
      <c r="E54" s="780">
        <v>3</v>
      </c>
      <c r="F54" s="587">
        <v>594610</v>
      </c>
      <c r="G54" s="774">
        <f t="shared" si="8"/>
        <v>1783830</v>
      </c>
      <c r="H54" s="588"/>
      <c r="I54" s="587"/>
      <c r="J54" s="587"/>
      <c r="K54" s="587"/>
      <c r="L54" s="589"/>
      <c r="M54" s="590"/>
      <c r="N54" s="591"/>
      <c r="O54" s="95"/>
      <c r="P54" s="579"/>
      <c r="Q54" s="580"/>
      <c r="R54" s="580"/>
      <c r="S54" s="581"/>
      <c r="T54" s="582"/>
      <c r="U54" s="79"/>
      <c r="V54" s="621"/>
      <c r="Y54" s="44"/>
      <c r="Z54" s="44"/>
      <c r="AA54" s="102" t="s">
        <v>980</v>
      </c>
      <c r="AB54" s="772" t="s">
        <v>139</v>
      </c>
      <c r="AC54" s="771">
        <f t="shared" si="9"/>
        <v>3.7000000000000006</v>
      </c>
      <c r="AD54" s="1154"/>
      <c r="AE54" s="102" t="s">
        <v>980</v>
      </c>
      <c r="AF54" s="772" t="s">
        <v>139</v>
      </c>
      <c r="AG54" s="1059">
        <v>3</v>
      </c>
      <c r="AH54" s="587">
        <v>594610</v>
      </c>
      <c r="AI54" s="774">
        <f t="shared" si="10"/>
        <v>1783830</v>
      </c>
    </row>
    <row r="55" spans="1:35" s="45" customFormat="1">
      <c r="A55" s="586"/>
      <c r="B55" s="838"/>
      <c r="C55" s="215"/>
      <c r="D55" s="216"/>
      <c r="E55" s="829"/>
      <c r="F55" s="95"/>
      <c r="G55" s="836"/>
      <c r="H55" s="588"/>
      <c r="I55" s="587"/>
      <c r="J55" s="587"/>
      <c r="K55" s="587"/>
      <c r="L55" s="589"/>
      <c r="M55" s="590"/>
      <c r="N55" s="591"/>
      <c r="O55" s="95"/>
      <c r="P55" s="579"/>
      <c r="Q55" s="580"/>
      <c r="R55" s="580"/>
      <c r="S55" s="581"/>
      <c r="T55" s="582"/>
      <c r="U55" s="79"/>
      <c r="V55" s="621"/>
      <c r="Y55" s="44"/>
      <c r="Z55" s="44"/>
      <c r="AA55" s="215"/>
      <c r="AB55" s="216"/>
      <c r="AC55" s="838"/>
      <c r="AD55" s="823"/>
      <c r="AE55" s="215"/>
      <c r="AF55" s="216"/>
      <c r="AG55" s="1063"/>
      <c r="AH55" s="95"/>
      <c r="AI55" s="836"/>
    </row>
    <row r="56" spans="1:35" s="45" customFormat="1" ht="15.75" thickBot="1">
      <c r="A56" s="586"/>
      <c r="B56" s="113"/>
      <c r="C56" s="114"/>
      <c r="D56" s="115"/>
      <c r="E56" s="116"/>
      <c r="F56" s="789" t="s">
        <v>968</v>
      </c>
      <c r="G56" s="118">
        <f>SUM(G48:G55)</f>
        <v>47870627</v>
      </c>
      <c r="H56" s="588"/>
      <c r="I56" s="587"/>
      <c r="J56" s="587"/>
      <c r="K56" s="587"/>
      <c r="L56" s="589"/>
      <c r="M56" s="590"/>
      <c r="N56" s="591"/>
      <c r="O56" s="95"/>
      <c r="P56" s="579"/>
      <c r="Q56" s="580"/>
      <c r="R56" s="580"/>
      <c r="S56" s="581"/>
      <c r="T56" s="582"/>
      <c r="U56" s="79"/>
      <c r="V56" s="621"/>
      <c r="Y56" s="44"/>
      <c r="Z56" s="44"/>
      <c r="AA56" s="1064"/>
      <c r="AB56" s="1065"/>
      <c r="AC56" s="1116"/>
      <c r="AD56" s="1160"/>
      <c r="AE56" s="1064"/>
      <c r="AF56" s="1065"/>
      <c r="AG56" s="1066"/>
      <c r="AH56" s="1067" t="s">
        <v>968</v>
      </c>
      <c r="AI56" s="1117">
        <f>SUM(AI48:AI55)</f>
        <v>47870627</v>
      </c>
    </row>
    <row r="57" spans="1:35" s="45" customFormat="1">
      <c r="A57" s="586"/>
      <c r="B57" s="771"/>
      <c r="C57" s="102"/>
      <c r="D57" s="772"/>
      <c r="E57" s="780"/>
      <c r="F57" s="587"/>
      <c r="G57" s="774"/>
      <c r="H57" s="588"/>
      <c r="I57" s="587"/>
      <c r="J57" s="587"/>
      <c r="K57" s="587"/>
      <c r="L57" s="589"/>
      <c r="M57" s="590"/>
      <c r="N57" s="591"/>
      <c r="O57" s="95"/>
      <c r="P57" s="579"/>
      <c r="Q57" s="580"/>
      <c r="R57" s="580"/>
      <c r="S57" s="581"/>
      <c r="T57" s="582"/>
      <c r="U57" s="79"/>
      <c r="V57" s="621"/>
      <c r="Y57" s="44"/>
      <c r="Z57" s="44"/>
      <c r="AA57" s="102"/>
      <c r="AB57" s="772"/>
      <c r="AC57" s="771"/>
      <c r="AD57" s="1154"/>
      <c r="AE57" s="102"/>
      <c r="AF57" s="772"/>
      <c r="AG57" s="1059"/>
      <c r="AH57" s="587"/>
      <c r="AI57" s="774"/>
    </row>
    <row r="58" spans="1:35" s="45" customFormat="1">
      <c r="A58" s="586"/>
      <c r="B58" s="771"/>
      <c r="C58" s="787" t="s">
        <v>948</v>
      </c>
      <c r="D58" s="772"/>
      <c r="E58" s="780"/>
      <c r="F58" s="587"/>
      <c r="G58" s="774">
        <f>+E58*F59</f>
        <v>0</v>
      </c>
      <c r="H58" s="588"/>
      <c r="I58" s="587"/>
      <c r="J58" s="587"/>
      <c r="K58" s="587"/>
      <c r="L58" s="589"/>
      <c r="M58" s="590"/>
      <c r="N58" s="591"/>
      <c r="O58" s="95"/>
      <c r="P58" s="579"/>
      <c r="Q58" s="580"/>
      <c r="R58" s="580"/>
      <c r="S58" s="581"/>
      <c r="T58" s="582"/>
      <c r="U58" s="79"/>
      <c r="V58" s="621"/>
      <c r="Y58" s="44"/>
      <c r="Z58" s="44"/>
      <c r="AA58" s="787" t="s">
        <v>948</v>
      </c>
      <c r="AB58" s="772"/>
      <c r="AC58" s="771"/>
      <c r="AD58" s="1154"/>
      <c r="AE58" s="787" t="s">
        <v>948</v>
      </c>
      <c r="AF58" s="772"/>
      <c r="AG58" s="1059"/>
      <c r="AH58" s="587"/>
      <c r="AI58" s="774">
        <f>+AG58*AH59</f>
        <v>0</v>
      </c>
    </row>
    <row r="59" spans="1:35" s="45" customFormat="1" ht="51">
      <c r="A59" s="586"/>
      <c r="B59" s="771">
        <v>3.8</v>
      </c>
      <c r="C59" s="102" t="s">
        <v>522</v>
      </c>
      <c r="D59" s="772" t="s">
        <v>142</v>
      </c>
      <c r="E59" s="780">
        <v>2400</v>
      </c>
      <c r="F59" s="773">
        <v>3100</v>
      </c>
      <c r="G59" s="774">
        <f>+E59*F60</f>
        <v>10800000</v>
      </c>
      <c r="H59" s="588"/>
      <c r="I59" s="587"/>
      <c r="J59" s="587"/>
      <c r="K59" s="587"/>
      <c r="L59" s="589"/>
      <c r="M59" s="590"/>
      <c r="N59" s="591"/>
      <c r="O59" s="95"/>
      <c r="P59" s="579"/>
      <c r="Q59" s="580"/>
      <c r="R59" s="580"/>
      <c r="S59" s="581"/>
      <c r="T59" s="582"/>
      <c r="U59" s="79"/>
      <c r="V59" s="621"/>
      <c r="Y59" s="44"/>
      <c r="Z59" s="44"/>
      <c r="AA59" s="102" t="s">
        <v>522</v>
      </c>
      <c r="AB59" s="772" t="s">
        <v>142</v>
      </c>
      <c r="AC59" s="771">
        <v>3.8</v>
      </c>
      <c r="AD59" s="1154"/>
      <c r="AE59" s="102" t="s">
        <v>522</v>
      </c>
      <c r="AF59" s="772" t="s">
        <v>142</v>
      </c>
      <c r="AG59" s="1059">
        <v>2400</v>
      </c>
      <c r="AH59" s="773">
        <v>3100</v>
      </c>
      <c r="AI59" s="774">
        <f>+AG59*AH60</f>
        <v>10800000</v>
      </c>
    </row>
    <row r="60" spans="1:35" s="45" customFormat="1" ht="25.5">
      <c r="A60" s="586"/>
      <c r="B60" s="779">
        <v>3.1</v>
      </c>
      <c r="C60" s="102" t="s">
        <v>942</v>
      </c>
      <c r="D60" s="777" t="s">
        <v>56</v>
      </c>
      <c r="E60" s="780">
        <v>81</v>
      </c>
      <c r="F60" s="773">
        <v>4500</v>
      </c>
      <c r="G60" s="774">
        <f t="shared" ref="G60:G62" si="11">+E60*F61</f>
        <v>5107050</v>
      </c>
      <c r="H60" s="588"/>
      <c r="I60" s="587"/>
      <c r="J60" s="587"/>
      <c r="K60" s="587"/>
      <c r="L60" s="589"/>
      <c r="M60" s="590"/>
      <c r="N60" s="591"/>
      <c r="O60" s="95"/>
      <c r="P60" s="579"/>
      <c r="Q60" s="580"/>
      <c r="R60" s="580"/>
      <c r="S60" s="581"/>
      <c r="T60" s="582"/>
      <c r="U60" s="79"/>
      <c r="V60" s="621"/>
      <c r="Y60" s="44"/>
      <c r="Z60" s="44"/>
      <c r="AA60" s="102" t="s">
        <v>942</v>
      </c>
      <c r="AB60" s="777" t="s">
        <v>56</v>
      </c>
      <c r="AC60" s="779">
        <v>3.1</v>
      </c>
      <c r="AD60" s="1161"/>
      <c r="AE60" s="102" t="s">
        <v>942</v>
      </c>
      <c r="AF60" s="777" t="s">
        <v>56</v>
      </c>
      <c r="AG60" s="1059">
        <v>81</v>
      </c>
      <c r="AH60" s="773">
        <v>4500</v>
      </c>
      <c r="AI60" s="774">
        <f>+AG60*AH61</f>
        <v>5107050</v>
      </c>
    </row>
    <row r="61" spans="1:35" s="45" customFormat="1" ht="38.25">
      <c r="A61" s="586"/>
      <c r="B61" s="779">
        <f>+B60+0.01</f>
        <v>3.11</v>
      </c>
      <c r="C61" s="102" t="s">
        <v>945</v>
      </c>
      <c r="D61" s="772" t="s">
        <v>139</v>
      </c>
      <c r="E61" s="780">
        <v>12</v>
      </c>
      <c r="F61" s="778">
        <v>63050</v>
      </c>
      <c r="G61" s="774">
        <f t="shared" si="11"/>
        <v>351960</v>
      </c>
      <c r="H61" s="588"/>
      <c r="I61" s="587"/>
      <c r="J61" s="587"/>
      <c r="K61" s="587"/>
      <c r="L61" s="589"/>
      <c r="M61" s="590"/>
      <c r="N61" s="591"/>
      <c r="O61" s="95"/>
      <c r="P61" s="579"/>
      <c r="Q61" s="580"/>
      <c r="R61" s="580"/>
      <c r="S61" s="581"/>
      <c r="T61" s="582"/>
      <c r="U61" s="79"/>
      <c r="V61" s="621"/>
      <c r="Y61" s="44"/>
      <c r="Z61" s="44"/>
      <c r="AA61" s="102" t="s">
        <v>945</v>
      </c>
      <c r="AB61" s="772" t="s">
        <v>139</v>
      </c>
      <c r="AC61" s="779">
        <f>+AC60+0.01</f>
        <v>3.11</v>
      </c>
      <c r="AD61" s="1161"/>
      <c r="AE61" s="102" t="s">
        <v>945</v>
      </c>
      <c r="AF61" s="772" t="s">
        <v>139</v>
      </c>
      <c r="AG61" s="1059">
        <v>12</v>
      </c>
      <c r="AH61" s="778">
        <v>63050</v>
      </c>
      <c r="AI61" s="774">
        <f>+AG61*AH62</f>
        <v>351960</v>
      </c>
    </row>
    <row r="62" spans="1:35" s="45" customFormat="1" ht="25.5">
      <c r="A62" s="586"/>
      <c r="B62" s="779">
        <f t="shared" ref="B62:B80" si="12">+B61+0.01</f>
        <v>3.1199999999999997</v>
      </c>
      <c r="C62" s="102" t="s">
        <v>946</v>
      </c>
      <c r="D62" s="772" t="s">
        <v>540</v>
      </c>
      <c r="E62" s="780">
        <v>60</v>
      </c>
      <c r="F62" s="587">
        <v>29330</v>
      </c>
      <c r="G62" s="774">
        <f t="shared" si="11"/>
        <v>2924400</v>
      </c>
      <c r="H62" s="588"/>
      <c r="I62" s="587"/>
      <c r="J62" s="587"/>
      <c r="K62" s="587"/>
      <c r="L62" s="589"/>
      <c r="M62" s="590"/>
      <c r="N62" s="591"/>
      <c r="O62" s="95"/>
      <c r="P62" s="579"/>
      <c r="Q62" s="580"/>
      <c r="R62" s="580"/>
      <c r="S62" s="581"/>
      <c r="T62" s="582"/>
      <c r="U62" s="79"/>
      <c r="V62" s="621"/>
      <c r="Y62" s="44"/>
      <c r="Z62" s="44"/>
      <c r="AA62" s="102" t="s">
        <v>946</v>
      </c>
      <c r="AB62" s="772" t="s">
        <v>540</v>
      </c>
      <c r="AC62" s="779">
        <f t="shared" ref="AC62:AC80" si="13">+AC61+0.01</f>
        <v>3.1199999999999997</v>
      </c>
      <c r="AD62" s="1161"/>
      <c r="AE62" s="102" t="s">
        <v>946</v>
      </c>
      <c r="AF62" s="772" t="s">
        <v>540</v>
      </c>
      <c r="AG62" s="1059">
        <v>60</v>
      </c>
      <c r="AH62" s="587">
        <v>29330</v>
      </c>
      <c r="AI62" s="774">
        <f>+AG62*AH63</f>
        <v>2924400</v>
      </c>
    </row>
    <row r="63" spans="1:35" s="45" customFormat="1" ht="38.25">
      <c r="A63" s="586"/>
      <c r="B63" s="779">
        <f t="shared" si="12"/>
        <v>3.1299999999999994</v>
      </c>
      <c r="C63" s="102" t="s">
        <v>949</v>
      </c>
      <c r="D63" s="772" t="s">
        <v>540</v>
      </c>
      <c r="E63" s="773">
        <v>21</v>
      </c>
      <c r="F63" s="587">
        <v>48740</v>
      </c>
      <c r="G63" s="774">
        <f>+E63*F65</f>
        <v>886200</v>
      </c>
      <c r="H63" s="588"/>
      <c r="I63" s="587"/>
      <c r="J63" s="587"/>
      <c r="K63" s="587"/>
      <c r="L63" s="589"/>
      <c r="M63" s="590"/>
      <c r="N63" s="591"/>
      <c r="O63" s="95"/>
      <c r="P63" s="579"/>
      <c r="Q63" s="580"/>
      <c r="R63" s="580"/>
      <c r="S63" s="581"/>
      <c r="T63" s="582"/>
      <c r="U63" s="79"/>
      <c r="V63" s="621"/>
      <c r="Y63" s="44"/>
      <c r="Z63" s="44"/>
      <c r="AA63" s="102" t="s">
        <v>949</v>
      </c>
      <c r="AB63" s="772" t="s">
        <v>540</v>
      </c>
      <c r="AC63" s="779">
        <f t="shared" si="13"/>
        <v>3.1299999999999994</v>
      </c>
      <c r="AD63" s="1161"/>
      <c r="AE63" s="102" t="s">
        <v>949</v>
      </c>
      <c r="AF63" s="772" t="s">
        <v>540</v>
      </c>
      <c r="AG63" s="773">
        <v>21</v>
      </c>
      <c r="AH63" s="587">
        <v>48740</v>
      </c>
      <c r="AI63" s="774">
        <f>+AG63*AH65</f>
        <v>886200</v>
      </c>
    </row>
    <row r="64" spans="1:35" s="45" customFormat="1" ht="25.5">
      <c r="A64" s="586"/>
      <c r="B64" s="779">
        <f t="shared" si="12"/>
        <v>3.1399999999999992</v>
      </c>
      <c r="C64" s="782" t="s">
        <v>950</v>
      </c>
      <c r="D64" s="772" t="s">
        <v>540</v>
      </c>
      <c r="E64" s="773">
        <v>87</v>
      </c>
      <c r="F64" s="587">
        <v>18420</v>
      </c>
      <c r="G64" s="774">
        <f>+E64*F64</f>
        <v>1602540</v>
      </c>
      <c r="H64" s="588"/>
      <c r="I64" s="587"/>
      <c r="J64" s="587"/>
      <c r="K64" s="587"/>
      <c r="L64" s="589"/>
      <c r="M64" s="590"/>
      <c r="N64" s="591"/>
      <c r="O64" s="95"/>
      <c r="P64" s="579"/>
      <c r="Q64" s="580"/>
      <c r="R64" s="580"/>
      <c r="S64" s="581"/>
      <c r="T64" s="582"/>
      <c r="U64" s="79"/>
      <c r="V64" s="621"/>
      <c r="Y64" s="44"/>
      <c r="Z64" s="44"/>
      <c r="AA64" s="1062" t="s">
        <v>950</v>
      </c>
      <c r="AB64" s="772" t="s">
        <v>540</v>
      </c>
      <c r="AC64" s="779">
        <f t="shared" si="13"/>
        <v>3.1399999999999992</v>
      </c>
      <c r="AD64" s="1161"/>
      <c r="AE64" s="1062" t="s">
        <v>950</v>
      </c>
      <c r="AF64" s="772" t="s">
        <v>540</v>
      </c>
      <c r="AG64" s="773">
        <v>87</v>
      </c>
      <c r="AH64" s="587">
        <v>18420</v>
      </c>
      <c r="AI64" s="774">
        <f>+AG64*AH64</f>
        <v>1602540</v>
      </c>
    </row>
    <row r="65" spans="1:35" s="45" customFormat="1" ht="26.25" customHeight="1">
      <c r="A65" s="586"/>
      <c r="B65" s="779">
        <f t="shared" si="12"/>
        <v>3.149999999999999</v>
      </c>
      <c r="C65" s="988" t="s">
        <v>937</v>
      </c>
      <c r="D65" s="820" t="s">
        <v>22</v>
      </c>
      <c r="E65" s="969">
        <v>170</v>
      </c>
      <c r="F65" s="858">
        <v>42200</v>
      </c>
      <c r="G65" s="990">
        <f t="shared" ref="G65:G80" si="14">+E65*F65</f>
        <v>7174000</v>
      </c>
      <c r="H65" s="588"/>
      <c r="I65" s="587"/>
      <c r="J65" s="587"/>
      <c r="K65" s="587"/>
      <c r="L65" s="589"/>
      <c r="M65" s="590"/>
      <c r="N65" s="591"/>
      <c r="O65" s="95"/>
      <c r="P65" s="579"/>
      <c r="Q65" s="580"/>
      <c r="R65" s="580"/>
      <c r="S65" s="581"/>
      <c r="T65" s="582"/>
      <c r="U65" s="79"/>
      <c r="V65" s="621"/>
      <c r="W65" s="45">
        <f>29100*1.16*1.25</f>
        <v>42195</v>
      </c>
      <c r="Y65" s="44"/>
      <c r="Z65" s="44"/>
      <c r="AA65" s="988" t="s">
        <v>937</v>
      </c>
      <c r="AB65" s="820" t="s">
        <v>22</v>
      </c>
      <c r="AC65" s="779">
        <f t="shared" si="13"/>
        <v>3.149999999999999</v>
      </c>
      <c r="AD65" s="1161"/>
      <c r="AE65" s="988" t="s">
        <v>937</v>
      </c>
      <c r="AF65" s="820" t="s">
        <v>22</v>
      </c>
      <c r="AG65" s="969">
        <v>170</v>
      </c>
      <c r="AH65" s="858">
        <v>42200</v>
      </c>
      <c r="AI65" s="990">
        <f t="shared" ref="AI65:AI80" si="15">+AG65*AH65</f>
        <v>7174000</v>
      </c>
    </row>
    <row r="66" spans="1:35" s="45" customFormat="1" ht="25.5">
      <c r="A66" s="586"/>
      <c r="B66" s="779">
        <f t="shared" si="12"/>
        <v>3.1599999999999988</v>
      </c>
      <c r="C66" s="988" t="s">
        <v>952</v>
      </c>
      <c r="D66" s="820" t="s">
        <v>22</v>
      </c>
      <c r="E66" s="969">
        <v>6</v>
      </c>
      <c r="F66" s="850">
        <v>326830</v>
      </c>
      <c r="G66" s="990">
        <f t="shared" si="14"/>
        <v>1960980</v>
      </c>
      <c r="H66" s="588"/>
      <c r="I66" s="587"/>
      <c r="J66" s="587"/>
      <c r="K66" s="587"/>
      <c r="L66" s="589"/>
      <c r="M66" s="590"/>
      <c r="N66" s="591"/>
      <c r="O66" s="95"/>
      <c r="P66" s="579"/>
      <c r="Q66" s="580"/>
      <c r="R66" s="580"/>
      <c r="S66" s="581"/>
      <c r="T66" s="582"/>
      <c r="U66" s="79"/>
      <c r="V66" s="621"/>
      <c r="W66" s="45">
        <f>245000*1.16*1.1</f>
        <v>312620</v>
      </c>
      <c r="Y66" s="44"/>
      <c r="Z66" s="44"/>
      <c r="AA66" s="988" t="s">
        <v>952</v>
      </c>
      <c r="AB66" s="820" t="s">
        <v>22</v>
      </c>
      <c r="AC66" s="779">
        <f t="shared" si="13"/>
        <v>3.1599999999999988</v>
      </c>
      <c r="AD66" s="1161"/>
      <c r="AE66" s="988" t="s">
        <v>952</v>
      </c>
      <c r="AF66" s="820" t="s">
        <v>22</v>
      </c>
      <c r="AG66" s="969">
        <v>6</v>
      </c>
      <c r="AH66" s="1068">
        <v>612360</v>
      </c>
      <c r="AI66" s="990">
        <f t="shared" si="15"/>
        <v>3674160</v>
      </c>
    </row>
    <row r="67" spans="1:35" s="45" customFormat="1" ht="25.5">
      <c r="A67" s="586"/>
      <c r="B67" s="779">
        <f t="shared" si="12"/>
        <v>3.1699999999999986</v>
      </c>
      <c r="C67" s="102" t="s">
        <v>510</v>
      </c>
      <c r="D67" s="772" t="s">
        <v>22</v>
      </c>
      <c r="E67" s="773">
        <v>6</v>
      </c>
      <c r="F67" s="587">
        <v>1070400</v>
      </c>
      <c r="G67" s="774">
        <f t="shared" si="14"/>
        <v>6422400</v>
      </c>
      <c r="H67" s="588"/>
      <c r="I67" s="587"/>
      <c r="J67" s="587"/>
      <c r="K67" s="587"/>
      <c r="L67" s="589"/>
      <c r="M67" s="590"/>
      <c r="N67" s="591"/>
      <c r="O67" s="95"/>
      <c r="P67" s="579"/>
      <c r="Q67" s="580"/>
      <c r="R67" s="580"/>
      <c r="S67" s="581"/>
      <c r="T67" s="582"/>
      <c r="U67" s="79"/>
      <c r="V67" s="621"/>
      <c r="Y67" s="44"/>
      <c r="Z67" s="44"/>
      <c r="AA67" s="102" t="s">
        <v>510</v>
      </c>
      <c r="AB67" s="772" t="s">
        <v>22</v>
      </c>
      <c r="AC67" s="779">
        <f t="shared" si="13"/>
        <v>3.1699999999999986</v>
      </c>
      <c r="AD67" s="1161"/>
      <c r="AE67" s="102" t="s">
        <v>510</v>
      </c>
      <c r="AF67" s="772" t="s">
        <v>22</v>
      </c>
      <c r="AG67" s="773">
        <v>6</v>
      </c>
      <c r="AH67" s="587">
        <v>1070400</v>
      </c>
      <c r="AI67" s="774">
        <f t="shared" si="15"/>
        <v>6422400</v>
      </c>
    </row>
    <row r="68" spans="1:35" s="45" customFormat="1" ht="25.5">
      <c r="A68" s="586"/>
      <c r="B68" s="779">
        <f t="shared" si="12"/>
        <v>3.1799999999999984</v>
      </c>
      <c r="C68" s="102" t="s">
        <v>537</v>
      </c>
      <c r="D68" s="772" t="s">
        <v>22</v>
      </c>
      <c r="E68" s="773">
        <v>6</v>
      </c>
      <c r="F68" s="587">
        <v>1328000</v>
      </c>
      <c r="G68" s="774">
        <f t="shared" si="14"/>
        <v>7968000</v>
      </c>
      <c r="H68" s="588"/>
      <c r="I68" s="587"/>
      <c r="J68" s="587"/>
      <c r="K68" s="587"/>
      <c r="L68" s="589"/>
      <c r="M68" s="590"/>
      <c r="N68" s="591"/>
      <c r="O68" s="95"/>
      <c r="P68" s="579"/>
      <c r="Q68" s="580"/>
      <c r="R68" s="580"/>
      <c r="S68" s="581"/>
      <c r="T68" s="582"/>
      <c r="U68" s="79"/>
      <c r="V68" s="621"/>
      <c r="Y68" s="44"/>
      <c r="Z68" s="44"/>
      <c r="AA68" s="102" t="s">
        <v>537</v>
      </c>
      <c r="AB68" s="772" t="s">
        <v>22</v>
      </c>
      <c r="AC68" s="779">
        <f t="shared" si="13"/>
        <v>3.1799999999999984</v>
      </c>
      <c r="AD68" s="1161"/>
      <c r="AE68" s="102" t="s">
        <v>537</v>
      </c>
      <c r="AF68" s="772" t="s">
        <v>22</v>
      </c>
      <c r="AG68" s="773">
        <v>6</v>
      </c>
      <c r="AH68" s="587">
        <v>1328000</v>
      </c>
      <c r="AI68" s="774">
        <f t="shared" si="15"/>
        <v>7968000</v>
      </c>
    </row>
    <row r="69" spans="1:35" s="45" customFormat="1" ht="25.5">
      <c r="A69" s="586"/>
      <c r="B69" s="779">
        <f t="shared" si="12"/>
        <v>3.1899999999999982</v>
      </c>
      <c r="C69" s="102" t="s">
        <v>1472</v>
      </c>
      <c r="D69" s="772" t="s">
        <v>500</v>
      </c>
      <c r="E69" s="773">
        <v>22</v>
      </c>
      <c r="F69" s="587">
        <v>80874</v>
      </c>
      <c r="G69" s="774">
        <f t="shared" si="14"/>
        <v>1779228</v>
      </c>
      <c r="H69" s="588"/>
      <c r="I69" s="587"/>
      <c r="J69" s="587"/>
      <c r="K69" s="587"/>
      <c r="L69" s="589"/>
      <c r="M69" s="590"/>
      <c r="N69" s="591"/>
      <c r="O69" s="95"/>
      <c r="P69" s="579"/>
      <c r="Q69" s="580"/>
      <c r="R69" s="580"/>
      <c r="S69" s="581"/>
      <c r="T69" s="582"/>
      <c r="U69" s="79"/>
      <c r="V69" s="621"/>
      <c r="Y69" s="44"/>
      <c r="Z69" s="44"/>
      <c r="AA69" s="102" t="s">
        <v>1472</v>
      </c>
      <c r="AB69" s="772" t="s">
        <v>500</v>
      </c>
      <c r="AC69" s="779">
        <f t="shared" si="13"/>
        <v>3.1899999999999982</v>
      </c>
      <c r="AD69" s="1161"/>
      <c r="AE69" s="102" t="s">
        <v>1472</v>
      </c>
      <c r="AF69" s="772" t="s">
        <v>500</v>
      </c>
      <c r="AG69" s="773">
        <v>22</v>
      </c>
      <c r="AH69" s="587">
        <v>80874</v>
      </c>
      <c r="AI69" s="774">
        <f t="shared" si="15"/>
        <v>1779228</v>
      </c>
    </row>
    <row r="70" spans="1:35" s="45" customFormat="1" ht="25.5">
      <c r="A70" s="586"/>
      <c r="B70" s="779">
        <f t="shared" si="12"/>
        <v>3.199999999999998</v>
      </c>
      <c r="C70" s="102" t="s">
        <v>1473</v>
      </c>
      <c r="D70" s="772" t="s">
        <v>500</v>
      </c>
      <c r="E70" s="773">
        <v>22</v>
      </c>
      <c r="F70" s="587">
        <v>74874</v>
      </c>
      <c r="G70" s="774">
        <f t="shared" si="14"/>
        <v>1647228</v>
      </c>
      <c r="H70" s="588"/>
      <c r="I70" s="587"/>
      <c r="J70" s="587"/>
      <c r="K70" s="587"/>
      <c r="L70" s="589"/>
      <c r="M70" s="590"/>
      <c r="N70" s="591"/>
      <c r="O70" s="95"/>
      <c r="P70" s="579"/>
      <c r="Q70" s="580"/>
      <c r="R70" s="580"/>
      <c r="S70" s="581"/>
      <c r="T70" s="582"/>
      <c r="U70" s="79"/>
      <c r="V70" s="621"/>
      <c r="Y70" s="44"/>
      <c r="Z70" s="44"/>
      <c r="AA70" s="102" t="s">
        <v>1473</v>
      </c>
      <c r="AB70" s="772" t="s">
        <v>500</v>
      </c>
      <c r="AC70" s="779">
        <f t="shared" si="13"/>
        <v>3.199999999999998</v>
      </c>
      <c r="AD70" s="1161"/>
      <c r="AE70" s="102" t="s">
        <v>1473</v>
      </c>
      <c r="AF70" s="772" t="s">
        <v>500</v>
      </c>
      <c r="AG70" s="773">
        <v>22</v>
      </c>
      <c r="AH70" s="587">
        <v>74874</v>
      </c>
      <c r="AI70" s="774">
        <f t="shared" si="15"/>
        <v>1647228</v>
      </c>
    </row>
    <row r="71" spans="1:35" s="45" customFormat="1" ht="15.75" customHeight="1">
      <c r="A71" s="586"/>
      <c r="B71" s="779">
        <f t="shared" si="12"/>
        <v>3.2099999999999977</v>
      </c>
      <c r="C71" s="102" t="s">
        <v>509</v>
      </c>
      <c r="D71" s="772" t="s">
        <v>56</v>
      </c>
      <c r="E71" s="773">
        <v>77</v>
      </c>
      <c r="F71" s="587">
        <v>150170</v>
      </c>
      <c r="G71" s="774">
        <f t="shared" si="14"/>
        <v>11563090</v>
      </c>
      <c r="H71" s="588"/>
      <c r="I71" s="587"/>
      <c r="J71" s="587"/>
      <c r="K71" s="587"/>
      <c r="L71" s="589"/>
      <c r="M71" s="590"/>
      <c r="N71" s="591"/>
      <c r="O71" s="95"/>
      <c r="P71" s="579"/>
      <c r="Q71" s="580"/>
      <c r="R71" s="580"/>
      <c r="S71" s="581"/>
      <c r="T71" s="582"/>
      <c r="U71" s="79"/>
      <c r="V71" s="621"/>
      <c r="W71" s="215"/>
      <c r="X71" s="830"/>
      <c r="Y71" s="829"/>
      <c r="Z71" s="95"/>
      <c r="AA71" s="102" t="s">
        <v>509</v>
      </c>
      <c r="AB71" s="772" t="s">
        <v>56</v>
      </c>
      <c r="AC71" s="779">
        <f t="shared" si="13"/>
        <v>3.2099999999999977</v>
      </c>
      <c r="AD71" s="1161"/>
      <c r="AE71" s="102" t="s">
        <v>509</v>
      </c>
      <c r="AF71" s="772" t="s">
        <v>56</v>
      </c>
      <c r="AG71" s="773">
        <v>77</v>
      </c>
      <c r="AH71" s="587">
        <v>150170</v>
      </c>
      <c r="AI71" s="774">
        <f t="shared" si="15"/>
        <v>11563090</v>
      </c>
    </row>
    <row r="72" spans="1:35" s="45" customFormat="1" ht="280.5">
      <c r="A72" s="586"/>
      <c r="B72" s="779">
        <f t="shared" si="12"/>
        <v>3.2199999999999975</v>
      </c>
      <c r="C72" s="102" t="s">
        <v>953</v>
      </c>
      <c r="D72" s="772"/>
      <c r="E72" s="773"/>
      <c r="F72" s="587"/>
      <c r="G72" s="774">
        <f t="shared" si="14"/>
        <v>0</v>
      </c>
      <c r="H72" s="588"/>
      <c r="I72" s="587"/>
      <c r="J72" s="587"/>
      <c r="K72" s="587"/>
      <c r="L72" s="589"/>
      <c r="M72" s="590"/>
      <c r="N72" s="591"/>
      <c r="O72" s="95"/>
      <c r="P72" s="579"/>
      <c r="Q72" s="580"/>
      <c r="R72" s="580"/>
      <c r="S72" s="581"/>
      <c r="T72" s="582"/>
      <c r="U72" s="79"/>
      <c r="V72" s="621"/>
      <c r="Y72" s="44"/>
      <c r="Z72" s="44"/>
      <c r="AA72" s="102" t="s">
        <v>1474</v>
      </c>
      <c r="AB72" s="772"/>
      <c r="AC72" s="779">
        <f t="shared" si="13"/>
        <v>3.2199999999999975</v>
      </c>
      <c r="AD72" s="1161"/>
      <c r="AE72" s="102" t="s">
        <v>1474</v>
      </c>
      <c r="AF72" s="772"/>
      <c r="AG72" s="773"/>
      <c r="AH72" s="587"/>
      <c r="AI72" s="774">
        <f t="shared" si="15"/>
        <v>0</v>
      </c>
    </row>
    <row r="73" spans="1:35" s="45" customFormat="1" ht="38.25">
      <c r="A73" s="586"/>
      <c r="B73" s="857" t="s">
        <v>1032</v>
      </c>
      <c r="C73" s="988" t="s">
        <v>954</v>
      </c>
      <c r="D73" s="820" t="s">
        <v>22</v>
      </c>
      <c r="E73" s="969">
        <v>3</v>
      </c>
      <c r="F73" s="858">
        <v>8569935</v>
      </c>
      <c r="G73" s="990">
        <f t="shared" si="14"/>
        <v>25709805</v>
      </c>
      <c r="H73" s="588"/>
      <c r="I73" s="587"/>
      <c r="J73" s="587"/>
      <c r="K73" s="587"/>
      <c r="L73" s="589"/>
      <c r="M73" s="590"/>
      <c r="N73" s="591"/>
      <c r="O73" s="95"/>
      <c r="P73" s="579"/>
      <c r="Q73" s="580"/>
      <c r="R73" s="580"/>
      <c r="S73" s="581"/>
      <c r="T73" s="582"/>
      <c r="U73" s="79"/>
      <c r="V73" s="621"/>
      <c r="X73" s="45">
        <f>6716250*1.16*1.1</f>
        <v>8569935</v>
      </c>
      <c r="Y73" s="44"/>
      <c r="Z73" s="44"/>
      <c r="AA73" s="988" t="s">
        <v>1475</v>
      </c>
      <c r="AB73" s="820" t="s">
        <v>22</v>
      </c>
      <c r="AC73" s="857" t="s">
        <v>1032</v>
      </c>
      <c r="AD73" s="1162"/>
      <c r="AE73" s="988" t="s">
        <v>1475</v>
      </c>
      <c r="AF73" s="820" t="s">
        <v>22</v>
      </c>
      <c r="AG73" s="969">
        <v>3</v>
      </c>
      <c r="AH73" s="858">
        <v>8569935</v>
      </c>
      <c r="AI73" s="990">
        <f t="shared" si="15"/>
        <v>25709805</v>
      </c>
    </row>
    <row r="74" spans="1:35" s="45" customFormat="1" ht="38.25">
      <c r="A74" s="586"/>
      <c r="B74" s="857" t="s">
        <v>1033</v>
      </c>
      <c r="C74" s="988" t="s">
        <v>955</v>
      </c>
      <c r="D74" s="820" t="s">
        <v>22</v>
      </c>
      <c r="E74" s="969">
        <v>2</v>
      </c>
      <c r="F74" s="858">
        <v>8644083</v>
      </c>
      <c r="G74" s="990">
        <f t="shared" si="14"/>
        <v>17288166</v>
      </c>
      <c r="H74" s="588"/>
      <c r="I74" s="587"/>
      <c r="J74" s="587"/>
      <c r="K74" s="587"/>
      <c r="L74" s="589"/>
      <c r="M74" s="590"/>
      <c r="N74" s="591"/>
      <c r="O74" s="95"/>
      <c r="P74" s="579"/>
      <c r="Q74" s="580"/>
      <c r="R74" s="580"/>
      <c r="S74" s="581"/>
      <c r="T74" s="582"/>
      <c r="U74" s="79"/>
      <c r="V74" s="621"/>
      <c r="X74" s="45">
        <f>6774360*1.16*1.1</f>
        <v>8644083.3599999994</v>
      </c>
      <c r="Y74" s="44"/>
      <c r="Z74" s="44"/>
      <c r="AA74" s="988" t="s">
        <v>1476</v>
      </c>
      <c r="AB74" s="820" t="s">
        <v>22</v>
      </c>
      <c r="AC74" s="857" t="s">
        <v>1033</v>
      </c>
      <c r="AD74" s="1162"/>
      <c r="AE74" s="988" t="s">
        <v>1476</v>
      </c>
      <c r="AF74" s="820" t="s">
        <v>22</v>
      </c>
      <c r="AG74" s="969">
        <v>2</v>
      </c>
      <c r="AH74" s="858">
        <v>8644083</v>
      </c>
      <c r="AI74" s="990">
        <f t="shared" si="15"/>
        <v>17288166</v>
      </c>
    </row>
    <row r="75" spans="1:35" s="45" customFormat="1" ht="38.25">
      <c r="A75" s="586"/>
      <c r="B75" s="857" t="s">
        <v>1034</v>
      </c>
      <c r="C75" s="988" t="s">
        <v>511</v>
      </c>
      <c r="D75" s="820" t="s">
        <v>22</v>
      </c>
      <c r="E75" s="969">
        <v>6</v>
      </c>
      <c r="F75" s="858">
        <v>4053852</v>
      </c>
      <c r="G75" s="990">
        <f t="shared" si="14"/>
        <v>24323112</v>
      </c>
      <c r="H75" s="588"/>
      <c r="I75" s="587"/>
      <c r="J75" s="587"/>
      <c r="K75" s="587"/>
      <c r="L75" s="589"/>
      <c r="M75" s="590"/>
      <c r="N75" s="591"/>
      <c r="O75" s="95"/>
      <c r="P75" s="579"/>
      <c r="Q75" s="580"/>
      <c r="R75" s="580"/>
      <c r="S75" s="581"/>
      <c r="T75" s="582"/>
      <c r="U75" s="79"/>
      <c r="V75" s="621"/>
      <c r="W75" s="856"/>
      <c r="X75" s="45">
        <f>3177000*1.16*1.1</f>
        <v>4053852</v>
      </c>
      <c r="Y75" s="44"/>
      <c r="Z75" s="44"/>
      <c r="AA75" s="988" t="s">
        <v>511</v>
      </c>
      <c r="AB75" s="820" t="s">
        <v>22</v>
      </c>
      <c r="AC75" s="857" t="s">
        <v>1034</v>
      </c>
      <c r="AD75" s="1162"/>
      <c r="AE75" s="988" t="s">
        <v>511</v>
      </c>
      <c r="AF75" s="820" t="s">
        <v>22</v>
      </c>
      <c r="AG75" s="969">
        <v>6</v>
      </c>
      <c r="AH75" s="858">
        <v>4053852</v>
      </c>
      <c r="AI75" s="990">
        <f t="shared" si="15"/>
        <v>24323112</v>
      </c>
    </row>
    <row r="76" spans="1:35" s="45" customFormat="1" ht="51">
      <c r="A76" s="586"/>
      <c r="B76" s="857" t="s">
        <v>1035</v>
      </c>
      <c r="C76" s="102" t="s">
        <v>503</v>
      </c>
      <c r="D76" s="772" t="s">
        <v>22</v>
      </c>
      <c r="E76" s="773">
        <v>3</v>
      </c>
      <c r="F76" s="858">
        <v>890000</v>
      </c>
      <c r="G76" s="774">
        <f t="shared" si="14"/>
        <v>2670000</v>
      </c>
      <c r="H76" s="588"/>
      <c r="I76" s="587"/>
      <c r="J76" s="587"/>
      <c r="K76" s="587"/>
      <c r="L76" s="589"/>
      <c r="M76" s="590"/>
      <c r="N76" s="591"/>
      <c r="O76" s="95"/>
      <c r="P76" s="579"/>
      <c r="Q76" s="580"/>
      <c r="R76" s="580"/>
      <c r="S76" s="581"/>
      <c r="T76" s="582"/>
      <c r="U76" s="79"/>
      <c r="V76" s="621"/>
      <c r="Y76" s="44"/>
      <c r="Z76" s="44"/>
      <c r="AA76" s="102" t="s">
        <v>503</v>
      </c>
      <c r="AB76" s="772" t="s">
        <v>22</v>
      </c>
      <c r="AC76" s="857" t="s">
        <v>1035</v>
      </c>
      <c r="AD76" s="1162"/>
      <c r="AE76" s="102" t="s">
        <v>503</v>
      </c>
      <c r="AF76" s="772" t="s">
        <v>22</v>
      </c>
      <c r="AG76" s="773">
        <v>3</v>
      </c>
      <c r="AH76" s="858">
        <v>890000</v>
      </c>
      <c r="AI76" s="774">
        <f t="shared" si="15"/>
        <v>2670000</v>
      </c>
    </row>
    <row r="77" spans="1:35" s="45" customFormat="1" ht="51">
      <c r="A77" s="586"/>
      <c r="B77" s="857" t="s">
        <v>1036</v>
      </c>
      <c r="C77" s="102" t="s">
        <v>504</v>
      </c>
      <c r="D77" s="772" t="s">
        <v>22</v>
      </c>
      <c r="E77" s="773">
        <v>1</v>
      </c>
      <c r="F77" s="858">
        <v>182000</v>
      </c>
      <c r="G77" s="774">
        <f t="shared" si="14"/>
        <v>182000</v>
      </c>
      <c r="H77" s="588"/>
      <c r="I77" s="587"/>
      <c r="J77" s="587"/>
      <c r="K77" s="587"/>
      <c r="L77" s="589"/>
      <c r="M77" s="590"/>
      <c r="N77" s="591"/>
      <c r="O77" s="95"/>
      <c r="P77" s="579"/>
      <c r="Q77" s="580"/>
      <c r="R77" s="580"/>
      <c r="S77" s="581"/>
      <c r="T77" s="582"/>
      <c r="U77" s="79"/>
      <c r="V77" s="621"/>
      <c r="Y77" s="44"/>
      <c r="Z77" s="44"/>
      <c r="AA77" s="102" t="s">
        <v>504</v>
      </c>
      <c r="AB77" s="772" t="s">
        <v>22</v>
      </c>
      <c r="AC77" s="857" t="s">
        <v>1036</v>
      </c>
      <c r="AD77" s="1162"/>
      <c r="AE77" s="102" t="s">
        <v>504</v>
      </c>
      <c r="AF77" s="772" t="s">
        <v>22</v>
      </c>
      <c r="AG77" s="773">
        <v>1</v>
      </c>
      <c r="AH77" s="858">
        <v>182000</v>
      </c>
      <c r="AI77" s="774">
        <f t="shared" si="15"/>
        <v>182000</v>
      </c>
    </row>
    <row r="78" spans="1:35" s="45" customFormat="1" ht="51">
      <c r="A78" s="586"/>
      <c r="B78" s="857" t="s">
        <v>1037</v>
      </c>
      <c r="C78" s="102" t="s">
        <v>505</v>
      </c>
      <c r="D78" s="772" t="s">
        <v>22</v>
      </c>
      <c r="E78" s="773">
        <v>1</v>
      </c>
      <c r="F78" s="858">
        <v>127500</v>
      </c>
      <c r="G78" s="774">
        <f t="shared" si="14"/>
        <v>127500</v>
      </c>
      <c r="H78" s="588"/>
      <c r="I78" s="587"/>
      <c r="J78" s="587"/>
      <c r="K78" s="587"/>
      <c r="L78" s="589"/>
      <c r="M78" s="590"/>
      <c r="N78" s="591"/>
      <c r="O78" s="95"/>
      <c r="P78" s="579"/>
      <c r="Q78" s="580"/>
      <c r="R78" s="580"/>
      <c r="S78" s="581"/>
      <c r="T78" s="582"/>
      <c r="U78" s="79"/>
      <c r="V78" s="621"/>
      <c r="Y78" s="44"/>
      <c r="Z78" s="44"/>
      <c r="AA78" s="102" t="s">
        <v>505</v>
      </c>
      <c r="AB78" s="772" t="s">
        <v>22</v>
      </c>
      <c r="AC78" s="857" t="s">
        <v>1037</v>
      </c>
      <c r="AD78" s="1162"/>
      <c r="AE78" s="102" t="s">
        <v>505</v>
      </c>
      <c r="AF78" s="772" t="s">
        <v>22</v>
      </c>
      <c r="AG78" s="773">
        <v>1</v>
      </c>
      <c r="AH78" s="858">
        <v>127500</v>
      </c>
      <c r="AI78" s="774">
        <f t="shared" si="15"/>
        <v>127500</v>
      </c>
    </row>
    <row r="79" spans="1:35" s="45" customFormat="1" ht="318.75" hidden="1" customHeight="1">
      <c r="A79" s="586"/>
      <c r="B79" s="987">
        <v>3.23</v>
      </c>
      <c r="C79" s="1044" t="s">
        <v>978</v>
      </c>
      <c r="D79" s="1005" t="s">
        <v>22</v>
      </c>
      <c r="E79" s="1006"/>
      <c r="F79" s="1007">
        <v>16554593.799253464</v>
      </c>
      <c r="G79" s="1008">
        <f t="shared" si="14"/>
        <v>0</v>
      </c>
      <c r="H79" s="588"/>
      <c r="I79" s="587"/>
      <c r="J79" s="587"/>
      <c r="K79" s="587"/>
      <c r="L79" s="589"/>
      <c r="M79" s="590"/>
      <c r="N79" s="591"/>
      <c r="O79" s="95"/>
      <c r="P79" s="579"/>
      <c r="Q79" s="580"/>
      <c r="R79" s="580"/>
      <c r="S79" s="581"/>
      <c r="T79" s="582"/>
      <c r="U79" s="79"/>
      <c r="V79" s="621"/>
      <c r="W79" s="961" t="e">
        <f>+X544</f>
        <v>#REF!</v>
      </c>
      <c r="Y79" s="44"/>
      <c r="Z79" s="44"/>
      <c r="AA79" s="1044" t="s">
        <v>978</v>
      </c>
      <c r="AB79" s="1005" t="s">
        <v>22</v>
      </c>
      <c r="AC79" s="987">
        <v>3.23</v>
      </c>
      <c r="AD79" s="1163"/>
      <c r="AE79" s="1044" t="s">
        <v>978</v>
      </c>
      <c r="AF79" s="1005" t="s">
        <v>22</v>
      </c>
      <c r="AG79" s="1006"/>
      <c r="AH79" s="1007">
        <v>16554593.799253464</v>
      </c>
      <c r="AI79" s="1008">
        <f t="shared" si="15"/>
        <v>0</v>
      </c>
    </row>
    <row r="80" spans="1:35" s="45" customFormat="1" ht="22.5" hidden="1" customHeight="1">
      <c r="A80" s="586"/>
      <c r="B80" s="779">
        <f t="shared" si="12"/>
        <v>3.2399999999999998</v>
      </c>
      <c r="C80" s="781" t="s">
        <v>951</v>
      </c>
      <c r="D80" s="783" t="s">
        <v>22</v>
      </c>
      <c r="E80" s="784">
        <v>1</v>
      </c>
      <c r="F80" s="785"/>
      <c r="G80" s="786">
        <f t="shared" si="14"/>
        <v>0</v>
      </c>
      <c r="H80" s="588"/>
      <c r="I80" s="587"/>
      <c r="J80" s="587"/>
      <c r="K80" s="587"/>
      <c r="L80" s="589"/>
      <c r="M80" s="590"/>
      <c r="N80" s="591"/>
      <c r="O80" s="95"/>
      <c r="P80" s="579"/>
      <c r="Q80" s="580"/>
      <c r="R80" s="580"/>
      <c r="S80" s="581"/>
      <c r="T80" s="582"/>
      <c r="U80" s="79"/>
      <c r="V80" s="621"/>
      <c r="Y80" s="44"/>
      <c r="Z80" s="44"/>
      <c r="AA80" s="1069" t="s">
        <v>951</v>
      </c>
      <c r="AB80" s="1070" t="s">
        <v>22</v>
      </c>
      <c r="AC80" s="779">
        <f t="shared" si="13"/>
        <v>3.2399999999999998</v>
      </c>
      <c r="AD80" s="1161"/>
      <c r="AE80" s="1069" t="s">
        <v>951</v>
      </c>
      <c r="AF80" s="1070" t="s">
        <v>22</v>
      </c>
      <c r="AG80" s="1071">
        <v>1</v>
      </c>
      <c r="AH80" s="1072"/>
      <c r="AI80" s="1118">
        <f t="shared" si="15"/>
        <v>0</v>
      </c>
    </row>
    <row r="81" spans="1:35" s="45" customFormat="1">
      <c r="A81" s="586"/>
      <c r="B81" s="779"/>
      <c r="C81" s="781"/>
      <c r="D81" s="781"/>
      <c r="E81" s="781"/>
      <c r="F81" s="781"/>
      <c r="G81" s="786"/>
      <c r="H81" s="588"/>
      <c r="I81" s="587"/>
      <c r="J81" s="587"/>
      <c r="K81" s="587"/>
      <c r="L81" s="589"/>
      <c r="M81" s="590"/>
      <c r="N81" s="591"/>
      <c r="O81" s="95"/>
      <c r="P81" s="579"/>
      <c r="Q81" s="580"/>
      <c r="R81" s="580"/>
      <c r="S81" s="581"/>
      <c r="T81" s="582"/>
      <c r="U81" s="79"/>
      <c r="V81" s="621"/>
      <c r="Y81" s="44"/>
      <c r="Z81" s="44"/>
      <c r="AA81" s="1069"/>
      <c r="AB81" s="1069"/>
      <c r="AC81" s="779"/>
      <c r="AD81" s="1161"/>
      <c r="AE81" s="1069"/>
      <c r="AF81" s="1069"/>
      <c r="AG81" s="1069"/>
      <c r="AH81" s="1069"/>
      <c r="AI81" s="1118"/>
    </row>
    <row r="82" spans="1:35" s="45" customFormat="1">
      <c r="A82" s="586"/>
      <c r="B82" s="771"/>
      <c r="C82" s="102"/>
      <c r="D82" s="772"/>
      <c r="E82" s="773"/>
      <c r="F82" s="587"/>
      <c r="G82" s="774"/>
      <c r="H82" s="588"/>
      <c r="I82" s="587"/>
      <c r="J82" s="587"/>
      <c r="K82" s="587"/>
      <c r="L82" s="589"/>
      <c r="M82" s="590"/>
      <c r="N82" s="591"/>
      <c r="O82" s="95"/>
      <c r="P82" s="579"/>
      <c r="Q82" s="580"/>
      <c r="R82" s="580"/>
      <c r="S82" s="581"/>
      <c r="T82" s="582"/>
      <c r="U82" s="79"/>
      <c r="V82" s="621"/>
      <c r="Y82" s="44"/>
      <c r="Z82" s="44"/>
      <c r="AA82" s="102"/>
      <c r="AB82" s="772"/>
      <c r="AC82" s="771"/>
      <c r="AD82" s="1154"/>
      <c r="AE82" s="102"/>
      <c r="AF82" s="772"/>
      <c r="AG82" s="773"/>
      <c r="AH82" s="587"/>
      <c r="AI82" s="774"/>
    </row>
    <row r="83" spans="1:35" s="45" customFormat="1" ht="15.75" thickBot="1">
      <c r="A83" s="586"/>
      <c r="B83" s="771"/>
      <c r="C83" s="114"/>
      <c r="D83" s="115"/>
      <c r="E83" s="116"/>
      <c r="F83" s="117" t="s">
        <v>957</v>
      </c>
      <c r="G83" s="118">
        <f>SUM(G58:G82)</f>
        <v>130487659</v>
      </c>
      <c r="H83" s="588"/>
      <c r="I83" s="587"/>
      <c r="J83" s="587"/>
      <c r="K83" s="587"/>
      <c r="L83" s="589"/>
      <c r="M83" s="590"/>
      <c r="N83" s="591"/>
      <c r="O83" s="95"/>
      <c r="P83" s="579"/>
      <c r="Q83" s="580"/>
      <c r="R83" s="580"/>
      <c r="S83" s="581"/>
      <c r="T83" s="582"/>
      <c r="U83" s="79"/>
      <c r="V83" s="621"/>
      <c r="Y83" s="44"/>
      <c r="Z83" s="44"/>
      <c r="AA83" s="1064"/>
      <c r="AB83" s="1065"/>
      <c r="AC83" s="771"/>
      <c r="AD83" s="823"/>
      <c r="AE83" s="1064"/>
      <c r="AF83" s="1065"/>
      <c r="AG83" s="1066"/>
      <c r="AH83" s="1073" t="s">
        <v>957</v>
      </c>
      <c r="AI83" s="1117">
        <f>SUM(AI58:AI82)</f>
        <v>132200839</v>
      </c>
    </row>
    <row r="84" spans="1:35" s="45" customFormat="1">
      <c r="A84" s="586"/>
      <c r="B84" s="771"/>
      <c r="C84" s="102"/>
      <c r="D84" s="772"/>
      <c r="E84" s="773"/>
      <c r="F84" s="587"/>
      <c r="G84" s="774"/>
      <c r="H84" s="588"/>
      <c r="I84" s="587"/>
      <c r="J84" s="587"/>
      <c r="K84" s="587"/>
      <c r="L84" s="589"/>
      <c r="M84" s="590"/>
      <c r="N84" s="591"/>
      <c r="O84" s="95"/>
      <c r="P84" s="579"/>
      <c r="Q84" s="580"/>
      <c r="R84" s="580"/>
      <c r="S84" s="581"/>
      <c r="T84" s="582"/>
      <c r="U84" s="79"/>
      <c r="V84" s="621"/>
      <c r="Y84" s="44"/>
      <c r="Z84" s="44"/>
      <c r="AA84" s="102"/>
      <c r="AB84" s="772"/>
      <c r="AC84" s="771"/>
      <c r="AD84" s="1154"/>
      <c r="AE84" s="102"/>
      <c r="AF84" s="772"/>
      <c r="AG84" s="773"/>
      <c r="AH84" s="587"/>
      <c r="AI84" s="774"/>
    </row>
    <row r="85" spans="1:35" s="45" customFormat="1" ht="15.75" thickBot="1">
      <c r="A85" s="586"/>
      <c r="B85" s="771"/>
      <c r="C85" s="871"/>
      <c r="D85" s="873"/>
      <c r="E85" s="874"/>
      <c r="F85" s="947" t="s">
        <v>958</v>
      </c>
      <c r="G85" s="1004">
        <f>+G56+G83</f>
        <v>178358286</v>
      </c>
      <c r="H85" s="588"/>
      <c r="I85" s="587"/>
      <c r="J85" s="587"/>
      <c r="K85" s="587"/>
      <c r="L85" s="589"/>
      <c r="M85" s="590"/>
      <c r="N85" s="591"/>
      <c r="O85" s="95"/>
      <c r="P85" s="579"/>
      <c r="Q85" s="580"/>
      <c r="R85" s="580"/>
      <c r="S85" s="581"/>
      <c r="T85" s="582"/>
      <c r="U85" s="79"/>
      <c r="V85" s="621"/>
      <c r="Y85" s="44"/>
      <c r="Z85" s="44"/>
      <c r="AA85" s="1074"/>
      <c r="AB85" s="1075"/>
      <c r="AC85" s="771"/>
      <c r="AD85" s="823"/>
      <c r="AE85" s="1074"/>
      <c r="AF85" s="1075"/>
      <c r="AG85" s="1076"/>
      <c r="AH85" s="1077" t="s">
        <v>958</v>
      </c>
      <c r="AI85" s="1115">
        <f>+AI56+AI83</f>
        <v>180071466</v>
      </c>
    </row>
    <row r="86" spans="1:35" s="45" customFormat="1" ht="15.75" thickBot="1">
      <c r="A86" s="586"/>
      <c r="B86" s="823"/>
      <c r="C86" s="824"/>
      <c r="D86" s="821"/>
      <c r="E86" s="825"/>
      <c r="F86" s="43"/>
      <c r="G86" s="826"/>
      <c r="H86" s="588"/>
      <c r="I86" s="587"/>
      <c r="J86" s="587"/>
      <c r="K86" s="587"/>
      <c r="L86" s="589"/>
      <c r="M86" s="590"/>
      <c r="N86" s="591"/>
      <c r="O86" s="95"/>
      <c r="P86" s="579"/>
      <c r="Q86" s="580"/>
      <c r="R86" s="580"/>
      <c r="S86" s="581"/>
      <c r="T86" s="582"/>
      <c r="U86" s="79"/>
      <c r="V86" s="621"/>
      <c r="Y86" s="44"/>
      <c r="Z86" s="44"/>
      <c r="AA86" s="824"/>
      <c r="AB86" s="821"/>
      <c r="AC86" s="823"/>
      <c r="AD86" s="823"/>
      <c r="AE86" s="824"/>
      <c r="AF86" s="821"/>
      <c r="AG86" s="825"/>
      <c r="AH86" s="43"/>
      <c r="AI86" s="826"/>
    </row>
    <row r="87" spans="1:35" s="45" customFormat="1">
      <c r="A87" s="586"/>
      <c r="B87" s="74">
        <v>4</v>
      </c>
      <c r="C87" s="75" t="s">
        <v>475</v>
      </c>
      <c r="D87" s="76"/>
      <c r="E87" s="76"/>
      <c r="F87" s="76"/>
      <c r="G87" s="126"/>
      <c r="H87" s="588"/>
      <c r="I87" s="587"/>
      <c r="J87" s="587"/>
      <c r="K87" s="587"/>
      <c r="L87" s="589"/>
      <c r="M87" s="590"/>
      <c r="N87" s="591"/>
      <c r="O87" s="95"/>
      <c r="P87" s="579"/>
      <c r="Q87" s="580"/>
      <c r="R87" s="580"/>
      <c r="S87" s="581"/>
      <c r="T87" s="582"/>
      <c r="U87" s="79"/>
      <c r="V87" s="621"/>
      <c r="Y87" s="44"/>
      <c r="Z87" s="44"/>
      <c r="AA87" s="1060" t="s">
        <v>475</v>
      </c>
      <c r="AB87" s="1061"/>
      <c r="AC87" s="1111">
        <v>4</v>
      </c>
      <c r="AD87" s="1156"/>
      <c r="AE87" s="1060" t="s">
        <v>475</v>
      </c>
      <c r="AF87" s="1061"/>
      <c r="AG87" s="1061"/>
      <c r="AH87" s="1061"/>
      <c r="AI87" s="1113"/>
    </row>
    <row r="88" spans="1:35" s="45" customFormat="1">
      <c r="A88" s="586"/>
      <c r="B88" s="771"/>
      <c r="C88" s="788" t="s">
        <v>947</v>
      </c>
      <c r="D88" s="772"/>
      <c r="E88" s="773"/>
      <c r="F88" s="587"/>
      <c r="G88" s="774"/>
      <c r="H88" s="588"/>
      <c r="I88" s="587"/>
      <c r="J88" s="587"/>
      <c r="K88" s="587"/>
      <c r="L88" s="589"/>
      <c r="M88" s="590"/>
      <c r="N88" s="591"/>
      <c r="O88" s="95"/>
      <c r="P88" s="579"/>
      <c r="Q88" s="580"/>
      <c r="R88" s="580"/>
      <c r="S88" s="581"/>
      <c r="T88" s="582"/>
      <c r="U88" s="79"/>
      <c r="V88" s="621"/>
      <c r="Y88" s="44"/>
      <c r="Z88" s="44"/>
      <c r="AA88" s="788" t="s">
        <v>947</v>
      </c>
      <c r="AB88" s="772"/>
      <c r="AC88" s="771"/>
      <c r="AD88" s="1154"/>
      <c r="AE88" s="788" t="s">
        <v>947</v>
      </c>
      <c r="AF88" s="772"/>
      <c r="AG88" s="773"/>
      <c r="AH88" s="587"/>
      <c r="AI88" s="774"/>
    </row>
    <row r="89" spans="1:35" s="45" customFormat="1" ht="38.25">
      <c r="A89" s="586"/>
      <c r="B89" s="771">
        <v>4.0999999999999996</v>
      </c>
      <c r="C89" s="102" t="s">
        <v>943</v>
      </c>
      <c r="D89" s="772" t="s">
        <v>139</v>
      </c>
      <c r="E89" s="587">
        <v>182</v>
      </c>
      <c r="F89" s="587">
        <v>2610</v>
      </c>
      <c r="G89" s="774">
        <f>+E89*F89</f>
        <v>475020</v>
      </c>
      <c r="H89" s="588"/>
      <c r="I89" s="587"/>
      <c r="J89" s="587"/>
      <c r="K89" s="587"/>
      <c r="L89" s="589"/>
      <c r="M89" s="590"/>
      <c r="N89" s="591"/>
      <c r="O89" s="95"/>
      <c r="P89" s="579"/>
      <c r="Q89" s="580"/>
      <c r="R89" s="580"/>
      <c r="S89" s="581"/>
      <c r="T89" s="582"/>
      <c r="U89" s="79"/>
      <c r="V89" s="621"/>
      <c r="AA89" s="102" t="s">
        <v>943</v>
      </c>
      <c r="AB89" s="772" t="s">
        <v>139</v>
      </c>
      <c r="AC89" s="771">
        <v>4.0999999999999996</v>
      </c>
      <c r="AD89" s="1154"/>
      <c r="AE89" s="102" t="s">
        <v>943</v>
      </c>
      <c r="AF89" s="772" t="s">
        <v>139</v>
      </c>
      <c r="AG89" s="587">
        <v>182</v>
      </c>
      <c r="AH89" s="587">
        <v>2610</v>
      </c>
      <c r="AI89" s="774">
        <f>+AG89*AH89</f>
        <v>475020</v>
      </c>
    </row>
    <row r="90" spans="1:35" s="45" customFormat="1" ht="38.25">
      <c r="A90" s="586"/>
      <c r="B90" s="771">
        <f>+B89+0.1</f>
        <v>4.1999999999999993</v>
      </c>
      <c r="C90" s="102" t="s">
        <v>1101</v>
      </c>
      <c r="D90" s="772" t="s">
        <v>139</v>
      </c>
      <c r="E90" s="780">
        <v>27</v>
      </c>
      <c r="F90" s="587">
        <v>5190</v>
      </c>
      <c r="G90" s="774">
        <f t="shared" ref="G90:G95" si="16">+E90*F90</f>
        <v>140130</v>
      </c>
      <c r="H90" s="588"/>
      <c r="I90" s="587"/>
      <c r="J90" s="587"/>
      <c r="K90" s="587"/>
      <c r="L90" s="589"/>
      <c r="M90" s="590"/>
      <c r="N90" s="591"/>
      <c r="O90" s="95"/>
      <c r="P90" s="579"/>
      <c r="Q90" s="580"/>
      <c r="R90" s="580"/>
      <c r="S90" s="581"/>
      <c r="T90" s="582"/>
      <c r="U90" s="79"/>
      <c r="V90" s="621"/>
      <c r="AA90" s="102" t="s">
        <v>1101</v>
      </c>
      <c r="AB90" s="772" t="s">
        <v>139</v>
      </c>
      <c r="AC90" s="771">
        <f t="shared" ref="AC90:AC95" si="17">+AC89+0.1</f>
        <v>4.1999999999999993</v>
      </c>
      <c r="AD90" s="1154"/>
      <c r="AE90" s="102" t="s">
        <v>1101</v>
      </c>
      <c r="AF90" s="772" t="s">
        <v>139</v>
      </c>
      <c r="AG90" s="1059">
        <v>27</v>
      </c>
      <c r="AH90" s="587">
        <v>5190</v>
      </c>
      <c r="AI90" s="774">
        <f t="shared" ref="AI90:AI95" si="18">+AG90*AH90</f>
        <v>140130</v>
      </c>
    </row>
    <row r="91" spans="1:35" s="45" customFormat="1" ht="63.75">
      <c r="A91" s="586"/>
      <c r="B91" s="771">
        <f>+B90+0.1</f>
        <v>4.2999999999999989</v>
      </c>
      <c r="C91" s="102" t="s">
        <v>941</v>
      </c>
      <c r="D91" s="777" t="s">
        <v>139</v>
      </c>
      <c r="E91" s="587">
        <v>98</v>
      </c>
      <c r="F91" s="587">
        <v>10240</v>
      </c>
      <c r="G91" s="774">
        <f t="shared" si="16"/>
        <v>1003520</v>
      </c>
      <c r="H91" s="588"/>
      <c r="I91" s="587"/>
      <c r="J91" s="587"/>
      <c r="K91" s="587"/>
      <c r="L91" s="589"/>
      <c r="M91" s="590"/>
      <c r="N91" s="591"/>
      <c r="O91" s="95"/>
      <c r="P91" s="579"/>
      <c r="Q91" s="580"/>
      <c r="R91" s="580"/>
      <c r="S91" s="581"/>
      <c r="T91" s="582"/>
      <c r="U91" s="79"/>
      <c r="V91" s="621"/>
      <c r="AA91" s="102" t="s">
        <v>941</v>
      </c>
      <c r="AB91" s="777" t="s">
        <v>139</v>
      </c>
      <c r="AC91" s="771">
        <f t="shared" si="17"/>
        <v>4.2999999999999989</v>
      </c>
      <c r="AD91" s="1154"/>
      <c r="AE91" s="102" t="s">
        <v>941</v>
      </c>
      <c r="AF91" s="777" t="s">
        <v>139</v>
      </c>
      <c r="AG91" s="587">
        <v>98</v>
      </c>
      <c r="AH91" s="587">
        <v>10240</v>
      </c>
      <c r="AI91" s="774">
        <f t="shared" si="18"/>
        <v>1003520</v>
      </c>
    </row>
    <row r="92" spans="1:35" s="45" customFormat="1" ht="51">
      <c r="A92" s="586"/>
      <c r="B92" s="771">
        <f t="shared" ref="B92:B94" si="19">+B91+0.1</f>
        <v>4.3999999999999986</v>
      </c>
      <c r="C92" s="102" t="s">
        <v>497</v>
      </c>
      <c r="D92" s="777" t="s">
        <v>56</v>
      </c>
      <c r="E92" s="587">
        <v>48</v>
      </c>
      <c r="F92" s="587">
        <v>17220</v>
      </c>
      <c r="G92" s="774">
        <f t="shared" si="16"/>
        <v>826560</v>
      </c>
      <c r="H92" s="588"/>
      <c r="I92" s="587"/>
      <c r="J92" s="587"/>
      <c r="K92" s="587"/>
      <c r="L92" s="589"/>
      <c r="M92" s="590"/>
      <c r="N92" s="591"/>
      <c r="O92" s="95"/>
      <c r="P92" s="579"/>
      <c r="Q92" s="580"/>
      <c r="R92" s="580"/>
      <c r="S92" s="581"/>
      <c r="T92" s="582"/>
      <c r="U92" s="79"/>
      <c r="V92" s="621"/>
      <c r="AA92" s="102" t="s">
        <v>497</v>
      </c>
      <c r="AB92" s="777" t="s">
        <v>56</v>
      </c>
      <c r="AC92" s="771">
        <f t="shared" si="17"/>
        <v>4.3999999999999986</v>
      </c>
      <c r="AD92" s="1154"/>
      <c r="AE92" s="102" t="s">
        <v>497</v>
      </c>
      <c r="AF92" s="777" t="s">
        <v>56</v>
      </c>
      <c r="AG92" s="587">
        <v>48</v>
      </c>
      <c r="AH92" s="587">
        <v>17220</v>
      </c>
      <c r="AI92" s="774">
        <f t="shared" si="18"/>
        <v>826560</v>
      </c>
    </row>
    <row r="93" spans="1:35" s="45" customFormat="1" ht="51">
      <c r="A93" s="586"/>
      <c r="B93" s="771">
        <f t="shared" si="19"/>
        <v>4.4999999999999982</v>
      </c>
      <c r="C93" s="782" t="s">
        <v>979</v>
      </c>
      <c r="D93" s="772" t="s">
        <v>139</v>
      </c>
      <c r="E93" s="587">
        <v>14</v>
      </c>
      <c r="F93" s="587">
        <v>573533</v>
      </c>
      <c r="G93" s="774">
        <f t="shared" si="16"/>
        <v>8029462</v>
      </c>
      <c r="H93" s="588"/>
      <c r="I93" s="587"/>
      <c r="J93" s="587"/>
      <c r="K93" s="587"/>
      <c r="L93" s="589"/>
      <c r="M93" s="590"/>
      <c r="N93" s="591"/>
      <c r="O93" s="95"/>
      <c r="P93" s="579"/>
      <c r="Q93" s="580"/>
      <c r="R93" s="580"/>
      <c r="S93" s="581"/>
      <c r="T93" s="582"/>
      <c r="U93" s="79"/>
      <c r="V93" s="621"/>
      <c r="AA93" s="1062" t="s">
        <v>979</v>
      </c>
      <c r="AB93" s="772" t="s">
        <v>139</v>
      </c>
      <c r="AC93" s="771">
        <f t="shared" si="17"/>
        <v>4.4999999999999982</v>
      </c>
      <c r="AD93" s="1154"/>
      <c r="AE93" s="1062" t="s">
        <v>979</v>
      </c>
      <c r="AF93" s="772" t="s">
        <v>139</v>
      </c>
      <c r="AG93" s="587">
        <v>14</v>
      </c>
      <c r="AH93" s="587">
        <v>573533</v>
      </c>
      <c r="AI93" s="774">
        <f t="shared" si="18"/>
        <v>8029462</v>
      </c>
    </row>
    <row r="94" spans="1:35" s="45" customFormat="1" ht="63.75">
      <c r="A94" s="586"/>
      <c r="B94" s="771">
        <f t="shared" si="19"/>
        <v>4.5999999999999979</v>
      </c>
      <c r="C94" s="102" t="s">
        <v>976</v>
      </c>
      <c r="D94" s="772" t="s">
        <v>139</v>
      </c>
      <c r="E94" s="587">
        <v>65</v>
      </c>
      <c r="F94" s="587">
        <v>614040</v>
      </c>
      <c r="G94" s="774">
        <f t="shared" si="16"/>
        <v>39912600</v>
      </c>
      <c r="H94" s="588"/>
      <c r="I94" s="587"/>
      <c r="J94" s="587"/>
      <c r="K94" s="587"/>
      <c r="L94" s="589"/>
      <c r="M94" s="590"/>
      <c r="N94" s="591"/>
      <c r="O94" s="95"/>
      <c r="P94" s="579"/>
      <c r="Q94" s="580"/>
      <c r="R94" s="580"/>
      <c r="S94" s="581"/>
      <c r="T94" s="582"/>
      <c r="U94" s="79"/>
      <c r="V94" s="621"/>
      <c r="AA94" s="102" t="s">
        <v>976</v>
      </c>
      <c r="AB94" s="772" t="s">
        <v>139</v>
      </c>
      <c r="AC94" s="771">
        <f t="shared" si="17"/>
        <v>4.5999999999999979</v>
      </c>
      <c r="AD94" s="1154"/>
      <c r="AE94" s="102" t="s">
        <v>976</v>
      </c>
      <c r="AF94" s="772" t="s">
        <v>139</v>
      </c>
      <c r="AG94" s="587">
        <v>65</v>
      </c>
      <c r="AH94" s="587">
        <v>614040</v>
      </c>
      <c r="AI94" s="774">
        <f t="shared" si="18"/>
        <v>39912600</v>
      </c>
    </row>
    <row r="95" spans="1:35" s="45" customFormat="1" ht="38.25">
      <c r="A95" s="586"/>
      <c r="B95" s="771">
        <f>+B94+0.1</f>
        <v>4.6999999999999975</v>
      </c>
      <c r="C95" s="102" t="s">
        <v>939</v>
      </c>
      <c r="D95" s="772" t="s">
        <v>139</v>
      </c>
      <c r="E95" s="587">
        <v>3</v>
      </c>
      <c r="F95" s="587">
        <f>+F54</f>
        <v>594610</v>
      </c>
      <c r="G95" s="774">
        <f t="shared" si="16"/>
        <v>1783830</v>
      </c>
      <c r="H95" s="588"/>
      <c r="I95" s="587"/>
      <c r="J95" s="587"/>
      <c r="K95" s="587"/>
      <c r="L95" s="589"/>
      <c r="M95" s="590"/>
      <c r="N95" s="591"/>
      <c r="O95" s="95"/>
      <c r="P95" s="579"/>
      <c r="Q95" s="580"/>
      <c r="R95" s="580"/>
      <c r="S95" s="581"/>
      <c r="T95" s="582"/>
      <c r="U95" s="79"/>
      <c r="V95" s="621"/>
      <c r="AA95" s="102" t="s">
        <v>939</v>
      </c>
      <c r="AB95" s="772" t="s">
        <v>139</v>
      </c>
      <c r="AC95" s="771">
        <f t="shared" si="17"/>
        <v>4.6999999999999975</v>
      </c>
      <c r="AD95" s="1154"/>
      <c r="AE95" s="102" t="s">
        <v>939</v>
      </c>
      <c r="AF95" s="772" t="s">
        <v>139</v>
      </c>
      <c r="AG95" s="587">
        <v>3</v>
      </c>
      <c r="AH95" s="587">
        <f>+AH54</f>
        <v>594610</v>
      </c>
      <c r="AI95" s="774">
        <f t="shared" si="18"/>
        <v>1783830</v>
      </c>
    </row>
    <row r="96" spans="1:35" s="45" customFormat="1">
      <c r="A96" s="586"/>
      <c r="B96" s="823"/>
      <c r="C96" s="215"/>
      <c r="D96" s="216"/>
      <c r="E96" s="95"/>
      <c r="F96" s="95"/>
      <c r="G96" s="774"/>
      <c r="H96" s="588"/>
      <c r="I96" s="587"/>
      <c r="J96" s="587"/>
      <c r="K96" s="587"/>
      <c r="L96" s="589"/>
      <c r="M96" s="590"/>
      <c r="N96" s="591"/>
      <c r="O96" s="95"/>
      <c r="P96" s="579"/>
      <c r="Q96" s="580"/>
      <c r="R96" s="580"/>
      <c r="S96" s="581"/>
      <c r="T96" s="582"/>
      <c r="U96" s="79"/>
      <c r="V96" s="621"/>
      <c r="AA96" s="215"/>
      <c r="AB96" s="216"/>
      <c r="AC96" s="823"/>
      <c r="AD96" s="823"/>
      <c r="AE96" s="215"/>
      <c r="AF96" s="216"/>
      <c r="AG96" s="95"/>
      <c r="AH96" s="95"/>
      <c r="AI96" s="774"/>
    </row>
    <row r="97" spans="1:35" s="45" customFormat="1" ht="15.75" thickBot="1">
      <c r="A97" s="586"/>
      <c r="B97" s="114"/>
      <c r="C97" s="114"/>
      <c r="D97" s="115"/>
      <c r="E97" s="116"/>
      <c r="F97" s="117" t="s">
        <v>966</v>
      </c>
      <c r="G97" s="118">
        <f>SUM(G89:G95)</f>
        <v>52171122</v>
      </c>
      <c r="H97" s="588"/>
      <c r="I97" s="587"/>
      <c r="J97" s="587"/>
      <c r="K97" s="587"/>
      <c r="L97" s="589"/>
      <c r="M97" s="590"/>
      <c r="N97" s="591"/>
      <c r="O97" s="95"/>
      <c r="P97" s="579"/>
      <c r="Q97" s="580"/>
      <c r="R97" s="580"/>
      <c r="S97" s="581"/>
      <c r="T97" s="582"/>
      <c r="U97" s="79"/>
      <c r="V97" s="621"/>
      <c r="AA97" s="1064"/>
      <c r="AB97" s="1065"/>
      <c r="AC97" s="1064"/>
      <c r="AD97" s="1064"/>
      <c r="AE97" s="1064"/>
      <c r="AF97" s="1065"/>
      <c r="AG97" s="1066"/>
      <c r="AH97" s="1073" t="s">
        <v>966</v>
      </c>
      <c r="AI97" s="1117">
        <f>SUM(AI89:AI95)</f>
        <v>52171122</v>
      </c>
    </row>
    <row r="98" spans="1:35" s="45" customFormat="1">
      <c r="A98" s="586"/>
      <c r="B98" s="771"/>
      <c r="C98" s="102"/>
      <c r="D98" s="772"/>
      <c r="E98" s="773"/>
      <c r="F98" s="587"/>
      <c r="G98" s="774"/>
      <c r="H98" s="588"/>
      <c r="I98" s="587"/>
      <c r="J98" s="587"/>
      <c r="K98" s="587"/>
      <c r="L98" s="589"/>
      <c r="M98" s="590"/>
      <c r="N98" s="591"/>
      <c r="O98" s="95"/>
      <c r="P98" s="579"/>
      <c r="Q98" s="580"/>
      <c r="R98" s="580"/>
      <c r="S98" s="581"/>
      <c r="T98" s="582"/>
      <c r="U98" s="79"/>
      <c r="V98" s="621"/>
      <c r="Y98" s="44"/>
      <c r="Z98" s="44"/>
      <c r="AA98" s="102"/>
      <c r="AB98" s="772"/>
      <c r="AC98" s="771"/>
      <c r="AD98" s="1154"/>
      <c r="AE98" s="102"/>
      <c r="AF98" s="772"/>
      <c r="AG98" s="773"/>
      <c r="AH98" s="587"/>
      <c r="AI98" s="774"/>
    </row>
    <row r="99" spans="1:35" s="45" customFormat="1">
      <c r="A99" s="586"/>
      <c r="B99" s="771"/>
      <c r="C99" s="787" t="s">
        <v>948</v>
      </c>
      <c r="D99" s="772"/>
      <c r="E99" s="773"/>
      <c r="F99" s="587"/>
      <c r="G99" s="774"/>
      <c r="H99" s="588"/>
      <c r="I99" s="587"/>
      <c r="J99" s="587"/>
      <c r="K99" s="587"/>
      <c r="L99" s="589"/>
      <c r="M99" s="590"/>
      <c r="N99" s="591"/>
      <c r="O99" s="95"/>
      <c r="P99" s="579"/>
      <c r="Q99" s="580"/>
      <c r="R99" s="580"/>
      <c r="S99" s="581"/>
      <c r="T99" s="582"/>
      <c r="U99" s="79"/>
      <c r="V99" s="621"/>
      <c r="Y99" s="44"/>
      <c r="Z99" s="44"/>
      <c r="AA99" s="787" t="s">
        <v>948</v>
      </c>
      <c r="AB99" s="772"/>
      <c r="AC99" s="771"/>
      <c r="AD99" s="1154"/>
      <c r="AE99" s="787" t="s">
        <v>948</v>
      </c>
      <c r="AF99" s="772"/>
      <c r="AG99" s="773"/>
      <c r="AH99" s="587"/>
      <c r="AI99" s="774"/>
    </row>
    <row r="100" spans="1:35" s="45" customFormat="1" ht="78.75" customHeight="1">
      <c r="A100" s="586"/>
      <c r="B100" s="844">
        <v>4.8</v>
      </c>
      <c r="C100" s="102" t="s">
        <v>1025</v>
      </c>
      <c r="D100" s="772"/>
      <c r="E100" s="780"/>
      <c r="F100" s="587"/>
      <c r="G100" s="774"/>
      <c r="H100" s="588"/>
      <c r="I100" s="587"/>
      <c r="J100" s="587"/>
      <c r="K100" s="587"/>
      <c r="L100" s="589"/>
      <c r="M100" s="590"/>
      <c r="N100" s="591"/>
      <c r="O100" s="95"/>
      <c r="P100" s="579"/>
      <c r="Q100" s="580"/>
      <c r="R100" s="580"/>
      <c r="S100" s="581"/>
      <c r="T100" s="582"/>
      <c r="U100" s="79"/>
      <c r="V100" s="621"/>
      <c r="Y100" s="44"/>
      <c r="Z100" s="44"/>
      <c r="AA100" s="102" t="s">
        <v>1477</v>
      </c>
      <c r="AB100" s="772"/>
      <c r="AC100" s="844">
        <v>4.8</v>
      </c>
      <c r="AD100" s="1164"/>
      <c r="AE100" s="102" t="s">
        <v>1477</v>
      </c>
      <c r="AF100" s="772"/>
      <c r="AG100" s="1059"/>
      <c r="AH100" s="587"/>
      <c r="AI100" s="774"/>
    </row>
    <row r="101" spans="1:35" s="45" customFormat="1" ht="25.5">
      <c r="A101" s="586"/>
      <c r="B101" s="779">
        <f>+B100+0.1</f>
        <v>4.8999999999999995</v>
      </c>
      <c r="C101" s="102" t="s">
        <v>1471</v>
      </c>
      <c r="D101" s="777" t="s">
        <v>22</v>
      </c>
      <c r="E101" s="587">
        <v>2</v>
      </c>
      <c r="F101" s="587">
        <v>18361768</v>
      </c>
      <c r="G101" s="774">
        <f t="shared" ref="G101:G125" si="20">E101*F101</f>
        <v>36723536</v>
      </c>
      <c r="H101" s="588"/>
      <c r="I101" s="587"/>
      <c r="J101" s="587"/>
      <c r="K101" s="587"/>
      <c r="L101" s="589"/>
      <c r="M101" s="590"/>
      <c r="N101" s="591"/>
      <c r="O101" s="95"/>
      <c r="P101" s="579"/>
      <c r="Q101" s="580"/>
      <c r="R101" s="580"/>
      <c r="S101" s="581"/>
      <c r="T101" s="582"/>
      <c r="U101" s="79"/>
      <c r="V101" s="621"/>
      <c r="X101" s="45">
        <f>14390100*1.16*1.1</f>
        <v>18361767.599999998</v>
      </c>
      <c r="Y101" s="44"/>
      <c r="Z101" s="44"/>
      <c r="AA101" s="102" t="s">
        <v>1478</v>
      </c>
      <c r="AB101" s="777" t="s">
        <v>22</v>
      </c>
      <c r="AC101" s="844">
        <f>+AC100+0.1</f>
        <v>4.8999999999999995</v>
      </c>
      <c r="AD101" s="1164"/>
      <c r="AE101" s="102" t="s">
        <v>1478</v>
      </c>
      <c r="AF101" s="777" t="s">
        <v>22</v>
      </c>
      <c r="AG101" s="587">
        <v>2</v>
      </c>
      <c r="AH101" s="587">
        <v>18361768</v>
      </c>
      <c r="AI101" s="774">
        <f t="shared" ref="AI101:AI125" si="21">AG101*AH101</f>
        <v>36723536</v>
      </c>
    </row>
    <row r="102" spans="1:35" s="45" customFormat="1" ht="25.5">
      <c r="A102" s="586"/>
      <c r="B102" s="779">
        <v>4.0999999999999996</v>
      </c>
      <c r="C102" s="102" t="s">
        <v>962</v>
      </c>
      <c r="D102" s="777" t="s">
        <v>22</v>
      </c>
      <c r="E102" s="587">
        <v>2</v>
      </c>
      <c r="F102" s="587">
        <v>5712397</v>
      </c>
      <c r="G102" s="774">
        <f t="shared" si="20"/>
        <v>11424794</v>
      </c>
      <c r="H102" s="588"/>
      <c r="I102" s="587"/>
      <c r="J102" s="587"/>
      <c r="K102" s="587"/>
      <c r="L102" s="589"/>
      <c r="M102" s="590"/>
      <c r="N102" s="591"/>
      <c r="O102" s="95"/>
      <c r="P102" s="579"/>
      <c r="Q102" s="580"/>
      <c r="R102" s="580"/>
      <c r="S102" s="581"/>
      <c r="T102" s="582"/>
      <c r="U102" s="79"/>
      <c r="V102" s="621"/>
      <c r="X102" s="45">
        <f>4476800*1.16*1.1</f>
        <v>5712396.8000000007</v>
      </c>
      <c r="Y102" s="44"/>
      <c r="Z102" s="44"/>
      <c r="AA102" s="102" t="s">
        <v>962</v>
      </c>
      <c r="AB102" s="777" t="s">
        <v>22</v>
      </c>
      <c r="AC102" s="779">
        <v>4.0999999999999996</v>
      </c>
      <c r="AD102" s="1161"/>
      <c r="AE102" s="102" t="s">
        <v>962</v>
      </c>
      <c r="AF102" s="777" t="s">
        <v>22</v>
      </c>
      <c r="AG102" s="587">
        <v>2</v>
      </c>
      <c r="AH102" s="587">
        <v>5712397</v>
      </c>
      <c r="AI102" s="774">
        <f t="shared" si="21"/>
        <v>11424794</v>
      </c>
    </row>
    <row r="103" spans="1:35" s="45" customFormat="1" ht="25.5">
      <c r="A103" s="586"/>
      <c r="B103" s="779">
        <f>+B102+0.01</f>
        <v>4.1099999999999994</v>
      </c>
      <c r="C103" s="102" t="s">
        <v>963</v>
      </c>
      <c r="D103" s="772" t="s">
        <v>22</v>
      </c>
      <c r="E103" s="587">
        <v>2</v>
      </c>
      <c r="F103" s="587">
        <v>7484123</v>
      </c>
      <c r="G103" s="774">
        <f t="shared" si="20"/>
        <v>14968246</v>
      </c>
      <c r="H103" s="588"/>
      <c r="I103" s="587"/>
      <c r="J103" s="587"/>
      <c r="K103" s="587"/>
      <c r="L103" s="589"/>
      <c r="M103" s="590"/>
      <c r="N103" s="591"/>
      <c r="O103" s="95"/>
      <c r="P103" s="579"/>
      <c r="Q103" s="580"/>
      <c r="R103" s="580"/>
      <c r="S103" s="581"/>
      <c r="T103" s="582"/>
      <c r="U103" s="79"/>
      <c r="V103" s="621"/>
      <c r="X103" s="45">
        <f>5865300*1.16*1.1</f>
        <v>7484122.7999999998</v>
      </c>
      <c r="Y103" s="44"/>
      <c r="Z103" s="44"/>
      <c r="AA103" s="102" t="s">
        <v>963</v>
      </c>
      <c r="AB103" s="772" t="s">
        <v>22</v>
      </c>
      <c r="AC103" s="779">
        <f>+AC102+0.01</f>
        <v>4.1099999999999994</v>
      </c>
      <c r="AD103" s="1161"/>
      <c r="AE103" s="102" t="s">
        <v>963</v>
      </c>
      <c r="AF103" s="772" t="s">
        <v>22</v>
      </c>
      <c r="AG103" s="587">
        <v>2</v>
      </c>
      <c r="AH103" s="587">
        <v>7484123</v>
      </c>
      <c r="AI103" s="774">
        <f t="shared" si="21"/>
        <v>14968246</v>
      </c>
    </row>
    <row r="104" spans="1:35" s="45" customFormat="1" ht="63.75">
      <c r="A104" s="586"/>
      <c r="B104" s="779">
        <f t="shared" ref="B104:B124" si="22">+B103+0.01</f>
        <v>4.1199999999999992</v>
      </c>
      <c r="C104" s="102" t="s">
        <v>1019</v>
      </c>
      <c r="D104" s="777" t="s">
        <v>512</v>
      </c>
      <c r="E104" s="587">
        <v>4</v>
      </c>
      <c r="F104" s="587">
        <v>931480</v>
      </c>
      <c r="G104" s="774">
        <f t="shared" si="20"/>
        <v>3725920</v>
      </c>
      <c r="H104" s="588"/>
      <c r="I104" s="587"/>
      <c r="J104" s="587"/>
      <c r="K104" s="587"/>
      <c r="L104" s="589"/>
      <c r="M104" s="590"/>
      <c r="N104" s="591"/>
      <c r="O104" s="95"/>
      <c r="P104" s="579"/>
      <c r="Q104" s="580"/>
      <c r="R104" s="580"/>
      <c r="S104" s="581"/>
      <c r="T104" s="582"/>
      <c r="U104" s="79"/>
      <c r="V104" s="621"/>
      <c r="W104" s="859">
        <f>730000*1.16*1.1</f>
        <v>931480</v>
      </c>
      <c r="Y104" s="44"/>
      <c r="Z104" s="44"/>
      <c r="AA104" s="102" t="s">
        <v>1019</v>
      </c>
      <c r="AB104" s="777" t="s">
        <v>512</v>
      </c>
      <c r="AC104" s="779">
        <f t="shared" ref="AC104:AC124" si="23">+AC103+0.01</f>
        <v>4.1199999999999992</v>
      </c>
      <c r="AD104" s="1161"/>
      <c r="AE104" s="102" t="s">
        <v>1019</v>
      </c>
      <c r="AF104" s="777" t="s">
        <v>512</v>
      </c>
      <c r="AG104" s="587">
        <v>4</v>
      </c>
      <c r="AH104" s="587">
        <v>931480</v>
      </c>
      <c r="AI104" s="774">
        <f t="shared" si="21"/>
        <v>3725920</v>
      </c>
    </row>
    <row r="105" spans="1:35" s="45" customFormat="1" ht="20.25" customHeight="1">
      <c r="A105" s="586"/>
      <c r="B105" s="779">
        <f t="shared" si="22"/>
        <v>4.129999999999999</v>
      </c>
      <c r="C105" s="102" t="s">
        <v>1020</v>
      </c>
      <c r="D105" s="777" t="s">
        <v>22</v>
      </c>
      <c r="E105" s="587">
        <v>4</v>
      </c>
      <c r="F105" s="587">
        <v>174812</v>
      </c>
      <c r="G105" s="774">
        <f t="shared" si="20"/>
        <v>699248</v>
      </c>
      <c r="H105" s="588"/>
      <c r="I105" s="587"/>
      <c r="J105" s="587"/>
      <c r="K105" s="587"/>
      <c r="L105" s="589"/>
      <c r="M105" s="590"/>
      <c r="N105" s="591"/>
      <c r="O105" s="95"/>
      <c r="P105" s="579"/>
      <c r="Q105" s="580"/>
      <c r="R105" s="580"/>
      <c r="S105" s="581"/>
      <c r="T105" s="582"/>
      <c r="U105" s="79"/>
      <c r="V105" s="621"/>
      <c r="W105" s="859">
        <f>137000*1.16*1.1</f>
        <v>174812</v>
      </c>
      <c r="Y105" s="44"/>
      <c r="Z105" s="44"/>
      <c r="AA105" s="102" t="s">
        <v>1020</v>
      </c>
      <c r="AB105" s="777" t="s">
        <v>22</v>
      </c>
      <c r="AC105" s="779">
        <f t="shared" si="23"/>
        <v>4.129999999999999</v>
      </c>
      <c r="AD105" s="1161"/>
      <c r="AE105" s="102" t="s">
        <v>1020</v>
      </c>
      <c r="AF105" s="777" t="s">
        <v>22</v>
      </c>
      <c r="AG105" s="587">
        <v>4</v>
      </c>
      <c r="AH105" s="587">
        <v>174812</v>
      </c>
      <c r="AI105" s="774">
        <f t="shared" si="21"/>
        <v>699248</v>
      </c>
    </row>
    <row r="106" spans="1:35" s="45" customFormat="1" ht="20.25" customHeight="1">
      <c r="A106" s="586"/>
      <c r="B106" s="779">
        <f t="shared" si="22"/>
        <v>4.1399999999999988</v>
      </c>
      <c r="C106" s="102" t="s">
        <v>1438</v>
      </c>
      <c r="D106" s="777" t="s">
        <v>512</v>
      </c>
      <c r="E106" s="587">
        <v>2</v>
      </c>
      <c r="F106" s="587">
        <v>536430</v>
      </c>
      <c r="G106" s="774">
        <f t="shared" si="20"/>
        <v>1072860</v>
      </c>
      <c r="H106" s="588"/>
      <c r="I106" s="587"/>
      <c r="J106" s="587"/>
      <c r="K106" s="587"/>
      <c r="L106" s="589"/>
      <c r="M106" s="590"/>
      <c r="N106" s="591"/>
      <c r="O106" s="95"/>
      <c r="P106" s="579"/>
      <c r="Q106" s="580"/>
      <c r="R106" s="580"/>
      <c r="S106" s="581"/>
      <c r="T106" s="582"/>
      <c r="U106" s="79"/>
      <c r="V106" s="621"/>
      <c r="W106" s="859"/>
      <c r="Y106" s="44"/>
      <c r="Z106" s="44"/>
      <c r="AA106" s="102" t="s">
        <v>1479</v>
      </c>
      <c r="AB106" s="777" t="s">
        <v>22</v>
      </c>
      <c r="AC106" s="779">
        <f t="shared" si="23"/>
        <v>4.1399999999999988</v>
      </c>
      <c r="AD106" s="1161"/>
      <c r="AE106" s="102" t="s">
        <v>1479</v>
      </c>
      <c r="AF106" s="777" t="s">
        <v>22</v>
      </c>
      <c r="AG106" s="587">
        <v>2</v>
      </c>
      <c r="AH106" s="587">
        <v>536440</v>
      </c>
      <c r="AI106" s="774">
        <f t="shared" si="21"/>
        <v>1072880</v>
      </c>
    </row>
    <row r="107" spans="1:35" s="45" customFormat="1" ht="20.25" customHeight="1">
      <c r="A107" s="586"/>
      <c r="B107" s="779">
        <f t="shared" si="22"/>
        <v>4.1499999999999986</v>
      </c>
      <c r="C107" s="865" t="s">
        <v>1439</v>
      </c>
      <c r="D107" s="1151" t="s">
        <v>512</v>
      </c>
      <c r="E107" s="850">
        <v>2</v>
      </c>
      <c r="F107" s="850">
        <v>4975000</v>
      </c>
      <c r="G107" s="774">
        <f>E107*F107</f>
        <v>9950000</v>
      </c>
      <c r="H107" s="588"/>
      <c r="I107" s="587"/>
      <c r="J107" s="587"/>
      <c r="K107" s="587"/>
      <c r="L107" s="589"/>
      <c r="M107" s="590"/>
      <c r="N107" s="591"/>
      <c r="O107" s="95"/>
      <c r="P107" s="579"/>
      <c r="Q107" s="580"/>
      <c r="R107" s="580"/>
      <c r="S107" s="581"/>
      <c r="T107" s="582"/>
      <c r="U107" s="79"/>
      <c r="V107" s="621"/>
      <c r="W107" s="859"/>
      <c r="Y107" s="44"/>
      <c r="Z107" s="44"/>
      <c r="AA107" s="102" t="s">
        <v>1480</v>
      </c>
      <c r="AB107" s="777" t="s">
        <v>22</v>
      </c>
      <c r="AC107" s="779">
        <f t="shared" si="23"/>
        <v>4.1499999999999986</v>
      </c>
      <c r="AD107" s="1161"/>
      <c r="AE107" s="102" t="s">
        <v>1480</v>
      </c>
      <c r="AF107" s="777" t="s">
        <v>22</v>
      </c>
      <c r="AG107" s="587">
        <v>2</v>
      </c>
      <c r="AH107" s="587">
        <v>4053852</v>
      </c>
      <c r="AI107" s="774">
        <f t="shared" si="21"/>
        <v>8107704</v>
      </c>
    </row>
    <row r="108" spans="1:35" s="45" customFormat="1" ht="51">
      <c r="A108" s="586"/>
      <c r="B108" s="779">
        <f t="shared" si="22"/>
        <v>4.1599999999999984</v>
      </c>
      <c r="C108" s="102" t="s">
        <v>522</v>
      </c>
      <c r="D108" s="772" t="s">
        <v>142</v>
      </c>
      <c r="E108" s="587">
        <v>4000</v>
      </c>
      <c r="F108" s="587">
        <v>3100</v>
      </c>
      <c r="G108" s="774">
        <f>+E108*F109</f>
        <v>18000000</v>
      </c>
      <c r="H108" s="588"/>
      <c r="I108" s="587"/>
      <c r="J108" s="587"/>
      <c r="K108" s="587"/>
      <c r="L108" s="589"/>
      <c r="M108" s="590"/>
      <c r="N108" s="591"/>
      <c r="O108" s="95"/>
      <c r="P108" s="579"/>
      <c r="Q108" s="580"/>
      <c r="R108" s="580"/>
      <c r="S108" s="581"/>
      <c r="T108" s="582"/>
      <c r="U108" s="79"/>
      <c r="V108" s="621"/>
      <c r="Y108" s="44"/>
      <c r="Z108" s="44"/>
      <c r="AA108" s="102" t="s">
        <v>522</v>
      </c>
      <c r="AB108" s="772" t="s">
        <v>142</v>
      </c>
      <c r="AC108" s="779">
        <f t="shared" si="23"/>
        <v>4.1599999999999984</v>
      </c>
      <c r="AD108" s="1161"/>
      <c r="AE108" s="102" t="s">
        <v>522</v>
      </c>
      <c r="AF108" s="772" t="s">
        <v>142</v>
      </c>
      <c r="AG108" s="587">
        <v>4000</v>
      </c>
      <c r="AH108" s="587">
        <v>3100</v>
      </c>
      <c r="AI108" s="774">
        <f>+AG108*AH109</f>
        <v>18000000</v>
      </c>
    </row>
    <row r="109" spans="1:35" s="45" customFormat="1" ht="25.5">
      <c r="A109" s="586"/>
      <c r="B109" s="779">
        <f t="shared" si="22"/>
        <v>4.1699999999999982</v>
      </c>
      <c r="C109" s="102" t="s">
        <v>942</v>
      </c>
      <c r="D109" s="777" t="s">
        <v>56</v>
      </c>
      <c r="E109" s="587">
        <v>37</v>
      </c>
      <c r="F109" s="587">
        <v>4500</v>
      </c>
      <c r="G109" s="774">
        <f t="shared" ref="G109:G110" si="24">+E109*F110</f>
        <v>2332850</v>
      </c>
      <c r="H109" s="588"/>
      <c r="I109" s="587"/>
      <c r="J109" s="587"/>
      <c r="K109" s="587"/>
      <c r="L109" s="589"/>
      <c r="M109" s="590"/>
      <c r="N109" s="591"/>
      <c r="O109" s="95"/>
      <c r="P109" s="579"/>
      <c r="Q109" s="580"/>
      <c r="R109" s="580"/>
      <c r="S109" s="581"/>
      <c r="T109" s="582"/>
      <c r="U109" s="79"/>
      <c r="V109" s="621"/>
      <c r="Y109" s="44"/>
      <c r="Z109" s="44"/>
      <c r="AA109" s="102" t="s">
        <v>942</v>
      </c>
      <c r="AB109" s="777" t="s">
        <v>56</v>
      </c>
      <c r="AC109" s="779">
        <f t="shared" si="23"/>
        <v>4.1699999999999982</v>
      </c>
      <c r="AD109" s="1161"/>
      <c r="AE109" s="102" t="s">
        <v>942</v>
      </c>
      <c r="AF109" s="777" t="s">
        <v>56</v>
      </c>
      <c r="AG109" s="587">
        <v>37</v>
      </c>
      <c r="AH109" s="587">
        <v>4500</v>
      </c>
      <c r="AI109" s="774">
        <f>+AG109*AH110</f>
        <v>2332850</v>
      </c>
    </row>
    <row r="110" spans="1:35" s="45" customFormat="1" ht="38.25">
      <c r="A110" s="586"/>
      <c r="B110" s="779">
        <f t="shared" si="22"/>
        <v>4.1799999999999979</v>
      </c>
      <c r="C110" s="102" t="s">
        <v>945</v>
      </c>
      <c r="D110" s="772" t="s">
        <v>139</v>
      </c>
      <c r="E110" s="587">
        <v>53</v>
      </c>
      <c r="F110" s="587">
        <v>63050</v>
      </c>
      <c r="G110" s="774">
        <f t="shared" si="24"/>
        <v>1554490</v>
      </c>
      <c r="H110" s="588"/>
      <c r="I110" s="587"/>
      <c r="J110" s="587"/>
      <c r="K110" s="587"/>
      <c r="L110" s="589"/>
      <c r="M110" s="590"/>
      <c r="N110" s="591"/>
      <c r="O110" s="95"/>
      <c r="P110" s="579"/>
      <c r="Q110" s="580"/>
      <c r="R110" s="580"/>
      <c r="S110" s="581"/>
      <c r="T110" s="582"/>
      <c r="U110" s="79"/>
      <c r="V110" s="621"/>
      <c r="Y110" s="44"/>
      <c r="Z110" s="44"/>
      <c r="AA110" s="102" t="s">
        <v>945</v>
      </c>
      <c r="AB110" s="772" t="s">
        <v>139</v>
      </c>
      <c r="AC110" s="779">
        <f t="shared" si="23"/>
        <v>4.1799999999999979</v>
      </c>
      <c r="AD110" s="1161"/>
      <c r="AE110" s="102" t="s">
        <v>945</v>
      </c>
      <c r="AF110" s="772" t="s">
        <v>139</v>
      </c>
      <c r="AG110" s="587">
        <v>53</v>
      </c>
      <c r="AH110" s="587">
        <v>63050</v>
      </c>
      <c r="AI110" s="774">
        <f>+AG110*AH111</f>
        <v>1554490</v>
      </c>
    </row>
    <row r="111" spans="1:35" s="45" customFormat="1" ht="25.5">
      <c r="A111" s="586"/>
      <c r="B111" s="779">
        <f t="shared" si="22"/>
        <v>4.1899999999999977</v>
      </c>
      <c r="C111" s="102" t="s">
        <v>946</v>
      </c>
      <c r="D111" s="772" t="s">
        <v>540</v>
      </c>
      <c r="E111" s="587">
        <v>30</v>
      </c>
      <c r="F111" s="587">
        <v>29330</v>
      </c>
      <c r="G111" s="774">
        <f>+E111*F111</f>
        <v>879900</v>
      </c>
      <c r="H111" s="588"/>
      <c r="I111" s="587"/>
      <c r="J111" s="587"/>
      <c r="K111" s="587"/>
      <c r="L111" s="589"/>
      <c r="M111" s="590"/>
      <c r="N111" s="591"/>
      <c r="O111" s="95"/>
      <c r="P111" s="579"/>
      <c r="Q111" s="580"/>
      <c r="R111" s="580"/>
      <c r="S111" s="581"/>
      <c r="T111" s="582"/>
      <c r="U111" s="79"/>
      <c r="V111" s="621"/>
      <c r="Y111" s="44"/>
      <c r="Z111" s="44"/>
      <c r="AA111" s="102" t="s">
        <v>946</v>
      </c>
      <c r="AB111" s="772" t="s">
        <v>540</v>
      </c>
      <c r="AC111" s="779">
        <f t="shared" si="23"/>
        <v>4.1899999999999977</v>
      </c>
      <c r="AD111" s="1161"/>
      <c r="AE111" s="102" t="s">
        <v>946</v>
      </c>
      <c r="AF111" s="772" t="s">
        <v>540</v>
      </c>
      <c r="AG111" s="587">
        <v>30</v>
      </c>
      <c r="AH111" s="587">
        <v>29330</v>
      </c>
      <c r="AI111" s="774">
        <f t="shared" ref="AI111:AI116" si="25">+AG111*AH111</f>
        <v>879900</v>
      </c>
    </row>
    <row r="112" spans="1:35" s="45" customFormat="1" ht="25.5">
      <c r="A112" s="586"/>
      <c r="B112" s="779">
        <f t="shared" si="22"/>
        <v>4.1999999999999975</v>
      </c>
      <c r="C112" s="782" t="s">
        <v>950</v>
      </c>
      <c r="D112" s="772" t="s">
        <v>540</v>
      </c>
      <c r="E112" s="587">
        <v>56</v>
      </c>
      <c r="F112" s="587">
        <v>18420</v>
      </c>
      <c r="G112" s="774">
        <f>+E112*F112</f>
        <v>1031520</v>
      </c>
      <c r="H112" s="588"/>
      <c r="I112" s="587"/>
      <c r="J112" s="587"/>
      <c r="K112" s="587"/>
      <c r="L112" s="589"/>
      <c r="M112" s="590"/>
      <c r="N112" s="591"/>
      <c r="O112" s="95"/>
      <c r="P112" s="579"/>
      <c r="Q112" s="580"/>
      <c r="R112" s="580"/>
      <c r="S112" s="581"/>
      <c r="T112" s="582"/>
      <c r="U112" s="79"/>
      <c r="V112" s="621"/>
      <c r="Y112" s="44"/>
      <c r="Z112" s="44"/>
      <c r="AA112" s="1062" t="s">
        <v>950</v>
      </c>
      <c r="AB112" s="772" t="s">
        <v>540</v>
      </c>
      <c r="AC112" s="779">
        <f t="shared" si="23"/>
        <v>4.1999999999999975</v>
      </c>
      <c r="AD112" s="1161"/>
      <c r="AE112" s="1062" t="s">
        <v>950</v>
      </c>
      <c r="AF112" s="772" t="s">
        <v>540</v>
      </c>
      <c r="AG112" s="587">
        <v>56</v>
      </c>
      <c r="AH112" s="587">
        <v>18420</v>
      </c>
      <c r="AI112" s="774">
        <f t="shared" si="25"/>
        <v>1031520</v>
      </c>
    </row>
    <row r="113" spans="1:35" s="45" customFormat="1" ht="24.75" customHeight="1">
      <c r="A113" s="586"/>
      <c r="B113" s="779">
        <f t="shared" si="22"/>
        <v>4.2099999999999973</v>
      </c>
      <c r="C113" s="782" t="s">
        <v>964</v>
      </c>
      <c r="D113" s="772" t="s">
        <v>22</v>
      </c>
      <c r="E113" s="587">
        <v>138</v>
      </c>
      <c r="F113" s="587">
        <v>49700</v>
      </c>
      <c r="G113" s="774">
        <f t="shared" ref="G113:G116" si="26">+E113*F113</f>
        <v>6858600</v>
      </c>
      <c r="H113" s="588"/>
      <c r="I113" s="587"/>
      <c r="J113" s="587"/>
      <c r="K113" s="587"/>
      <c r="L113" s="589"/>
      <c r="M113" s="590"/>
      <c r="N113" s="591"/>
      <c r="O113" s="95"/>
      <c r="P113" s="579"/>
      <c r="Q113" s="580"/>
      <c r="R113" s="580"/>
      <c r="S113" s="581"/>
      <c r="T113" s="582"/>
      <c r="U113" s="79"/>
      <c r="V113" s="621"/>
      <c r="Y113" s="44"/>
      <c r="Z113" s="44"/>
      <c r="AA113" s="1062" t="s">
        <v>964</v>
      </c>
      <c r="AB113" s="772" t="s">
        <v>22</v>
      </c>
      <c r="AC113" s="779">
        <f t="shared" si="23"/>
        <v>4.2099999999999973</v>
      </c>
      <c r="AD113" s="1161"/>
      <c r="AE113" s="1062" t="s">
        <v>964</v>
      </c>
      <c r="AF113" s="772" t="s">
        <v>22</v>
      </c>
      <c r="AG113" s="587">
        <v>138</v>
      </c>
      <c r="AH113" s="587">
        <v>49700</v>
      </c>
      <c r="AI113" s="774">
        <f t="shared" si="25"/>
        <v>6858600</v>
      </c>
    </row>
    <row r="114" spans="1:35" s="45" customFormat="1" ht="15" customHeight="1">
      <c r="A114" s="586"/>
      <c r="B114" s="779">
        <f t="shared" si="22"/>
        <v>4.2199999999999971</v>
      </c>
      <c r="C114" s="102" t="s">
        <v>509</v>
      </c>
      <c r="D114" s="772" t="s">
        <v>56</v>
      </c>
      <c r="E114" s="587">
        <v>36</v>
      </c>
      <c r="F114" s="587">
        <v>150170</v>
      </c>
      <c r="G114" s="774">
        <f t="shared" si="26"/>
        <v>5406120</v>
      </c>
      <c r="H114" s="588"/>
      <c r="I114" s="587"/>
      <c r="J114" s="587"/>
      <c r="K114" s="587"/>
      <c r="L114" s="589"/>
      <c r="M114" s="590"/>
      <c r="N114" s="591"/>
      <c r="O114" s="95"/>
      <c r="P114" s="579"/>
      <c r="Q114" s="580"/>
      <c r="R114" s="580"/>
      <c r="S114" s="581"/>
      <c r="T114" s="582"/>
      <c r="U114" s="79"/>
      <c r="V114" s="621"/>
      <c r="W114" s="215"/>
      <c r="X114" s="830"/>
      <c r="Y114" s="829"/>
      <c r="Z114" s="95"/>
      <c r="AA114" s="102" t="s">
        <v>509</v>
      </c>
      <c r="AB114" s="772" t="s">
        <v>56</v>
      </c>
      <c r="AC114" s="779">
        <f t="shared" si="23"/>
        <v>4.2199999999999971</v>
      </c>
      <c r="AD114" s="1161"/>
      <c r="AE114" s="102" t="s">
        <v>509</v>
      </c>
      <c r="AF114" s="772" t="s">
        <v>56</v>
      </c>
      <c r="AG114" s="587">
        <v>36</v>
      </c>
      <c r="AH114" s="587">
        <v>150170</v>
      </c>
      <c r="AI114" s="774">
        <f t="shared" si="25"/>
        <v>5406120</v>
      </c>
    </row>
    <row r="115" spans="1:35" s="45" customFormat="1" ht="89.25">
      <c r="A115" s="586"/>
      <c r="B115" s="779">
        <f t="shared" si="22"/>
        <v>4.2299999999999969</v>
      </c>
      <c r="C115" s="102" t="s">
        <v>935</v>
      </c>
      <c r="D115" s="777" t="s">
        <v>22</v>
      </c>
      <c r="E115" s="587">
        <v>42</v>
      </c>
      <c r="F115" s="587">
        <v>59200</v>
      </c>
      <c r="G115" s="774">
        <f t="shared" si="26"/>
        <v>2486400</v>
      </c>
      <c r="H115" s="588"/>
      <c r="I115" s="587"/>
      <c r="J115" s="587"/>
      <c r="K115" s="587"/>
      <c r="L115" s="589"/>
      <c r="M115" s="590"/>
      <c r="N115" s="591"/>
      <c r="O115" s="95"/>
      <c r="P115" s="579"/>
      <c r="Q115" s="580"/>
      <c r="R115" s="580"/>
      <c r="S115" s="581"/>
      <c r="T115" s="582"/>
      <c r="U115" s="79"/>
      <c r="V115" s="621"/>
      <c r="Y115" s="44"/>
      <c r="Z115" s="44"/>
      <c r="AA115" s="102" t="s">
        <v>935</v>
      </c>
      <c r="AB115" s="777" t="s">
        <v>22</v>
      </c>
      <c r="AC115" s="779">
        <f t="shared" si="23"/>
        <v>4.2299999999999969</v>
      </c>
      <c r="AD115" s="1161"/>
      <c r="AE115" s="102" t="s">
        <v>935</v>
      </c>
      <c r="AF115" s="777" t="s">
        <v>22</v>
      </c>
      <c r="AG115" s="587">
        <v>42</v>
      </c>
      <c r="AH115" s="587">
        <v>59200</v>
      </c>
      <c r="AI115" s="774">
        <f t="shared" si="25"/>
        <v>2486400</v>
      </c>
    </row>
    <row r="116" spans="1:35" s="45" customFormat="1" ht="63.75">
      <c r="A116" s="586"/>
      <c r="B116" s="779">
        <f t="shared" si="22"/>
        <v>4.2399999999999967</v>
      </c>
      <c r="C116" s="102" t="s">
        <v>1018</v>
      </c>
      <c r="D116" s="777" t="s">
        <v>512</v>
      </c>
      <c r="E116" s="587">
        <v>30</v>
      </c>
      <c r="F116" s="587">
        <v>30550</v>
      </c>
      <c r="G116" s="774">
        <f t="shared" si="26"/>
        <v>916500</v>
      </c>
      <c r="H116" s="588"/>
      <c r="I116" s="587"/>
      <c r="J116" s="587"/>
      <c r="K116" s="587"/>
      <c r="L116" s="589"/>
      <c r="M116" s="590"/>
      <c r="N116" s="591"/>
      <c r="O116" s="95"/>
      <c r="P116" s="579"/>
      <c r="Q116" s="580"/>
      <c r="R116" s="580"/>
      <c r="S116" s="581"/>
      <c r="T116" s="582"/>
      <c r="U116" s="79"/>
      <c r="V116" s="621"/>
      <c r="Y116" s="44"/>
      <c r="Z116" s="44"/>
      <c r="AA116" s="102" t="s">
        <v>1018</v>
      </c>
      <c r="AB116" s="777" t="s">
        <v>512</v>
      </c>
      <c r="AC116" s="779">
        <f t="shared" si="23"/>
        <v>4.2399999999999967</v>
      </c>
      <c r="AD116" s="1161"/>
      <c r="AE116" s="102" t="s">
        <v>1018</v>
      </c>
      <c r="AF116" s="777" t="s">
        <v>512</v>
      </c>
      <c r="AG116" s="587">
        <v>30</v>
      </c>
      <c r="AH116" s="587">
        <v>30550</v>
      </c>
      <c r="AI116" s="774">
        <f t="shared" si="25"/>
        <v>916500</v>
      </c>
    </row>
    <row r="117" spans="1:35" s="45" customFormat="1" ht="38.25">
      <c r="A117" s="586"/>
      <c r="B117" s="779">
        <f t="shared" si="22"/>
        <v>4.2499999999999964</v>
      </c>
      <c r="C117" s="102" t="s">
        <v>543</v>
      </c>
      <c r="D117" s="777" t="s">
        <v>512</v>
      </c>
      <c r="E117" s="587">
        <v>32</v>
      </c>
      <c r="F117" s="587">
        <v>21450</v>
      </c>
      <c r="G117" s="774">
        <f t="shared" si="20"/>
        <v>686400</v>
      </c>
      <c r="H117" s="588"/>
      <c r="I117" s="587"/>
      <c r="J117" s="587"/>
      <c r="K117" s="587"/>
      <c r="L117" s="589"/>
      <c r="M117" s="590"/>
      <c r="N117" s="591"/>
      <c r="O117" s="95"/>
      <c r="P117" s="579"/>
      <c r="Q117" s="580"/>
      <c r="R117" s="580"/>
      <c r="S117" s="581"/>
      <c r="T117" s="582"/>
      <c r="U117" s="79"/>
      <c r="V117" s="621"/>
      <c r="Y117" s="44"/>
      <c r="Z117" s="44"/>
      <c r="AA117" s="102" t="s">
        <v>543</v>
      </c>
      <c r="AB117" s="777" t="s">
        <v>512</v>
      </c>
      <c r="AC117" s="779">
        <f t="shared" si="23"/>
        <v>4.2499999999999964</v>
      </c>
      <c r="AD117" s="1161"/>
      <c r="AE117" s="102" t="s">
        <v>543</v>
      </c>
      <c r="AF117" s="777" t="s">
        <v>512</v>
      </c>
      <c r="AG117" s="587">
        <v>32</v>
      </c>
      <c r="AH117" s="587">
        <v>21450</v>
      </c>
      <c r="AI117" s="774">
        <f t="shared" si="21"/>
        <v>686400</v>
      </c>
    </row>
    <row r="118" spans="1:35" s="45" customFormat="1" ht="38.25">
      <c r="A118" s="586"/>
      <c r="B118" s="779">
        <f t="shared" si="22"/>
        <v>4.2599999999999962</v>
      </c>
      <c r="C118" s="102" t="s">
        <v>545</v>
      </c>
      <c r="D118" s="777" t="s">
        <v>500</v>
      </c>
      <c r="E118" s="587">
        <v>6</v>
      </c>
      <c r="F118" s="587">
        <v>18028</v>
      </c>
      <c r="G118" s="774">
        <f t="shared" si="20"/>
        <v>108168</v>
      </c>
      <c r="H118" s="588"/>
      <c r="I118" s="587"/>
      <c r="J118" s="587"/>
      <c r="K118" s="587"/>
      <c r="L118" s="589"/>
      <c r="M118" s="590"/>
      <c r="N118" s="591"/>
      <c r="O118" s="95"/>
      <c r="P118" s="579"/>
      <c r="Q118" s="580"/>
      <c r="R118" s="580"/>
      <c r="S118" s="581"/>
      <c r="T118" s="582"/>
      <c r="U118" s="79"/>
      <c r="V118" s="621"/>
      <c r="Y118" s="44"/>
      <c r="Z118" s="44"/>
      <c r="AA118" s="102" t="s">
        <v>545</v>
      </c>
      <c r="AB118" s="777" t="s">
        <v>500</v>
      </c>
      <c r="AC118" s="779">
        <f t="shared" si="23"/>
        <v>4.2599999999999962</v>
      </c>
      <c r="AD118" s="1161"/>
      <c r="AE118" s="102" t="s">
        <v>545</v>
      </c>
      <c r="AF118" s="777" t="s">
        <v>500</v>
      </c>
      <c r="AG118" s="587">
        <v>6</v>
      </c>
      <c r="AH118" s="587">
        <v>18028</v>
      </c>
      <c r="AI118" s="774">
        <f t="shared" si="21"/>
        <v>108168</v>
      </c>
    </row>
    <row r="119" spans="1:35" s="45" customFormat="1" ht="38.25">
      <c r="A119" s="586"/>
      <c r="B119" s="779">
        <f t="shared" si="22"/>
        <v>4.269999999999996</v>
      </c>
      <c r="C119" s="102" t="s">
        <v>965</v>
      </c>
      <c r="D119" s="772" t="s">
        <v>512</v>
      </c>
      <c r="E119" s="587">
        <v>32</v>
      </c>
      <c r="F119" s="587">
        <v>3720</v>
      </c>
      <c r="G119" s="774">
        <f t="shared" si="20"/>
        <v>119040</v>
      </c>
      <c r="H119" s="588"/>
      <c r="I119" s="587"/>
      <c r="J119" s="587"/>
      <c r="K119" s="587"/>
      <c r="L119" s="589"/>
      <c r="M119" s="590"/>
      <c r="N119" s="591"/>
      <c r="O119" s="95"/>
      <c r="P119" s="579"/>
      <c r="Q119" s="580"/>
      <c r="R119" s="580"/>
      <c r="S119" s="581"/>
      <c r="T119" s="582"/>
      <c r="U119" s="79"/>
      <c r="V119" s="621"/>
      <c r="Y119" s="44"/>
      <c r="Z119" s="44"/>
      <c r="AA119" s="102" t="s">
        <v>965</v>
      </c>
      <c r="AB119" s="772" t="s">
        <v>512</v>
      </c>
      <c r="AC119" s="779">
        <f t="shared" si="23"/>
        <v>4.269999999999996</v>
      </c>
      <c r="AD119" s="1161"/>
      <c r="AE119" s="102" t="s">
        <v>965</v>
      </c>
      <c r="AF119" s="772" t="s">
        <v>512</v>
      </c>
      <c r="AG119" s="587">
        <v>32</v>
      </c>
      <c r="AH119" s="587">
        <v>3720</v>
      </c>
      <c r="AI119" s="774">
        <f t="shared" si="21"/>
        <v>119040</v>
      </c>
    </row>
    <row r="120" spans="1:35" s="45" customFormat="1" ht="38.25">
      <c r="A120" s="586"/>
      <c r="B120" s="779">
        <f t="shared" si="22"/>
        <v>4.2799999999999958</v>
      </c>
      <c r="C120" s="102" t="s">
        <v>547</v>
      </c>
      <c r="D120" s="777" t="s">
        <v>22</v>
      </c>
      <c r="E120" s="587">
        <v>1</v>
      </c>
      <c r="F120" s="858">
        <v>115000</v>
      </c>
      <c r="G120" s="774">
        <f t="shared" si="20"/>
        <v>115000</v>
      </c>
      <c r="H120" s="588"/>
      <c r="I120" s="587"/>
      <c r="J120" s="587"/>
      <c r="K120" s="587"/>
      <c r="L120" s="589"/>
      <c r="M120" s="590"/>
      <c r="N120" s="591"/>
      <c r="O120" s="95"/>
      <c r="P120" s="579"/>
      <c r="Q120" s="580"/>
      <c r="R120" s="580"/>
      <c r="S120" s="581"/>
      <c r="T120" s="582"/>
      <c r="U120" s="79"/>
      <c r="V120" s="621"/>
      <c r="W120" s="45">
        <f>348000*1.16*1.1</f>
        <v>444048.00000000006</v>
      </c>
      <c r="Y120" s="44"/>
      <c r="Z120" s="44"/>
      <c r="AA120" s="102" t="s">
        <v>547</v>
      </c>
      <c r="AB120" s="777" t="s">
        <v>22</v>
      </c>
      <c r="AC120" s="779">
        <f t="shared" si="23"/>
        <v>4.2799999999999958</v>
      </c>
      <c r="AD120" s="1161"/>
      <c r="AE120" s="102" t="s">
        <v>547</v>
      </c>
      <c r="AF120" s="777" t="s">
        <v>22</v>
      </c>
      <c r="AG120" s="587">
        <v>1</v>
      </c>
      <c r="AH120" s="858">
        <v>115000</v>
      </c>
      <c r="AI120" s="774">
        <f t="shared" si="21"/>
        <v>115000</v>
      </c>
    </row>
    <row r="121" spans="1:35" s="45" customFormat="1" ht="38.25">
      <c r="A121" s="586"/>
      <c r="B121" s="779">
        <f t="shared" si="22"/>
        <v>4.2899999999999956</v>
      </c>
      <c r="C121" s="102" t="s">
        <v>548</v>
      </c>
      <c r="D121" s="777" t="s">
        <v>22</v>
      </c>
      <c r="E121" s="587">
        <v>4</v>
      </c>
      <c r="F121" s="858">
        <v>469000</v>
      </c>
      <c r="G121" s="774">
        <f t="shared" si="20"/>
        <v>1876000</v>
      </c>
      <c r="H121" s="588"/>
      <c r="I121" s="587"/>
      <c r="J121" s="587"/>
      <c r="K121" s="587"/>
      <c r="L121" s="589"/>
      <c r="M121" s="590"/>
      <c r="N121" s="591"/>
      <c r="O121" s="95"/>
      <c r="P121" s="579"/>
      <c r="Q121" s="580"/>
      <c r="R121" s="580"/>
      <c r="S121" s="581"/>
      <c r="T121" s="582"/>
      <c r="U121" s="79"/>
      <c r="V121" s="621"/>
      <c r="W121" s="45">
        <f>348000*1.16*1.1</f>
        <v>444048.00000000006</v>
      </c>
      <c r="Y121" s="44"/>
      <c r="Z121" s="44"/>
      <c r="AA121" s="102" t="s">
        <v>548</v>
      </c>
      <c r="AB121" s="777" t="s">
        <v>22</v>
      </c>
      <c r="AC121" s="779">
        <f t="shared" si="23"/>
        <v>4.2899999999999956</v>
      </c>
      <c r="AD121" s="1161"/>
      <c r="AE121" s="102" t="s">
        <v>548</v>
      </c>
      <c r="AF121" s="777" t="s">
        <v>22</v>
      </c>
      <c r="AG121" s="587">
        <v>4</v>
      </c>
      <c r="AH121" s="858">
        <v>469000</v>
      </c>
      <c r="AI121" s="774">
        <f t="shared" si="21"/>
        <v>1876000</v>
      </c>
    </row>
    <row r="122" spans="1:35" s="45" customFormat="1" ht="25.5">
      <c r="A122" s="586"/>
      <c r="B122" s="779">
        <f t="shared" si="22"/>
        <v>4.2999999999999954</v>
      </c>
      <c r="C122" s="988" t="s">
        <v>513</v>
      </c>
      <c r="D122" s="989" t="s">
        <v>22</v>
      </c>
      <c r="E122" s="858">
        <v>676</v>
      </c>
      <c r="F122" s="858">
        <v>53000</v>
      </c>
      <c r="G122" s="990">
        <f t="shared" si="20"/>
        <v>35828000</v>
      </c>
      <c r="H122" s="588"/>
      <c r="I122" s="587"/>
      <c r="J122" s="587"/>
      <c r="K122" s="587"/>
      <c r="L122" s="589"/>
      <c r="M122" s="590"/>
      <c r="N122" s="591"/>
      <c r="O122" s="95"/>
      <c r="P122" s="579"/>
      <c r="Q122" s="580"/>
      <c r="R122" s="580"/>
      <c r="S122" s="581"/>
      <c r="T122" s="582"/>
      <c r="U122" s="79"/>
      <c r="V122" s="621"/>
      <c r="W122" s="878"/>
      <c r="Y122" s="44"/>
      <c r="Z122" s="44"/>
      <c r="AA122" s="988" t="s">
        <v>513</v>
      </c>
      <c r="AB122" s="989" t="s">
        <v>22</v>
      </c>
      <c r="AC122" s="779">
        <f t="shared" si="23"/>
        <v>4.2999999999999954</v>
      </c>
      <c r="AD122" s="1161"/>
      <c r="AE122" s="988" t="s">
        <v>513</v>
      </c>
      <c r="AF122" s="989" t="s">
        <v>22</v>
      </c>
      <c r="AG122" s="858">
        <v>676</v>
      </c>
      <c r="AH122" s="858">
        <v>53000</v>
      </c>
      <c r="AI122" s="990">
        <f t="shared" si="21"/>
        <v>35828000</v>
      </c>
    </row>
    <row r="123" spans="1:35" s="45" customFormat="1" ht="25.5">
      <c r="A123" s="586"/>
      <c r="B123" s="779">
        <f t="shared" si="22"/>
        <v>4.3099999999999952</v>
      </c>
      <c r="C123" s="102" t="s">
        <v>514</v>
      </c>
      <c r="D123" s="777" t="s">
        <v>22</v>
      </c>
      <c r="E123" s="587">
        <v>676</v>
      </c>
      <c r="F123" s="858">
        <v>14047</v>
      </c>
      <c r="G123" s="774">
        <f>E122*F123</f>
        <v>9495772</v>
      </c>
      <c r="H123" s="588"/>
      <c r="I123" s="587"/>
      <c r="J123" s="587"/>
      <c r="K123" s="587"/>
      <c r="L123" s="589"/>
      <c r="M123" s="590"/>
      <c r="N123" s="591"/>
      <c r="O123" s="95"/>
      <c r="P123" s="579"/>
      <c r="Q123" s="580"/>
      <c r="R123" s="580"/>
      <c r="S123" s="581"/>
      <c r="T123" s="582"/>
      <c r="U123" s="79"/>
      <c r="V123" s="621"/>
      <c r="W123" s="45">
        <v>14047</v>
      </c>
      <c r="Y123" s="44"/>
      <c r="Z123" s="44"/>
      <c r="AA123" s="102" t="s">
        <v>514</v>
      </c>
      <c r="AB123" s="777" t="s">
        <v>22</v>
      </c>
      <c r="AC123" s="779">
        <f t="shared" si="23"/>
        <v>4.3099999999999952</v>
      </c>
      <c r="AD123" s="1161"/>
      <c r="AE123" s="102" t="s">
        <v>514</v>
      </c>
      <c r="AF123" s="777" t="s">
        <v>22</v>
      </c>
      <c r="AG123" s="587">
        <v>676</v>
      </c>
      <c r="AH123" s="858">
        <v>14047</v>
      </c>
      <c r="AI123" s="774">
        <f>AG122*AH123</f>
        <v>9495772</v>
      </c>
    </row>
    <row r="124" spans="1:35" s="45" customFormat="1" ht="25.5">
      <c r="A124" s="586"/>
      <c r="B124" s="779">
        <f t="shared" si="22"/>
        <v>4.319999999999995</v>
      </c>
      <c r="C124" s="102" t="s">
        <v>515</v>
      </c>
      <c r="D124" s="772" t="s">
        <v>22</v>
      </c>
      <c r="E124" s="587">
        <v>1372</v>
      </c>
      <c r="F124" s="858">
        <v>2923</v>
      </c>
      <c r="G124" s="774">
        <f>E123*F124</f>
        <v>1975948</v>
      </c>
      <c r="H124" s="588"/>
      <c r="I124" s="587"/>
      <c r="J124" s="587"/>
      <c r="K124" s="587"/>
      <c r="L124" s="589"/>
      <c r="M124" s="590"/>
      <c r="N124" s="591"/>
      <c r="O124" s="95"/>
      <c r="P124" s="579"/>
      <c r="Q124" s="580"/>
      <c r="R124" s="580"/>
      <c r="S124" s="581"/>
      <c r="T124" s="582"/>
      <c r="U124" s="79"/>
      <c r="V124" s="621"/>
      <c r="Y124" s="44"/>
      <c r="Z124" s="44"/>
      <c r="AA124" s="102" t="s">
        <v>515</v>
      </c>
      <c r="AB124" s="772" t="s">
        <v>22</v>
      </c>
      <c r="AC124" s="779">
        <f t="shared" si="23"/>
        <v>4.319999999999995</v>
      </c>
      <c r="AD124" s="1161"/>
      <c r="AE124" s="102" t="s">
        <v>515</v>
      </c>
      <c r="AF124" s="772" t="s">
        <v>22</v>
      </c>
      <c r="AG124" s="587">
        <v>1372</v>
      </c>
      <c r="AH124" s="858">
        <v>2923</v>
      </c>
      <c r="AI124" s="774">
        <f>AG123*AH124</f>
        <v>1975948</v>
      </c>
    </row>
    <row r="125" spans="1:35" s="45" customFormat="1">
      <c r="A125" s="586"/>
      <c r="B125" s="779"/>
      <c r="C125" s="102"/>
      <c r="D125" s="777"/>
      <c r="E125" s="780"/>
      <c r="F125" s="776"/>
      <c r="G125" s="774">
        <f t="shared" si="20"/>
        <v>0</v>
      </c>
      <c r="H125" s="588"/>
      <c r="I125" s="587"/>
      <c r="J125" s="587"/>
      <c r="K125" s="587"/>
      <c r="L125" s="589"/>
      <c r="M125" s="590"/>
      <c r="N125" s="591"/>
      <c r="O125" s="95"/>
      <c r="P125" s="579"/>
      <c r="Q125" s="580"/>
      <c r="R125" s="580"/>
      <c r="S125" s="581"/>
      <c r="T125" s="582"/>
      <c r="U125" s="79"/>
      <c r="V125" s="621"/>
      <c r="Y125" s="44"/>
      <c r="Z125" s="44"/>
      <c r="AA125" s="102"/>
      <c r="AB125" s="777"/>
      <c r="AC125" s="779"/>
      <c r="AD125" s="1161"/>
      <c r="AE125" s="102"/>
      <c r="AF125" s="777"/>
      <c r="AG125" s="1059"/>
      <c r="AH125" s="776"/>
      <c r="AI125" s="774">
        <f t="shared" si="21"/>
        <v>0</v>
      </c>
    </row>
    <row r="126" spans="1:35" s="45" customFormat="1">
      <c r="A126" s="586"/>
      <c r="B126" s="771"/>
      <c r="C126" s="102"/>
      <c r="D126" s="777"/>
      <c r="E126" s="780"/>
      <c r="F126" s="587"/>
      <c r="G126" s="774"/>
      <c r="H126" s="588"/>
      <c r="I126" s="587"/>
      <c r="J126" s="587"/>
      <c r="K126" s="587"/>
      <c r="L126" s="589"/>
      <c r="M126" s="590"/>
      <c r="N126" s="591"/>
      <c r="O126" s="95"/>
      <c r="P126" s="579"/>
      <c r="Q126" s="580"/>
      <c r="R126" s="580"/>
      <c r="S126" s="581"/>
      <c r="T126" s="582"/>
      <c r="U126" s="79"/>
      <c r="V126" s="621"/>
      <c r="Y126" s="44"/>
      <c r="Z126" s="44"/>
      <c r="AA126" s="102"/>
      <c r="AB126" s="777"/>
      <c r="AC126" s="771"/>
      <c r="AD126" s="1154"/>
      <c r="AE126" s="102"/>
      <c r="AF126" s="777"/>
      <c r="AG126" s="1059"/>
      <c r="AH126" s="587"/>
      <c r="AI126" s="774"/>
    </row>
    <row r="127" spans="1:35" s="45" customFormat="1" ht="15.75" thickBot="1">
      <c r="A127" s="586"/>
      <c r="B127" s="114"/>
      <c r="C127" s="114"/>
      <c r="D127" s="115"/>
      <c r="E127" s="116"/>
      <c r="F127" s="117" t="s">
        <v>959</v>
      </c>
      <c r="G127" s="1152">
        <f>SUM(G100:G125)</f>
        <v>168235312</v>
      </c>
      <c r="H127" s="588"/>
      <c r="I127" s="587"/>
      <c r="J127" s="587"/>
      <c r="K127" s="587"/>
      <c r="L127" s="589"/>
      <c r="M127" s="590"/>
      <c r="N127" s="591"/>
      <c r="O127" s="95"/>
      <c r="P127" s="579"/>
      <c r="Q127" s="580"/>
      <c r="R127" s="580"/>
      <c r="S127" s="581"/>
      <c r="T127" s="582"/>
      <c r="U127" s="79"/>
      <c r="V127" s="621"/>
      <c r="Y127" s="44"/>
      <c r="Z127" s="44"/>
      <c r="AA127" s="1064"/>
      <c r="AB127" s="1065"/>
      <c r="AC127" s="1064"/>
      <c r="AD127" s="1064"/>
      <c r="AE127" s="1064"/>
      <c r="AF127" s="1065"/>
      <c r="AG127" s="1066"/>
      <c r="AH127" s="1073" t="s">
        <v>959</v>
      </c>
      <c r="AI127" s="1117">
        <f>SUM(AI100:AI125)</f>
        <v>166393036</v>
      </c>
    </row>
    <row r="128" spans="1:35" s="45" customFormat="1">
      <c r="A128" s="586"/>
      <c r="B128" s="771"/>
      <c r="C128" s="102"/>
      <c r="D128" s="772"/>
      <c r="E128" s="773"/>
      <c r="F128" s="587"/>
      <c r="G128" s="774"/>
      <c r="H128" s="588"/>
      <c r="I128" s="587"/>
      <c r="J128" s="587"/>
      <c r="K128" s="587"/>
      <c r="L128" s="589"/>
      <c r="M128" s="590"/>
      <c r="N128" s="591"/>
      <c r="O128" s="95"/>
      <c r="P128" s="579"/>
      <c r="Q128" s="580"/>
      <c r="R128" s="580"/>
      <c r="S128" s="581"/>
      <c r="T128" s="582"/>
      <c r="U128" s="79"/>
      <c r="V128" s="621"/>
      <c r="Y128" s="44"/>
      <c r="Z128" s="44"/>
      <c r="AA128" s="102"/>
      <c r="AB128" s="772"/>
      <c r="AC128" s="771"/>
      <c r="AD128" s="1154"/>
      <c r="AE128" s="102"/>
      <c r="AF128" s="772"/>
      <c r="AG128" s="773"/>
      <c r="AH128" s="587"/>
      <c r="AI128" s="774"/>
    </row>
    <row r="129" spans="1:35" s="45" customFormat="1" ht="15.75" thickBot="1">
      <c r="A129" s="586"/>
      <c r="B129" s="871"/>
      <c r="C129" s="871"/>
      <c r="D129" s="873"/>
      <c r="E129" s="874"/>
      <c r="F129" s="947" t="s">
        <v>960</v>
      </c>
      <c r="G129" s="1004">
        <f>+G97+G127</f>
        <v>220406434</v>
      </c>
      <c r="H129" s="588"/>
      <c r="I129" s="587"/>
      <c r="J129" s="587"/>
      <c r="K129" s="587"/>
      <c r="L129" s="589"/>
      <c r="M129" s="590"/>
      <c r="N129" s="591"/>
      <c r="O129" s="95"/>
      <c r="P129" s="579"/>
      <c r="Q129" s="580"/>
      <c r="R129" s="580"/>
      <c r="S129" s="581"/>
      <c r="T129" s="582"/>
      <c r="U129" s="79"/>
      <c r="V129" s="621"/>
      <c r="Y129" s="44"/>
      <c r="Z129" s="44"/>
      <c r="AA129" s="1074"/>
      <c r="AB129" s="1075"/>
      <c r="AC129" s="1074"/>
      <c r="AD129" s="1074"/>
      <c r="AE129" s="1074"/>
      <c r="AF129" s="1075"/>
      <c r="AG129" s="1076"/>
      <c r="AH129" s="1077" t="s">
        <v>960</v>
      </c>
      <c r="AI129" s="1115">
        <f>+AI97+AI127</f>
        <v>218564158</v>
      </c>
    </row>
    <row r="130" spans="1:35" s="45" customFormat="1" ht="15.75" thickBot="1">
      <c r="A130" s="586"/>
      <c r="B130" s="771"/>
      <c r="C130" s="102"/>
      <c r="D130" s="772"/>
      <c r="E130" s="773"/>
      <c r="F130" s="587"/>
      <c r="G130" s="774"/>
      <c r="H130" s="588"/>
      <c r="I130" s="587"/>
      <c r="J130" s="587"/>
      <c r="K130" s="587"/>
      <c r="L130" s="589"/>
      <c r="M130" s="590"/>
      <c r="N130" s="591"/>
      <c r="O130" s="95"/>
      <c r="P130" s="579"/>
      <c r="Q130" s="580"/>
      <c r="R130" s="580"/>
      <c r="S130" s="581"/>
      <c r="T130" s="582"/>
      <c r="U130" s="79"/>
      <c r="V130" s="621"/>
      <c r="Y130" s="44"/>
      <c r="Z130" s="44"/>
      <c r="AA130" s="102"/>
      <c r="AB130" s="772"/>
      <c r="AC130" s="771"/>
      <c r="AD130" s="1154"/>
      <c r="AE130" s="102"/>
      <c r="AF130" s="772"/>
      <c r="AG130" s="773"/>
      <c r="AH130" s="587"/>
      <c r="AI130" s="774"/>
    </row>
    <row r="131" spans="1:35" s="45" customFormat="1">
      <c r="A131" s="586"/>
      <c r="B131" s="74">
        <v>5</v>
      </c>
      <c r="C131" s="75" t="s">
        <v>476</v>
      </c>
      <c r="D131" s="76"/>
      <c r="E131" s="76"/>
      <c r="F131" s="76"/>
      <c r="G131" s="126"/>
      <c r="H131" s="588"/>
      <c r="I131" s="587"/>
      <c r="J131" s="587"/>
      <c r="K131" s="587"/>
      <c r="L131" s="589"/>
      <c r="M131" s="590"/>
      <c r="N131" s="591"/>
      <c r="O131" s="95"/>
      <c r="P131" s="579"/>
      <c r="Q131" s="580"/>
      <c r="R131" s="580"/>
      <c r="S131" s="581"/>
      <c r="T131" s="582"/>
      <c r="U131" s="79"/>
      <c r="V131" s="621"/>
      <c r="Y131" s="44"/>
      <c r="Z131" s="44"/>
      <c r="AA131" s="1060" t="s">
        <v>476</v>
      </c>
      <c r="AB131" s="1061"/>
      <c r="AC131" s="1111">
        <v>5</v>
      </c>
      <c r="AD131" s="1156"/>
      <c r="AE131" s="1060" t="s">
        <v>476</v>
      </c>
      <c r="AF131" s="1061"/>
      <c r="AG131" s="1061"/>
      <c r="AH131" s="1061"/>
      <c r="AI131" s="1113"/>
    </row>
    <row r="132" spans="1:35" s="45" customFormat="1">
      <c r="A132" s="586"/>
      <c r="B132" s="771"/>
      <c r="C132" s="788" t="s">
        <v>947</v>
      </c>
      <c r="D132" s="772"/>
      <c r="E132" s="773"/>
      <c r="F132" s="587"/>
      <c r="G132" s="774"/>
      <c r="H132" s="588"/>
      <c r="I132" s="587"/>
      <c r="J132" s="587"/>
      <c r="K132" s="587"/>
      <c r="L132" s="589"/>
      <c r="M132" s="590"/>
      <c r="N132" s="591"/>
      <c r="O132" s="95"/>
      <c r="P132" s="579"/>
      <c r="Q132" s="580"/>
      <c r="R132" s="580"/>
      <c r="S132" s="581"/>
      <c r="T132" s="582"/>
      <c r="U132" s="79"/>
      <c r="V132" s="621"/>
      <c r="Y132" s="44"/>
      <c r="Z132" s="44"/>
      <c r="AA132" s="788" t="s">
        <v>947</v>
      </c>
      <c r="AB132" s="772"/>
      <c r="AC132" s="771"/>
      <c r="AD132" s="1154"/>
      <c r="AE132" s="788" t="s">
        <v>947</v>
      </c>
      <c r="AF132" s="772"/>
      <c r="AG132" s="773"/>
      <c r="AH132" s="587"/>
      <c r="AI132" s="774"/>
    </row>
    <row r="133" spans="1:35" s="45" customFormat="1" ht="38.25">
      <c r="A133" s="586"/>
      <c r="B133" s="771">
        <v>5.0999999999999996</v>
      </c>
      <c r="C133" s="102" t="s">
        <v>943</v>
      </c>
      <c r="D133" s="772" t="s">
        <v>139</v>
      </c>
      <c r="E133" s="587">
        <v>587</v>
      </c>
      <c r="F133" s="587">
        <v>2610</v>
      </c>
      <c r="G133" s="774">
        <f>+E133*F133</f>
        <v>1532070</v>
      </c>
      <c r="H133" s="588"/>
      <c r="I133" s="587"/>
      <c r="J133" s="587"/>
      <c r="K133" s="587"/>
      <c r="L133" s="589"/>
      <c r="M133" s="590"/>
      <c r="N133" s="591"/>
      <c r="O133" s="95"/>
      <c r="P133" s="579"/>
      <c r="Q133" s="580"/>
      <c r="R133" s="580"/>
      <c r="S133" s="581"/>
      <c r="T133" s="582"/>
      <c r="U133" s="79"/>
      <c r="V133" s="621"/>
      <c r="Y133" s="44"/>
      <c r="Z133" s="44"/>
      <c r="AA133" s="102" t="s">
        <v>943</v>
      </c>
      <c r="AB133" s="772" t="s">
        <v>139</v>
      </c>
      <c r="AC133" s="771">
        <v>5.0999999999999996</v>
      </c>
      <c r="AD133" s="1154"/>
      <c r="AE133" s="102" t="s">
        <v>943</v>
      </c>
      <c r="AF133" s="772" t="s">
        <v>139</v>
      </c>
      <c r="AG133" s="587">
        <v>587</v>
      </c>
      <c r="AH133" s="587">
        <v>2610</v>
      </c>
      <c r="AI133" s="774">
        <f>+AG133*AH133</f>
        <v>1532070</v>
      </c>
    </row>
    <row r="134" spans="1:35" s="45" customFormat="1" ht="38.25">
      <c r="A134" s="586"/>
      <c r="B134" s="771">
        <f>+B133+0.1</f>
        <v>5.1999999999999993</v>
      </c>
      <c r="C134" s="102" t="s">
        <v>1101</v>
      </c>
      <c r="D134" s="772" t="s">
        <v>139</v>
      </c>
      <c r="E134" s="587">
        <v>337</v>
      </c>
      <c r="F134" s="587">
        <v>5190</v>
      </c>
      <c r="G134" s="774">
        <f t="shared" ref="G134:G139" si="27">+E134*F134</f>
        <v>1749030</v>
      </c>
      <c r="H134" s="588"/>
      <c r="I134" s="587"/>
      <c r="J134" s="587"/>
      <c r="K134" s="587"/>
      <c r="L134" s="589"/>
      <c r="M134" s="590"/>
      <c r="N134" s="591"/>
      <c r="O134" s="95"/>
      <c r="P134" s="579"/>
      <c r="Q134" s="580"/>
      <c r="R134" s="580"/>
      <c r="S134" s="581"/>
      <c r="T134" s="582"/>
      <c r="U134" s="79"/>
      <c r="V134" s="621"/>
      <c r="AA134" s="102" t="s">
        <v>1101</v>
      </c>
      <c r="AB134" s="772" t="s">
        <v>139</v>
      </c>
      <c r="AC134" s="771">
        <f>+AC133+0.1</f>
        <v>5.1999999999999993</v>
      </c>
      <c r="AD134" s="1154"/>
      <c r="AE134" s="102" t="s">
        <v>1101</v>
      </c>
      <c r="AF134" s="772" t="s">
        <v>139</v>
      </c>
      <c r="AG134" s="587">
        <v>337</v>
      </c>
      <c r="AH134" s="587">
        <v>5190</v>
      </c>
      <c r="AI134" s="774">
        <f t="shared" ref="AI134:AI139" si="28">+AG134*AH134</f>
        <v>1749030</v>
      </c>
    </row>
    <row r="135" spans="1:35" s="45" customFormat="1" ht="63.75">
      <c r="A135" s="586"/>
      <c r="B135" s="771">
        <f t="shared" ref="B135:B140" si="29">+B134+0.1</f>
        <v>5.2999999999999989</v>
      </c>
      <c r="C135" s="102" t="s">
        <v>941</v>
      </c>
      <c r="D135" s="777" t="s">
        <v>139</v>
      </c>
      <c r="E135" s="863">
        <v>247</v>
      </c>
      <c r="F135" s="587">
        <v>10240</v>
      </c>
      <c r="G135" s="774">
        <f t="shared" si="27"/>
        <v>2529280</v>
      </c>
      <c r="H135" s="588"/>
      <c r="I135" s="587"/>
      <c r="J135" s="587"/>
      <c r="K135" s="587"/>
      <c r="L135" s="589"/>
      <c r="M135" s="590"/>
      <c r="N135" s="591"/>
      <c r="O135" s="95"/>
      <c r="P135" s="579"/>
      <c r="Q135" s="580"/>
      <c r="R135" s="580"/>
      <c r="S135" s="581"/>
      <c r="T135" s="582"/>
      <c r="U135" s="79"/>
      <c r="V135" s="621"/>
      <c r="AA135" s="102" t="s">
        <v>941</v>
      </c>
      <c r="AB135" s="777" t="s">
        <v>139</v>
      </c>
      <c r="AC135" s="771">
        <f t="shared" ref="AC135:AC140" si="30">+AC134+0.1</f>
        <v>5.2999999999999989</v>
      </c>
      <c r="AD135" s="1154"/>
      <c r="AE135" s="102" t="s">
        <v>941</v>
      </c>
      <c r="AF135" s="777" t="s">
        <v>139</v>
      </c>
      <c r="AG135" s="587">
        <v>247</v>
      </c>
      <c r="AH135" s="587">
        <v>10240</v>
      </c>
      <c r="AI135" s="774">
        <f t="shared" si="28"/>
        <v>2529280</v>
      </c>
    </row>
    <row r="136" spans="1:35" s="45" customFormat="1" ht="51">
      <c r="A136" s="586"/>
      <c r="B136" s="771">
        <f t="shared" si="29"/>
        <v>5.3999999999999986</v>
      </c>
      <c r="C136" s="102" t="s">
        <v>497</v>
      </c>
      <c r="D136" s="777" t="s">
        <v>56</v>
      </c>
      <c r="E136" s="587">
        <v>88</v>
      </c>
      <c r="F136" s="587">
        <v>17220</v>
      </c>
      <c r="G136" s="774">
        <f t="shared" si="27"/>
        <v>1515360</v>
      </c>
      <c r="H136" s="588"/>
      <c r="I136" s="587"/>
      <c r="J136" s="587"/>
      <c r="K136" s="587"/>
      <c r="L136" s="589"/>
      <c r="M136" s="590"/>
      <c r="N136" s="591"/>
      <c r="O136" s="95"/>
      <c r="P136" s="579"/>
      <c r="Q136" s="580"/>
      <c r="R136" s="580"/>
      <c r="S136" s="581"/>
      <c r="T136" s="582"/>
      <c r="U136" s="79"/>
      <c r="V136" s="621"/>
      <c r="AA136" s="102" t="s">
        <v>497</v>
      </c>
      <c r="AB136" s="777" t="s">
        <v>56</v>
      </c>
      <c r="AC136" s="771">
        <f t="shared" si="30"/>
        <v>5.3999999999999986</v>
      </c>
      <c r="AD136" s="1154"/>
      <c r="AE136" s="102" t="s">
        <v>497</v>
      </c>
      <c r="AF136" s="777" t="s">
        <v>56</v>
      </c>
      <c r="AG136" s="587">
        <v>88</v>
      </c>
      <c r="AH136" s="587">
        <v>17220</v>
      </c>
      <c r="AI136" s="774">
        <f t="shared" si="28"/>
        <v>1515360</v>
      </c>
    </row>
    <row r="137" spans="1:35" s="45" customFormat="1" ht="51">
      <c r="A137" s="586"/>
      <c r="B137" s="771">
        <f t="shared" si="29"/>
        <v>5.4999999999999982</v>
      </c>
      <c r="C137" s="782" t="s">
        <v>979</v>
      </c>
      <c r="D137" s="772" t="s">
        <v>139</v>
      </c>
      <c r="E137" s="587">
        <v>26</v>
      </c>
      <c r="F137" s="587">
        <v>573533</v>
      </c>
      <c r="G137" s="774">
        <f t="shared" si="27"/>
        <v>14911858</v>
      </c>
      <c r="H137" s="588"/>
      <c r="I137" s="587"/>
      <c r="J137" s="587"/>
      <c r="K137" s="587"/>
      <c r="L137" s="589"/>
      <c r="M137" s="590"/>
      <c r="N137" s="591"/>
      <c r="O137" s="95"/>
      <c r="P137" s="579"/>
      <c r="Q137" s="580"/>
      <c r="R137" s="580"/>
      <c r="S137" s="581"/>
      <c r="T137" s="582"/>
      <c r="U137" s="79"/>
      <c r="V137" s="621"/>
      <c r="AA137" s="1062" t="s">
        <v>979</v>
      </c>
      <c r="AB137" s="772" t="s">
        <v>139</v>
      </c>
      <c r="AC137" s="771">
        <f t="shared" si="30"/>
        <v>5.4999999999999982</v>
      </c>
      <c r="AD137" s="1154"/>
      <c r="AE137" s="1062" t="s">
        <v>979</v>
      </c>
      <c r="AF137" s="772" t="s">
        <v>139</v>
      </c>
      <c r="AG137" s="587">
        <v>26</v>
      </c>
      <c r="AH137" s="587">
        <v>573533</v>
      </c>
      <c r="AI137" s="774">
        <f t="shared" si="28"/>
        <v>14911858</v>
      </c>
    </row>
    <row r="138" spans="1:35" s="45" customFormat="1" ht="63.75">
      <c r="A138" s="586"/>
      <c r="B138" s="771">
        <f t="shared" si="29"/>
        <v>5.5999999999999979</v>
      </c>
      <c r="C138" s="102" t="s">
        <v>976</v>
      </c>
      <c r="D138" s="772" t="s">
        <v>139</v>
      </c>
      <c r="E138" s="587">
        <v>174</v>
      </c>
      <c r="F138" s="587">
        <v>614040</v>
      </c>
      <c r="G138" s="774">
        <f t="shared" si="27"/>
        <v>106842960</v>
      </c>
      <c r="H138" s="588"/>
      <c r="I138" s="587"/>
      <c r="J138" s="587"/>
      <c r="K138" s="587"/>
      <c r="L138" s="589"/>
      <c r="M138" s="590"/>
      <c r="N138" s="591"/>
      <c r="O138" s="95"/>
      <c r="P138" s="579"/>
      <c r="Q138" s="580"/>
      <c r="R138" s="580"/>
      <c r="S138" s="581"/>
      <c r="T138" s="582"/>
      <c r="U138" s="79"/>
      <c r="V138" s="621"/>
      <c r="AA138" s="102" t="s">
        <v>976</v>
      </c>
      <c r="AB138" s="772" t="s">
        <v>139</v>
      </c>
      <c r="AC138" s="771">
        <f t="shared" si="30"/>
        <v>5.5999999999999979</v>
      </c>
      <c r="AD138" s="1154"/>
      <c r="AE138" s="102" t="s">
        <v>976</v>
      </c>
      <c r="AF138" s="772" t="s">
        <v>139</v>
      </c>
      <c r="AG138" s="587">
        <v>174</v>
      </c>
      <c r="AH138" s="587">
        <v>614040</v>
      </c>
      <c r="AI138" s="774">
        <f t="shared" si="28"/>
        <v>106842960</v>
      </c>
    </row>
    <row r="139" spans="1:35" s="45" customFormat="1" ht="38.25">
      <c r="A139" s="586"/>
      <c r="B139" s="771">
        <f t="shared" si="29"/>
        <v>5.6999999999999975</v>
      </c>
      <c r="C139" s="102" t="s">
        <v>944</v>
      </c>
      <c r="D139" s="772" t="s">
        <v>139</v>
      </c>
      <c r="E139" s="587">
        <v>16</v>
      </c>
      <c r="F139" s="587">
        <f>+F53</f>
        <v>614040</v>
      </c>
      <c r="G139" s="774">
        <f t="shared" si="27"/>
        <v>9824640</v>
      </c>
      <c r="H139" s="588"/>
      <c r="I139" s="587"/>
      <c r="J139" s="587"/>
      <c r="K139" s="587"/>
      <c r="L139" s="589"/>
      <c r="M139" s="590"/>
      <c r="N139" s="591"/>
      <c r="O139" s="95"/>
      <c r="P139" s="579"/>
      <c r="Q139" s="580"/>
      <c r="R139" s="580"/>
      <c r="S139" s="581"/>
      <c r="T139" s="582"/>
      <c r="U139" s="79"/>
      <c r="V139" s="621"/>
      <c r="AA139" s="102" t="s">
        <v>944</v>
      </c>
      <c r="AB139" s="772" t="s">
        <v>139</v>
      </c>
      <c r="AC139" s="771">
        <f t="shared" si="30"/>
        <v>5.6999999999999975</v>
      </c>
      <c r="AD139" s="1154"/>
      <c r="AE139" s="102" t="s">
        <v>944</v>
      </c>
      <c r="AF139" s="772" t="s">
        <v>139</v>
      </c>
      <c r="AG139" s="587">
        <v>16</v>
      </c>
      <c r="AH139" s="587">
        <f>+AH53</f>
        <v>614040</v>
      </c>
      <c r="AI139" s="774">
        <f t="shared" si="28"/>
        <v>9824640</v>
      </c>
    </row>
    <row r="140" spans="1:35" s="45" customFormat="1" ht="38.25">
      <c r="A140" s="586"/>
      <c r="B140" s="771">
        <f t="shared" si="29"/>
        <v>5.7999999999999972</v>
      </c>
      <c r="C140" s="102" t="s">
        <v>939</v>
      </c>
      <c r="D140" s="772" t="s">
        <v>139</v>
      </c>
      <c r="E140" s="587">
        <v>17</v>
      </c>
      <c r="F140" s="587">
        <v>594610</v>
      </c>
      <c r="G140" s="774">
        <f>+E140*F140</f>
        <v>10108370</v>
      </c>
      <c r="H140" s="588"/>
      <c r="I140" s="587"/>
      <c r="J140" s="587"/>
      <c r="K140" s="587"/>
      <c r="L140" s="589"/>
      <c r="M140" s="590"/>
      <c r="N140" s="591"/>
      <c r="O140" s="95"/>
      <c r="P140" s="579"/>
      <c r="Q140" s="580"/>
      <c r="R140" s="580"/>
      <c r="S140" s="581"/>
      <c r="T140" s="582"/>
      <c r="U140" s="79"/>
      <c r="V140" s="621"/>
      <c r="AA140" s="102" t="s">
        <v>939</v>
      </c>
      <c r="AB140" s="772" t="s">
        <v>139</v>
      </c>
      <c r="AC140" s="771">
        <f t="shared" si="30"/>
        <v>5.7999999999999972</v>
      </c>
      <c r="AD140" s="1154"/>
      <c r="AE140" s="102" t="s">
        <v>939</v>
      </c>
      <c r="AF140" s="772" t="s">
        <v>139</v>
      </c>
      <c r="AG140" s="587">
        <v>17</v>
      </c>
      <c r="AH140" s="587">
        <v>594610</v>
      </c>
      <c r="AI140" s="774">
        <f>+AG140*AH140</f>
        <v>10108370</v>
      </c>
    </row>
    <row r="141" spans="1:35" s="45" customFormat="1">
      <c r="A141" s="586"/>
      <c r="B141" s="771"/>
      <c r="C141" s="215"/>
      <c r="D141" s="216"/>
      <c r="E141" s="95"/>
      <c r="F141" s="95"/>
      <c r="G141" s="774"/>
      <c r="H141" s="588"/>
      <c r="I141" s="587"/>
      <c r="J141" s="587"/>
      <c r="K141" s="587"/>
      <c r="L141" s="589"/>
      <c r="M141" s="590"/>
      <c r="N141" s="591"/>
      <c r="O141" s="95"/>
      <c r="P141" s="579"/>
      <c r="Q141" s="580"/>
      <c r="R141" s="580"/>
      <c r="S141" s="581"/>
      <c r="T141" s="582"/>
      <c r="U141" s="79"/>
      <c r="V141" s="621"/>
      <c r="AA141" s="215"/>
      <c r="AB141" s="216"/>
      <c r="AC141" s="771"/>
      <c r="AD141" s="823"/>
      <c r="AE141" s="215"/>
      <c r="AF141" s="216"/>
      <c r="AG141" s="95"/>
      <c r="AH141" s="95"/>
      <c r="AI141" s="774"/>
    </row>
    <row r="142" spans="1:35" s="45" customFormat="1" ht="15.75" thickBot="1">
      <c r="A142" s="586"/>
      <c r="B142" s="114"/>
      <c r="C142" s="114"/>
      <c r="D142" s="115"/>
      <c r="E142" s="116"/>
      <c r="F142" s="117" t="s">
        <v>967</v>
      </c>
      <c r="G142" s="118">
        <f>SUM(G133:G140)</f>
        <v>149013568</v>
      </c>
      <c r="H142" s="588"/>
      <c r="I142" s="587"/>
      <c r="J142" s="587"/>
      <c r="K142" s="587"/>
      <c r="L142" s="589"/>
      <c r="M142" s="590"/>
      <c r="N142" s="591"/>
      <c r="O142" s="95"/>
      <c r="P142" s="579"/>
      <c r="Q142" s="580"/>
      <c r="R142" s="580"/>
      <c r="S142" s="581"/>
      <c r="T142" s="582"/>
      <c r="U142" s="79"/>
      <c r="V142" s="621"/>
      <c r="X142" s="819"/>
      <c r="Y142" s="44"/>
      <c r="Z142" s="44"/>
      <c r="AA142" s="1064"/>
      <c r="AB142" s="1065"/>
      <c r="AC142" s="1064"/>
      <c r="AD142" s="1064"/>
      <c r="AE142" s="1064"/>
      <c r="AF142" s="1065"/>
      <c r="AG142" s="1066"/>
      <c r="AH142" s="1073" t="s">
        <v>967</v>
      </c>
      <c r="AI142" s="1117">
        <f>SUM(AI133:AI140)</f>
        <v>149013568</v>
      </c>
    </row>
    <row r="143" spans="1:35" s="45" customFormat="1">
      <c r="A143" s="586"/>
      <c r="B143" s="771"/>
      <c r="C143" s="102"/>
      <c r="D143" s="772"/>
      <c r="E143" s="773"/>
      <c r="F143" s="587"/>
      <c r="G143" s="774">
        <f>+E143*F207</f>
        <v>0</v>
      </c>
      <c r="H143" s="588"/>
      <c r="I143" s="587"/>
      <c r="J143" s="587"/>
      <c r="K143" s="587"/>
      <c r="L143" s="589"/>
      <c r="M143" s="590"/>
      <c r="N143" s="591"/>
      <c r="O143" s="95"/>
      <c r="P143" s="579"/>
      <c r="Q143" s="580"/>
      <c r="R143" s="580"/>
      <c r="S143" s="581"/>
      <c r="T143" s="582"/>
      <c r="U143" s="79"/>
      <c r="V143" s="621"/>
      <c r="Y143" s="44"/>
      <c r="Z143" s="44"/>
      <c r="AA143" s="102"/>
      <c r="AB143" s="772"/>
      <c r="AC143" s="771"/>
      <c r="AD143" s="1154"/>
      <c r="AE143" s="102"/>
      <c r="AF143" s="772"/>
      <c r="AG143" s="773"/>
      <c r="AH143" s="587"/>
      <c r="AI143" s="774">
        <f>+AG143*AH207</f>
        <v>0</v>
      </c>
    </row>
    <row r="144" spans="1:35" s="45" customFormat="1">
      <c r="A144" s="586"/>
      <c r="B144" s="771"/>
      <c r="C144" s="787" t="s">
        <v>948</v>
      </c>
      <c r="D144" s="772"/>
      <c r="E144" s="773"/>
      <c r="F144" s="587"/>
      <c r="G144" s="774"/>
      <c r="H144" s="588"/>
      <c r="I144" s="587"/>
      <c r="J144" s="587"/>
      <c r="K144" s="587"/>
      <c r="L144" s="589"/>
      <c r="M144" s="590"/>
      <c r="N144" s="591"/>
      <c r="O144" s="95"/>
      <c r="P144" s="579"/>
      <c r="Q144" s="580"/>
      <c r="R144" s="580"/>
      <c r="S144" s="581"/>
      <c r="T144" s="582"/>
      <c r="U144" s="79"/>
      <c r="V144" s="621"/>
      <c r="Y144" s="44"/>
      <c r="Z144" s="44"/>
      <c r="AA144" s="787" t="s">
        <v>948</v>
      </c>
      <c r="AB144" s="772"/>
      <c r="AC144" s="771"/>
      <c r="AD144" s="1154"/>
      <c r="AE144" s="787" t="s">
        <v>948</v>
      </c>
      <c r="AF144" s="772"/>
      <c r="AG144" s="773"/>
      <c r="AH144" s="587"/>
      <c r="AI144" s="774"/>
    </row>
    <row r="145" spans="1:35" s="45" customFormat="1" ht="105.75" customHeight="1">
      <c r="A145" s="586"/>
      <c r="B145" s="771">
        <v>5.9</v>
      </c>
      <c r="C145" s="102" t="s">
        <v>1008</v>
      </c>
      <c r="D145" s="772"/>
      <c r="E145" s="780"/>
      <c r="F145" s="587"/>
      <c r="G145" s="774">
        <f>E145*F145</f>
        <v>0</v>
      </c>
      <c r="H145" s="588"/>
      <c r="I145" s="587"/>
      <c r="J145" s="587"/>
      <c r="K145" s="587"/>
      <c r="L145" s="589"/>
      <c r="M145" s="590"/>
      <c r="N145" s="591"/>
      <c r="O145" s="95"/>
      <c r="P145" s="579"/>
      <c r="Q145" s="580"/>
      <c r="R145" s="580"/>
      <c r="S145" s="581"/>
      <c r="T145" s="582"/>
      <c r="U145" s="79"/>
      <c r="V145" s="621"/>
      <c r="Y145" s="44"/>
      <c r="Z145" s="44"/>
      <c r="AA145" s="102" t="s">
        <v>1008</v>
      </c>
      <c r="AB145" s="772"/>
      <c r="AC145" s="771">
        <v>5.9</v>
      </c>
      <c r="AD145" s="1154"/>
      <c r="AE145" s="102" t="s">
        <v>1008</v>
      </c>
      <c r="AF145" s="772"/>
      <c r="AG145" s="1059"/>
      <c r="AH145" s="587"/>
      <c r="AI145" s="774">
        <f>AG145*AH145</f>
        <v>0</v>
      </c>
    </row>
    <row r="146" spans="1:35" s="45" customFormat="1" ht="38.25">
      <c r="A146" s="586"/>
      <c r="B146" s="771" t="s">
        <v>988</v>
      </c>
      <c r="C146" s="102" t="s">
        <v>1009</v>
      </c>
      <c r="D146" s="772" t="s">
        <v>22</v>
      </c>
      <c r="E146" s="780">
        <v>4</v>
      </c>
      <c r="F146" s="587">
        <v>5658805</v>
      </c>
      <c r="G146" s="774">
        <f>+E146*F146</f>
        <v>22635220</v>
      </c>
      <c r="H146" s="588"/>
      <c r="I146" s="587"/>
      <c r="J146" s="587"/>
      <c r="K146" s="587"/>
      <c r="L146" s="589"/>
      <c r="M146" s="590"/>
      <c r="N146" s="591"/>
      <c r="O146" s="95"/>
      <c r="P146" s="579"/>
      <c r="Q146" s="580"/>
      <c r="R146" s="580"/>
      <c r="S146" s="581"/>
      <c r="T146" s="582"/>
      <c r="U146" s="79"/>
      <c r="V146" s="621"/>
      <c r="X146" s="45">
        <f>1.16*1.1</f>
        <v>1.276</v>
      </c>
      <c r="Y146" s="44">
        <v>4434800</v>
      </c>
      <c r="Z146" s="868">
        <f>+Y146*X146</f>
        <v>5658804.7999999998</v>
      </c>
      <c r="AA146" s="102" t="s">
        <v>1009</v>
      </c>
      <c r="AB146" s="772" t="s">
        <v>22</v>
      </c>
      <c r="AC146" s="771" t="s">
        <v>988</v>
      </c>
      <c r="AD146" s="1154"/>
      <c r="AE146" s="102" t="s">
        <v>1009</v>
      </c>
      <c r="AF146" s="772" t="s">
        <v>22</v>
      </c>
      <c r="AG146" s="1059">
        <v>4</v>
      </c>
      <c r="AH146" s="587">
        <v>5658805</v>
      </c>
      <c r="AI146" s="774">
        <f>+AG146*AH146</f>
        <v>22635220</v>
      </c>
    </row>
    <row r="147" spans="1:35" s="45" customFormat="1" ht="15" customHeight="1">
      <c r="A147" s="586"/>
      <c r="B147" s="771" t="s">
        <v>989</v>
      </c>
      <c r="C147" s="988" t="s">
        <v>1010</v>
      </c>
      <c r="D147" s="989" t="s">
        <v>22</v>
      </c>
      <c r="E147" s="969">
        <v>4</v>
      </c>
      <c r="F147" s="858">
        <v>25473554</v>
      </c>
      <c r="G147" s="990">
        <f t="shared" ref="G147:G160" si="31">+E147*F147</f>
        <v>101894216</v>
      </c>
      <c r="H147" s="588"/>
      <c r="I147" s="587"/>
      <c r="J147" s="587"/>
      <c r="K147" s="587"/>
      <c r="L147" s="589"/>
      <c r="M147" s="590"/>
      <c r="N147" s="591"/>
      <c r="O147" s="95"/>
      <c r="P147" s="579"/>
      <c r="Q147" s="580"/>
      <c r="R147" s="580"/>
      <c r="S147" s="581"/>
      <c r="T147" s="582"/>
      <c r="U147" s="79"/>
      <c r="V147" s="621"/>
      <c r="X147" s="45">
        <f t="shared" ref="X147:X151" si="32">1.16*1.1</f>
        <v>1.276</v>
      </c>
      <c r="Y147" s="44">
        <v>19963600</v>
      </c>
      <c r="Z147" s="868">
        <f t="shared" ref="Z147:Z151" si="33">+Y147*X147</f>
        <v>25473553.600000001</v>
      </c>
      <c r="AA147" s="988" t="s">
        <v>1010</v>
      </c>
      <c r="AB147" s="989" t="s">
        <v>22</v>
      </c>
      <c r="AC147" s="771" t="s">
        <v>989</v>
      </c>
      <c r="AD147" s="1154"/>
      <c r="AE147" s="988" t="s">
        <v>1010</v>
      </c>
      <c r="AF147" s="989" t="s">
        <v>22</v>
      </c>
      <c r="AG147" s="969">
        <v>4</v>
      </c>
      <c r="AH147" s="858">
        <v>25473554</v>
      </c>
      <c r="AI147" s="990">
        <f t="shared" ref="AI147:AI160" si="34">+AG147*AH147</f>
        <v>101894216</v>
      </c>
    </row>
    <row r="148" spans="1:35" s="45" customFormat="1" ht="38.25">
      <c r="A148" s="586"/>
      <c r="B148" s="771"/>
      <c r="C148" s="102" t="s">
        <v>1011</v>
      </c>
      <c r="D148" s="777" t="s">
        <v>22</v>
      </c>
      <c r="E148" s="780">
        <v>1</v>
      </c>
      <c r="F148" s="587">
        <v>10684548</v>
      </c>
      <c r="G148" s="774">
        <f t="shared" si="31"/>
        <v>10684548</v>
      </c>
      <c r="H148" s="588"/>
      <c r="I148" s="587"/>
      <c r="J148" s="587"/>
      <c r="K148" s="587"/>
      <c r="L148" s="589"/>
      <c r="M148" s="590"/>
      <c r="N148" s="591"/>
      <c r="O148" s="95"/>
      <c r="P148" s="579"/>
      <c r="Q148" s="580"/>
      <c r="R148" s="580"/>
      <c r="S148" s="581"/>
      <c r="T148" s="582"/>
      <c r="U148" s="79"/>
      <c r="V148" s="621"/>
      <c r="X148" s="45">
        <f t="shared" si="32"/>
        <v>1.276</v>
      </c>
      <c r="Y148" s="44">
        <v>8373470</v>
      </c>
      <c r="Z148" s="868">
        <f t="shared" si="33"/>
        <v>10684547.720000001</v>
      </c>
      <c r="AA148" s="102" t="s">
        <v>1011</v>
      </c>
      <c r="AB148" s="777" t="s">
        <v>22</v>
      </c>
      <c r="AC148" s="771"/>
      <c r="AD148" s="1154"/>
      <c r="AE148" s="102" t="s">
        <v>1011</v>
      </c>
      <c r="AF148" s="777" t="s">
        <v>22</v>
      </c>
      <c r="AG148" s="1059">
        <v>1</v>
      </c>
      <c r="AH148" s="587">
        <v>10684548</v>
      </c>
      <c r="AI148" s="774">
        <f t="shared" si="34"/>
        <v>10684548</v>
      </c>
    </row>
    <row r="149" spans="1:35" s="45" customFormat="1" ht="38.25">
      <c r="A149" s="586"/>
      <c r="B149" s="771" t="s">
        <v>990</v>
      </c>
      <c r="C149" s="102" t="s">
        <v>1012</v>
      </c>
      <c r="D149" s="772" t="s">
        <v>22</v>
      </c>
      <c r="E149" s="780">
        <v>4</v>
      </c>
      <c r="F149" s="587">
        <v>14621008</v>
      </c>
      <c r="G149" s="774">
        <f t="shared" si="31"/>
        <v>58484032</v>
      </c>
      <c r="H149" s="588"/>
      <c r="I149" s="587"/>
      <c r="J149" s="587"/>
      <c r="K149" s="587"/>
      <c r="L149" s="589"/>
      <c r="M149" s="590"/>
      <c r="N149" s="591"/>
      <c r="O149" s="95"/>
      <c r="P149" s="579"/>
      <c r="Q149" s="580"/>
      <c r="R149" s="580"/>
      <c r="S149" s="581"/>
      <c r="T149" s="582"/>
      <c r="U149" s="79"/>
      <c r="V149" s="621"/>
      <c r="X149" s="45">
        <f t="shared" si="32"/>
        <v>1.276</v>
      </c>
      <c r="Y149" s="44">
        <v>11458470</v>
      </c>
      <c r="Z149" s="868">
        <f t="shared" si="33"/>
        <v>14621007.720000001</v>
      </c>
      <c r="AA149" s="102" t="s">
        <v>1012</v>
      </c>
      <c r="AB149" s="772" t="s">
        <v>22</v>
      </c>
      <c r="AC149" s="771" t="s">
        <v>990</v>
      </c>
      <c r="AD149" s="1154"/>
      <c r="AE149" s="102" t="s">
        <v>1012</v>
      </c>
      <c r="AF149" s="772" t="s">
        <v>22</v>
      </c>
      <c r="AG149" s="1059">
        <v>4</v>
      </c>
      <c r="AH149" s="587">
        <v>14621008</v>
      </c>
      <c r="AI149" s="774">
        <f t="shared" si="34"/>
        <v>58484032</v>
      </c>
    </row>
    <row r="150" spans="1:35" s="45" customFormat="1" ht="38.25">
      <c r="A150" s="586"/>
      <c r="B150" s="771" t="s">
        <v>991</v>
      </c>
      <c r="C150" s="102" t="s">
        <v>1013</v>
      </c>
      <c r="D150" s="772" t="s">
        <v>22</v>
      </c>
      <c r="E150" s="780">
        <v>1</v>
      </c>
      <c r="F150" s="587">
        <v>7112807</v>
      </c>
      <c r="G150" s="774">
        <f t="shared" si="31"/>
        <v>7112807</v>
      </c>
      <c r="H150" s="588"/>
      <c r="I150" s="587"/>
      <c r="J150" s="587"/>
      <c r="K150" s="587"/>
      <c r="L150" s="589"/>
      <c r="M150" s="590"/>
      <c r="N150" s="591"/>
      <c r="O150" s="95"/>
      <c r="P150" s="579"/>
      <c r="Q150" s="580"/>
      <c r="R150" s="580"/>
      <c r="S150" s="581"/>
      <c r="T150" s="582"/>
      <c r="U150" s="79"/>
      <c r="V150" s="621"/>
      <c r="X150" s="45">
        <f t="shared" si="32"/>
        <v>1.276</v>
      </c>
      <c r="Y150" s="44">
        <v>5574300</v>
      </c>
      <c r="Z150" s="868">
        <f t="shared" si="33"/>
        <v>7112806.7999999998</v>
      </c>
      <c r="AA150" s="102" t="s">
        <v>1013</v>
      </c>
      <c r="AB150" s="772" t="s">
        <v>22</v>
      </c>
      <c r="AC150" s="771" t="s">
        <v>991</v>
      </c>
      <c r="AD150" s="1154"/>
      <c r="AE150" s="102" t="s">
        <v>1013</v>
      </c>
      <c r="AF150" s="772" t="s">
        <v>22</v>
      </c>
      <c r="AG150" s="1059">
        <v>1</v>
      </c>
      <c r="AH150" s="587">
        <v>7112807</v>
      </c>
      <c r="AI150" s="774">
        <f t="shared" si="34"/>
        <v>7112807</v>
      </c>
    </row>
    <row r="151" spans="1:35" s="45" customFormat="1" ht="38.25">
      <c r="A151" s="586"/>
      <c r="B151" s="771" t="s">
        <v>992</v>
      </c>
      <c r="C151" s="988" t="s">
        <v>925</v>
      </c>
      <c r="D151" s="989" t="s">
        <v>22</v>
      </c>
      <c r="E151" s="969">
        <v>4</v>
      </c>
      <c r="F151" s="858">
        <v>468292</v>
      </c>
      <c r="G151" s="990">
        <f t="shared" si="31"/>
        <v>1873168</v>
      </c>
      <c r="H151" s="588"/>
      <c r="I151" s="587"/>
      <c r="J151" s="587"/>
      <c r="K151" s="587"/>
      <c r="L151" s="589"/>
      <c r="M151" s="590"/>
      <c r="N151" s="591"/>
      <c r="O151" s="95"/>
      <c r="P151" s="579"/>
      <c r="Q151" s="580"/>
      <c r="R151" s="580"/>
      <c r="S151" s="581"/>
      <c r="T151" s="582"/>
      <c r="U151" s="79"/>
      <c r="V151" s="621"/>
      <c r="W151" s="45" t="s">
        <v>1028</v>
      </c>
      <c r="X151" s="45">
        <f t="shared" si="32"/>
        <v>1.276</v>
      </c>
      <c r="Y151" s="44">
        <v>367000</v>
      </c>
      <c r="Z151" s="868">
        <f t="shared" si="33"/>
        <v>468292</v>
      </c>
      <c r="AA151" s="988" t="s">
        <v>925</v>
      </c>
      <c r="AB151" s="989" t="s">
        <v>22</v>
      </c>
      <c r="AC151" s="771" t="s">
        <v>992</v>
      </c>
      <c r="AD151" s="1154"/>
      <c r="AE151" s="988" t="s">
        <v>925</v>
      </c>
      <c r="AF151" s="989" t="s">
        <v>22</v>
      </c>
      <c r="AG151" s="969">
        <v>4</v>
      </c>
      <c r="AH151" s="858">
        <v>468292</v>
      </c>
      <c r="AI151" s="990">
        <f t="shared" si="34"/>
        <v>1873168</v>
      </c>
    </row>
    <row r="152" spans="1:35" s="45" customFormat="1" ht="51">
      <c r="A152" s="586"/>
      <c r="B152" s="779">
        <v>5.0999999999999996</v>
      </c>
      <c r="C152" s="102" t="s">
        <v>1014</v>
      </c>
      <c r="D152" s="777" t="s">
        <v>512</v>
      </c>
      <c r="E152" s="780">
        <v>4</v>
      </c>
      <c r="F152" s="587">
        <v>521884</v>
      </c>
      <c r="G152" s="774">
        <f t="shared" si="31"/>
        <v>2087536</v>
      </c>
      <c r="H152" s="588"/>
      <c r="I152" s="587"/>
      <c r="J152" s="587"/>
      <c r="K152" s="587"/>
      <c r="L152" s="589"/>
      <c r="M152" s="590"/>
      <c r="N152" s="591"/>
      <c r="O152" s="95"/>
      <c r="P152" s="579"/>
      <c r="Q152" s="580"/>
      <c r="R152" s="580"/>
      <c r="S152" s="581"/>
      <c r="T152" s="582"/>
      <c r="U152" s="79"/>
      <c r="V152" s="621"/>
      <c r="W152" s="45">
        <v>409000</v>
      </c>
      <c r="X152" s="45">
        <v>1.276</v>
      </c>
      <c r="Y152" s="44">
        <f>+X152*W152</f>
        <v>521884</v>
      </c>
      <c r="Z152" s="44"/>
      <c r="AA152" s="1078" t="s">
        <v>1014</v>
      </c>
      <c r="AB152" s="777" t="s">
        <v>512</v>
      </c>
      <c r="AC152" s="779">
        <v>5.0999999999999996</v>
      </c>
      <c r="AD152" s="1161"/>
      <c r="AE152" s="1078" t="s">
        <v>1014</v>
      </c>
      <c r="AF152" s="777" t="s">
        <v>512</v>
      </c>
      <c r="AG152" s="1059">
        <v>4</v>
      </c>
      <c r="AH152" s="1068">
        <v>521884</v>
      </c>
      <c r="AI152" s="774">
        <f t="shared" si="34"/>
        <v>2087536</v>
      </c>
    </row>
    <row r="153" spans="1:35" s="45" customFormat="1" ht="51">
      <c r="A153" s="586"/>
      <c r="B153" s="779">
        <f t="shared" ref="B153:B165" si="35">+B152+0.01</f>
        <v>5.1099999999999994</v>
      </c>
      <c r="C153" s="102" t="s">
        <v>1015</v>
      </c>
      <c r="D153" s="772" t="s">
        <v>512</v>
      </c>
      <c r="E153" s="780">
        <v>1</v>
      </c>
      <c r="F153" s="587">
        <v>1087152</v>
      </c>
      <c r="G153" s="774">
        <f t="shared" si="31"/>
        <v>1087152</v>
      </c>
      <c r="H153" s="588"/>
      <c r="I153" s="587"/>
      <c r="J153" s="587"/>
      <c r="K153" s="587"/>
      <c r="L153" s="589"/>
      <c r="M153" s="590"/>
      <c r="N153" s="591"/>
      <c r="O153" s="95"/>
      <c r="P153" s="579"/>
      <c r="Q153" s="580"/>
      <c r="R153" s="580"/>
      <c r="S153" s="581"/>
      <c r="T153" s="582"/>
      <c r="U153" s="79"/>
      <c r="V153" s="621"/>
      <c r="W153" s="45">
        <v>852000</v>
      </c>
      <c r="X153" s="45">
        <v>1.276</v>
      </c>
      <c r="Y153" s="44">
        <f t="shared" ref="Y153:Y156" si="36">+X153*W153</f>
        <v>1087152</v>
      </c>
      <c r="Z153" s="44"/>
      <c r="AA153" s="1078" t="s">
        <v>1015</v>
      </c>
      <c r="AB153" s="772" t="s">
        <v>512</v>
      </c>
      <c r="AC153" s="779">
        <f t="shared" ref="AC153:AC165" si="37">+AC152+0.01</f>
        <v>5.1099999999999994</v>
      </c>
      <c r="AD153" s="1161"/>
      <c r="AE153" s="1078" t="s">
        <v>1015</v>
      </c>
      <c r="AF153" s="772" t="s">
        <v>512</v>
      </c>
      <c r="AG153" s="1059">
        <v>1</v>
      </c>
      <c r="AH153" s="1068">
        <v>1087152</v>
      </c>
      <c r="AI153" s="774">
        <f t="shared" si="34"/>
        <v>1087152</v>
      </c>
    </row>
    <row r="154" spans="1:35" s="45" customFormat="1" ht="51">
      <c r="A154" s="586"/>
      <c r="B154" s="779">
        <f t="shared" si="35"/>
        <v>5.1199999999999992</v>
      </c>
      <c r="C154" s="102" t="s">
        <v>1016</v>
      </c>
      <c r="D154" s="772" t="s">
        <v>22</v>
      </c>
      <c r="E154" s="780">
        <v>1</v>
      </c>
      <c r="F154" s="850">
        <v>404492</v>
      </c>
      <c r="G154" s="774">
        <f t="shared" si="31"/>
        <v>404492</v>
      </c>
      <c r="H154" s="588"/>
      <c r="I154" s="587"/>
      <c r="J154" s="587"/>
      <c r="K154" s="587"/>
      <c r="L154" s="589"/>
      <c r="M154" s="590"/>
      <c r="N154" s="591"/>
      <c r="O154" s="95"/>
      <c r="P154" s="579"/>
      <c r="Q154" s="580"/>
      <c r="R154" s="580"/>
      <c r="S154" s="581"/>
      <c r="T154" s="582"/>
      <c r="U154" s="79"/>
      <c r="V154" s="621"/>
      <c r="W154" s="45">
        <v>317000</v>
      </c>
      <c r="X154" s="45">
        <v>1.276</v>
      </c>
      <c r="Y154" s="44">
        <f t="shared" si="36"/>
        <v>404492</v>
      </c>
      <c r="Z154" s="44"/>
      <c r="AA154" s="1078" t="s">
        <v>1016</v>
      </c>
      <c r="AB154" s="772" t="s">
        <v>22</v>
      </c>
      <c r="AC154" s="779">
        <f t="shared" si="37"/>
        <v>5.1199999999999992</v>
      </c>
      <c r="AD154" s="1161"/>
      <c r="AE154" s="1078" t="s">
        <v>1016</v>
      </c>
      <c r="AF154" s="772" t="s">
        <v>22</v>
      </c>
      <c r="AG154" s="1059">
        <v>1</v>
      </c>
      <c r="AH154" s="1068">
        <v>323400</v>
      </c>
      <c r="AI154" s="774">
        <f t="shared" si="34"/>
        <v>323400</v>
      </c>
    </row>
    <row r="155" spans="1:35" s="45" customFormat="1" ht="38.25">
      <c r="A155" s="586"/>
      <c r="B155" s="779">
        <f t="shared" si="35"/>
        <v>5.129999999999999</v>
      </c>
      <c r="C155" s="102" t="s">
        <v>1017</v>
      </c>
      <c r="D155" s="777" t="s">
        <v>22</v>
      </c>
      <c r="E155" s="780">
        <v>4</v>
      </c>
      <c r="F155" s="587">
        <v>174812</v>
      </c>
      <c r="G155" s="774">
        <f t="shared" si="31"/>
        <v>699248</v>
      </c>
      <c r="H155" s="588"/>
      <c r="I155" s="587"/>
      <c r="J155" s="587"/>
      <c r="K155" s="587"/>
      <c r="L155" s="589"/>
      <c r="M155" s="590"/>
      <c r="N155" s="591"/>
      <c r="O155" s="95"/>
      <c r="P155" s="579"/>
      <c r="Q155" s="580"/>
      <c r="R155" s="580"/>
      <c r="S155" s="581"/>
      <c r="T155" s="582"/>
      <c r="U155" s="79"/>
      <c r="V155" s="621"/>
      <c r="W155" s="45">
        <v>137000</v>
      </c>
      <c r="X155" s="45">
        <v>1.276</v>
      </c>
      <c r="Y155" s="44">
        <f t="shared" si="36"/>
        <v>174812</v>
      </c>
      <c r="Z155" s="44"/>
      <c r="AA155" s="1078" t="s">
        <v>1017</v>
      </c>
      <c r="AB155" s="777" t="s">
        <v>22</v>
      </c>
      <c r="AC155" s="779">
        <f t="shared" si="37"/>
        <v>5.129999999999999</v>
      </c>
      <c r="AD155" s="1161"/>
      <c r="AE155" s="1078" t="s">
        <v>1017</v>
      </c>
      <c r="AF155" s="777" t="s">
        <v>22</v>
      </c>
      <c r="AG155" s="1059">
        <v>4</v>
      </c>
      <c r="AH155" s="1068">
        <v>174812</v>
      </c>
      <c r="AI155" s="774">
        <f t="shared" si="34"/>
        <v>699248</v>
      </c>
    </row>
    <row r="156" spans="1:35" s="45" customFormat="1" ht="51">
      <c r="A156" s="586"/>
      <c r="B156" s="779">
        <f t="shared" si="35"/>
        <v>5.1399999999999988</v>
      </c>
      <c r="C156" s="102" t="s">
        <v>921</v>
      </c>
      <c r="D156" s="777" t="s">
        <v>512</v>
      </c>
      <c r="E156" s="780">
        <v>4</v>
      </c>
      <c r="F156" s="858">
        <v>524784</v>
      </c>
      <c r="G156" s="774">
        <f t="shared" si="31"/>
        <v>2099136</v>
      </c>
      <c r="H156" s="588"/>
      <c r="I156" s="587"/>
      <c r="J156" s="587"/>
      <c r="K156" s="587"/>
      <c r="L156" s="589"/>
      <c r="M156" s="590"/>
      <c r="N156" s="591"/>
      <c r="O156" s="95"/>
      <c r="P156" s="579"/>
      <c r="Q156" s="580"/>
      <c r="R156" s="580"/>
      <c r="S156" s="581"/>
      <c r="T156" s="582"/>
      <c r="U156" s="79"/>
      <c r="V156" s="621"/>
      <c r="W156" s="45">
        <f>390000*1.16*1.16</f>
        <v>524783.99999999988</v>
      </c>
      <c r="X156" s="45">
        <v>1.276</v>
      </c>
      <c r="Y156" s="44">
        <f t="shared" si="36"/>
        <v>669624.38399999985</v>
      </c>
      <c r="Z156" s="44"/>
      <c r="AA156" s="102" t="s">
        <v>921</v>
      </c>
      <c r="AB156" s="777" t="s">
        <v>512</v>
      </c>
      <c r="AC156" s="779">
        <f t="shared" si="37"/>
        <v>5.1399999999999988</v>
      </c>
      <c r="AD156" s="1161"/>
      <c r="AE156" s="102" t="s">
        <v>921</v>
      </c>
      <c r="AF156" s="777" t="s">
        <v>512</v>
      </c>
      <c r="AG156" s="1059">
        <v>4</v>
      </c>
      <c r="AH156" s="858">
        <v>524784</v>
      </c>
      <c r="AI156" s="774">
        <f t="shared" si="34"/>
        <v>2099136</v>
      </c>
    </row>
    <row r="157" spans="1:35" s="45" customFormat="1" ht="51">
      <c r="A157" s="586"/>
      <c r="B157" s="779">
        <f t="shared" si="35"/>
        <v>5.1499999999999986</v>
      </c>
      <c r="C157" s="102" t="s">
        <v>922</v>
      </c>
      <c r="D157" s="772" t="s">
        <v>512</v>
      </c>
      <c r="E157" s="780">
        <v>4</v>
      </c>
      <c r="F157" s="858">
        <v>469000</v>
      </c>
      <c r="G157" s="774">
        <f t="shared" si="31"/>
        <v>1876000</v>
      </c>
      <c r="H157" s="588"/>
      <c r="I157" s="587"/>
      <c r="J157" s="587"/>
      <c r="K157" s="587"/>
      <c r="L157" s="589"/>
      <c r="M157" s="590"/>
      <c r="N157" s="591"/>
      <c r="O157" s="95"/>
      <c r="P157" s="579"/>
      <c r="Q157" s="580"/>
      <c r="R157" s="580"/>
      <c r="S157" s="581"/>
      <c r="T157" s="582"/>
      <c r="U157" s="79"/>
      <c r="V157" s="621"/>
      <c r="Y157" s="44"/>
      <c r="Z157" s="44"/>
      <c r="AA157" s="102" t="s">
        <v>922</v>
      </c>
      <c r="AB157" s="772" t="s">
        <v>512</v>
      </c>
      <c r="AC157" s="779">
        <f t="shared" si="37"/>
        <v>5.1499999999999986</v>
      </c>
      <c r="AD157" s="1161"/>
      <c r="AE157" s="102" t="s">
        <v>922</v>
      </c>
      <c r="AF157" s="772" t="s">
        <v>512</v>
      </c>
      <c r="AG157" s="1059">
        <v>4</v>
      </c>
      <c r="AH157" s="858">
        <v>469000</v>
      </c>
      <c r="AI157" s="774">
        <f t="shared" si="34"/>
        <v>1876000</v>
      </c>
    </row>
    <row r="158" spans="1:35" s="45" customFormat="1" ht="63.75">
      <c r="A158" s="586"/>
      <c r="B158" s="779">
        <f t="shared" si="35"/>
        <v>5.1599999999999984</v>
      </c>
      <c r="C158" s="102" t="s">
        <v>1018</v>
      </c>
      <c r="D158" s="772" t="s">
        <v>22</v>
      </c>
      <c r="E158" s="780">
        <v>30</v>
      </c>
      <c r="F158" s="858">
        <v>30550</v>
      </c>
      <c r="G158" s="774">
        <f t="shared" si="31"/>
        <v>916500</v>
      </c>
      <c r="H158" s="588"/>
      <c r="I158" s="587"/>
      <c r="J158" s="587"/>
      <c r="K158" s="587"/>
      <c r="L158" s="589"/>
      <c r="M158" s="590"/>
      <c r="N158" s="591"/>
      <c r="O158" s="95"/>
      <c r="P158" s="579"/>
      <c r="Q158" s="580"/>
      <c r="R158" s="580"/>
      <c r="S158" s="581"/>
      <c r="T158" s="582"/>
      <c r="U158" s="79"/>
      <c r="V158" s="621"/>
      <c r="Y158" s="44"/>
      <c r="Z158" s="44"/>
      <c r="AA158" s="102" t="s">
        <v>1018</v>
      </c>
      <c r="AB158" s="772" t="s">
        <v>22</v>
      </c>
      <c r="AC158" s="779">
        <f t="shared" si="37"/>
        <v>5.1599999999999984</v>
      </c>
      <c r="AD158" s="1161"/>
      <c r="AE158" s="102" t="s">
        <v>1018</v>
      </c>
      <c r="AF158" s="772" t="s">
        <v>22</v>
      </c>
      <c r="AG158" s="1059">
        <v>30</v>
      </c>
      <c r="AH158" s="858">
        <v>30550</v>
      </c>
      <c r="AI158" s="774">
        <f t="shared" si="34"/>
        <v>916500</v>
      </c>
    </row>
    <row r="159" spans="1:35" s="45" customFormat="1" ht="51">
      <c r="A159" s="586"/>
      <c r="B159" s="779">
        <f t="shared" si="35"/>
        <v>5.1699999999999982</v>
      </c>
      <c r="C159" s="102" t="s">
        <v>522</v>
      </c>
      <c r="D159" s="772" t="s">
        <v>142</v>
      </c>
      <c r="E159" s="587">
        <v>8700</v>
      </c>
      <c r="F159" s="587">
        <v>3100</v>
      </c>
      <c r="G159" s="774">
        <f t="shared" si="31"/>
        <v>26970000</v>
      </c>
      <c r="H159" s="588"/>
      <c r="I159" s="587"/>
      <c r="J159" s="587"/>
      <c r="K159" s="587"/>
      <c r="L159" s="589"/>
      <c r="M159" s="590"/>
      <c r="N159" s="591"/>
      <c r="O159" s="95"/>
      <c r="P159" s="579"/>
      <c r="Q159" s="580"/>
      <c r="R159" s="580"/>
      <c r="S159" s="581"/>
      <c r="T159" s="582"/>
      <c r="U159" s="79"/>
      <c r="V159" s="621"/>
      <c r="W159" s="877">
        <v>1261428000</v>
      </c>
      <c r="Y159" s="44"/>
      <c r="Z159" s="44"/>
      <c r="AA159" s="102" t="s">
        <v>522</v>
      </c>
      <c r="AB159" s="772" t="s">
        <v>142</v>
      </c>
      <c r="AC159" s="779">
        <f t="shared" si="37"/>
        <v>5.1699999999999982</v>
      </c>
      <c r="AD159" s="1161"/>
      <c r="AE159" s="102" t="s">
        <v>522</v>
      </c>
      <c r="AF159" s="772" t="s">
        <v>142</v>
      </c>
      <c r="AG159" s="587">
        <v>8700</v>
      </c>
      <c r="AH159" s="587">
        <v>3100</v>
      </c>
      <c r="AI159" s="774">
        <f t="shared" si="34"/>
        <v>26970000</v>
      </c>
    </row>
    <row r="160" spans="1:35" s="45" customFormat="1" ht="51">
      <c r="A160" s="586"/>
      <c r="B160" s="779">
        <f t="shared" si="35"/>
        <v>5.1799999999999979</v>
      </c>
      <c r="C160" s="102" t="s">
        <v>509</v>
      </c>
      <c r="D160" s="777" t="s">
        <v>56</v>
      </c>
      <c r="E160" s="780">
        <v>45</v>
      </c>
      <c r="F160" s="587">
        <v>150170</v>
      </c>
      <c r="G160" s="774">
        <f t="shared" si="31"/>
        <v>6757650</v>
      </c>
      <c r="H160" s="588"/>
      <c r="I160" s="587"/>
      <c r="J160" s="587"/>
      <c r="K160" s="587"/>
      <c r="L160" s="589"/>
      <c r="M160" s="590"/>
      <c r="N160" s="591"/>
      <c r="O160" s="95"/>
      <c r="P160" s="579"/>
      <c r="Q160" s="580"/>
      <c r="R160" s="580"/>
      <c r="S160" s="581"/>
      <c r="T160" s="582"/>
      <c r="U160" s="79"/>
      <c r="V160" s="621"/>
      <c r="Y160" s="44"/>
      <c r="Z160" s="44"/>
      <c r="AA160" s="102" t="s">
        <v>509</v>
      </c>
      <c r="AB160" s="777" t="s">
        <v>56</v>
      </c>
      <c r="AC160" s="779">
        <f t="shared" si="37"/>
        <v>5.1799999999999979</v>
      </c>
      <c r="AD160" s="1161"/>
      <c r="AE160" s="102" t="s">
        <v>509</v>
      </c>
      <c r="AF160" s="777" t="s">
        <v>56</v>
      </c>
      <c r="AG160" s="1059">
        <v>45</v>
      </c>
      <c r="AH160" s="587">
        <v>150170</v>
      </c>
      <c r="AI160" s="774">
        <f t="shared" si="34"/>
        <v>6757650</v>
      </c>
    </row>
    <row r="161" spans="1:35" s="45" customFormat="1" ht="25.5">
      <c r="A161" s="586"/>
      <c r="B161" s="779">
        <f t="shared" si="35"/>
        <v>5.1899999999999977</v>
      </c>
      <c r="C161" s="102" t="s">
        <v>508</v>
      </c>
      <c r="D161" s="777" t="s">
        <v>500</v>
      </c>
      <c r="E161" s="780">
        <v>53</v>
      </c>
      <c r="F161" s="587">
        <v>18420</v>
      </c>
      <c r="G161" s="774">
        <f>E160*F161</f>
        <v>828900</v>
      </c>
      <c r="H161" s="588"/>
      <c r="I161" s="587"/>
      <c r="J161" s="587"/>
      <c r="K161" s="587"/>
      <c r="L161" s="589"/>
      <c r="M161" s="590"/>
      <c r="N161" s="591"/>
      <c r="O161" s="95"/>
      <c r="P161" s="579"/>
      <c r="Q161" s="580"/>
      <c r="R161" s="580"/>
      <c r="S161" s="581"/>
      <c r="T161" s="582"/>
      <c r="U161" s="79"/>
      <c r="V161" s="621"/>
      <c r="Y161" s="44"/>
      <c r="Z161" s="44"/>
      <c r="AA161" s="102" t="s">
        <v>508</v>
      </c>
      <c r="AB161" s="777" t="s">
        <v>500</v>
      </c>
      <c r="AC161" s="779">
        <f t="shared" si="37"/>
        <v>5.1899999999999977</v>
      </c>
      <c r="AD161" s="1161"/>
      <c r="AE161" s="102" t="s">
        <v>508</v>
      </c>
      <c r="AF161" s="777" t="s">
        <v>500</v>
      </c>
      <c r="AG161" s="1059">
        <v>53</v>
      </c>
      <c r="AH161" s="587">
        <v>18420</v>
      </c>
      <c r="AI161" s="774">
        <f>AG160*AH161</f>
        <v>828900</v>
      </c>
    </row>
    <row r="162" spans="1:35" s="45" customFormat="1" ht="79.5" customHeight="1">
      <c r="A162" s="586"/>
      <c r="B162" s="779">
        <f t="shared" si="35"/>
        <v>5.1999999999999975</v>
      </c>
      <c r="C162" s="102" t="s">
        <v>928</v>
      </c>
      <c r="D162" s="847" t="s">
        <v>22</v>
      </c>
      <c r="E162" s="841">
        <v>19</v>
      </c>
      <c r="F162" s="848">
        <v>271502</v>
      </c>
      <c r="G162" s="849">
        <f>E161*F162</f>
        <v>14389606</v>
      </c>
      <c r="H162" s="588"/>
      <c r="I162" s="587"/>
      <c r="J162" s="587"/>
      <c r="K162" s="587"/>
      <c r="L162" s="589"/>
      <c r="M162" s="590"/>
      <c r="N162" s="591"/>
      <c r="O162" s="95"/>
      <c r="P162" s="579"/>
      <c r="Q162" s="580"/>
      <c r="R162" s="580"/>
      <c r="S162" s="581"/>
      <c r="T162" s="582"/>
      <c r="U162" s="79"/>
      <c r="V162" s="621"/>
      <c r="Y162" s="44"/>
      <c r="Z162" s="44"/>
      <c r="AA162" s="102" t="s">
        <v>1481</v>
      </c>
      <c r="AB162" s="847" t="s">
        <v>22</v>
      </c>
      <c r="AC162" s="779">
        <f t="shared" si="37"/>
        <v>5.1999999999999975</v>
      </c>
      <c r="AD162" s="1161"/>
      <c r="AE162" s="102" t="s">
        <v>1481</v>
      </c>
      <c r="AF162" s="847" t="s">
        <v>22</v>
      </c>
      <c r="AG162" s="1079">
        <v>19</v>
      </c>
      <c r="AH162" s="848">
        <v>271502</v>
      </c>
      <c r="AI162" s="849">
        <f>AG161*AH162</f>
        <v>14389606</v>
      </c>
    </row>
    <row r="163" spans="1:35" s="45" customFormat="1" ht="63.75">
      <c r="A163" s="586"/>
      <c r="B163" s="779">
        <f t="shared" si="35"/>
        <v>5.2099999999999973</v>
      </c>
      <c r="C163" s="102" t="s">
        <v>930</v>
      </c>
      <c r="D163" s="772" t="s">
        <v>139</v>
      </c>
      <c r="E163" s="780">
        <v>14.26</v>
      </c>
      <c r="F163" s="858">
        <f>405000*1.16*1.15</f>
        <v>540269.99999999988</v>
      </c>
      <c r="G163" s="849">
        <f t="shared" ref="G163:G165" si="38">E162*F163</f>
        <v>10265129.999999998</v>
      </c>
      <c r="H163" s="588"/>
      <c r="I163" s="587"/>
      <c r="J163" s="587"/>
      <c r="K163" s="587"/>
      <c r="L163" s="589"/>
      <c r="M163" s="590"/>
      <c r="N163" s="591"/>
      <c r="O163" s="95"/>
      <c r="P163" s="579"/>
      <c r="Q163" s="580"/>
      <c r="R163" s="580"/>
      <c r="S163" s="581"/>
      <c r="T163" s="582"/>
      <c r="U163" s="79"/>
      <c r="V163" s="621"/>
      <c r="X163" s="45">
        <f>0.75*100000</f>
        <v>75000</v>
      </c>
      <c r="Y163" s="44"/>
      <c r="Z163" s="44"/>
      <c r="AA163" s="102" t="s">
        <v>930</v>
      </c>
      <c r="AB163" s="772" t="s">
        <v>139</v>
      </c>
      <c r="AC163" s="779">
        <f t="shared" si="37"/>
        <v>5.2099999999999973</v>
      </c>
      <c r="AD163" s="1161"/>
      <c r="AE163" s="102" t="s">
        <v>930</v>
      </c>
      <c r="AF163" s="772" t="s">
        <v>139</v>
      </c>
      <c r="AG163" s="1059">
        <v>14.26</v>
      </c>
      <c r="AH163" s="858">
        <f>405000*1.16*1.15</f>
        <v>540269.99999999988</v>
      </c>
      <c r="AI163" s="849">
        <f>AG162*AH163</f>
        <v>10265129.999999998</v>
      </c>
    </row>
    <row r="164" spans="1:35" s="45" customFormat="1" ht="63.75">
      <c r="A164" s="586"/>
      <c r="B164" s="779">
        <f t="shared" si="35"/>
        <v>5.2199999999999971</v>
      </c>
      <c r="C164" s="102" t="s">
        <v>931</v>
      </c>
      <c r="D164" s="777" t="s">
        <v>139</v>
      </c>
      <c r="E164" s="780">
        <v>9.5</v>
      </c>
      <c r="F164" s="858">
        <v>105259</v>
      </c>
      <c r="G164" s="849">
        <f t="shared" si="38"/>
        <v>1500993.34</v>
      </c>
      <c r="H164" s="588"/>
      <c r="I164" s="587"/>
      <c r="J164" s="587"/>
      <c r="K164" s="587"/>
      <c r="L164" s="589"/>
      <c r="M164" s="590"/>
      <c r="N164" s="591"/>
      <c r="O164" s="95"/>
      <c r="P164" s="579"/>
      <c r="Q164" s="580"/>
      <c r="R164" s="580"/>
      <c r="S164" s="581"/>
      <c r="T164" s="582"/>
      <c r="U164" s="79"/>
      <c r="V164" s="621"/>
      <c r="Y164" s="44"/>
      <c r="Z164" s="44"/>
      <c r="AA164" s="102" t="s">
        <v>931</v>
      </c>
      <c r="AB164" s="777" t="s">
        <v>139</v>
      </c>
      <c r="AC164" s="779">
        <f t="shared" si="37"/>
        <v>5.2199999999999971</v>
      </c>
      <c r="AD164" s="1161"/>
      <c r="AE164" s="102" t="s">
        <v>931</v>
      </c>
      <c r="AF164" s="777" t="s">
        <v>139</v>
      </c>
      <c r="AG164" s="1059">
        <v>9.5</v>
      </c>
      <c r="AH164" s="858">
        <v>105259</v>
      </c>
      <c r="AI164" s="849">
        <f>AG163*AH164</f>
        <v>1500993.34</v>
      </c>
    </row>
    <row r="165" spans="1:35" s="45" customFormat="1" ht="51">
      <c r="A165" s="586"/>
      <c r="B165" s="779">
        <f t="shared" si="35"/>
        <v>5.2299999999999969</v>
      </c>
      <c r="C165" s="102" t="s">
        <v>932</v>
      </c>
      <c r="D165" s="777" t="s">
        <v>139</v>
      </c>
      <c r="E165" s="780">
        <v>13.6</v>
      </c>
      <c r="F165" s="964">
        <v>63050</v>
      </c>
      <c r="G165" s="849">
        <f t="shared" si="38"/>
        <v>598975</v>
      </c>
      <c r="H165" s="588"/>
      <c r="I165" s="587"/>
      <c r="J165" s="587"/>
      <c r="K165" s="587"/>
      <c r="L165" s="589"/>
      <c r="M165" s="590"/>
      <c r="N165" s="591"/>
      <c r="O165" s="95"/>
      <c r="P165" s="579"/>
      <c r="Q165" s="580"/>
      <c r="R165" s="580"/>
      <c r="S165" s="581"/>
      <c r="T165" s="582"/>
      <c r="U165" s="79"/>
      <c r="V165" s="621"/>
      <c r="X165" s="45">
        <v>95690</v>
      </c>
      <c r="Y165" s="44">
        <f>+X165*1.1</f>
        <v>105259.00000000001</v>
      </c>
      <c r="Z165" s="44"/>
      <c r="AA165" s="102" t="s">
        <v>932</v>
      </c>
      <c r="AB165" s="777" t="s">
        <v>139</v>
      </c>
      <c r="AC165" s="779">
        <f t="shared" si="37"/>
        <v>5.2299999999999969</v>
      </c>
      <c r="AD165" s="1161"/>
      <c r="AE165" s="102" t="s">
        <v>932</v>
      </c>
      <c r="AF165" s="777" t="s">
        <v>139</v>
      </c>
      <c r="AG165" s="1059">
        <v>13.6</v>
      </c>
      <c r="AH165" s="1080">
        <v>63050</v>
      </c>
      <c r="AI165" s="849">
        <f>AG164*AH165</f>
        <v>598975</v>
      </c>
    </row>
    <row r="166" spans="1:35" s="45" customFormat="1">
      <c r="A166" s="138">
        <v>200314</v>
      </c>
      <c r="B166" s="771"/>
      <c r="C166" s="102"/>
      <c r="D166" s="777"/>
      <c r="E166" s="780"/>
      <c r="F166" s="776"/>
      <c r="G166" s="774"/>
      <c r="H166" s="576">
        <v>44727</v>
      </c>
      <c r="I166" s="25">
        <v>59389</v>
      </c>
      <c r="J166" s="25">
        <v>1</v>
      </c>
      <c r="K166" s="25">
        <v>1</v>
      </c>
      <c r="L166" s="28">
        <v>3563340</v>
      </c>
      <c r="M166" s="29">
        <v>2683620</v>
      </c>
      <c r="N166" s="29">
        <v>2683620</v>
      </c>
      <c r="O166" s="95"/>
      <c r="P166" s="96"/>
      <c r="Q166" s="97">
        <v>52319</v>
      </c>
      <c r="R166" s="97">
        <v>890394</v>
      </c>
      <c r="S166" s="98">
        <v>1740900</v>
      </c>
      <c r="T166" s="99"/>
      <c r="U166" s="79"/>
      <c r="V166" s="621">
        <v>33</v>
      </c>
      <c r="W166" s="808"/>
      <c r="X166" s="44"/>
      <c r="Y166" s="44"/>
      <c r="Z166" s="44"/>
      <c r="AA166" s="102"/>
      <c r="AB166" s="777"/>
      <c r="AC166" s="771"/>
      <c r="AD166" s="1154"/>
      <c r="AE166" s="102"/>
      <c r="AF166" s="777"/>
      <c r="AG166" s="1059"/>
      <c r="AH166" s="776"/>
      <c r="AI166" s="774"/>
    </row>
    <row r="167" spans="1:35" s="45" customFormat="1" ht="15.75" thickBot="1">
      <c r="A167" s="143">
        <v>140404</v>
      </c>
      <c r="B167" s="114"/>
      <c r="C167" s="114"/>
      <c r="D167" s="115"/>
      <c r="E167" s="116"/>
      <c r="F167" s="117" t="s">
        <v>987</v>
      </c>
      <c r="G167" s="1152">
        <f>SUM(G145:G166)</f>
        <v>273165309.33999997</v>
      </c>
      <c r="H167" s="576">
        <v>90513</v>
      </c>
      <c r="I167" s="25">
        <v>120183</v>
      </c>
      <c r="J167" s="25">
        <v>1</v>
      </c>
      <c r="K167" s="25">
        <v>1</v>
      </c>
      <c r="L167" s="28">
        <v>2163294</v>
      </c>
      <c r="M167" s="29">
        <v>1629234</v>
      </c>
      <c r="N167" s="29">
        <v>1629234</v>
      </c>
      <c r="O167" s="95"/>
      <c r="P167" s="96"/>
      <c r="Q167" s="97">
        <v>48580</v>
      </c>
      <c r="R167" s="97">
        <v>593604</v>
      </c>
      <c r="S167" s="98">
        <v>987055</v>
      </c>
      <c r="T167" s="99"/>
      <c r="U167" s="79"/>
      <c r="V167" s="621">
        <v>34</v>
      </c>
      <c r="W167" s="808"/>
      <c r="X167" s="44"/>
      <c r="Y167" s="44"/>
      <c r="Z167" s="44"/>
      <c r="AA167" s="1064"/>
      <c r="AB167" s="1065"/>
      <c r="AC167" s="1064"/>
      <c r="AD167" s="1064"/>
      <c r="AE167" s="1064"/>
      <c r="AF167" s="1065"/>
      <c r="AG167" s="1066"/>
      <c r="AH167" s="1073" t="s">
        <v>987</v>
      </c>
      <c r="AI167" s="1117">
        <f>SUM(AI145:AI166)</f>
        <v>273084217.33999997</v>
      </c>
    </row>
    <row r="168" spans="1:35" s="45" customFormat="1">
      <c r="A168" s="105"/>
      <c r="B168" s="139"/>
      <c r="C168" s="140"/>
      <c r="D168" s="23"/>
      <c r="E168" s="107"/>
      <c r="F168" s="25"/>
      <c r="G168" s="795"/>
      <c r="H168" s="576"/>
      <c r="I168" s="25"/>
      <c r="J168" s="25"/>
      <c r="K168" s="25"/>
      <c r="L168" s="109"/>
      <c r="M168" s="110"/>
      <c r="N168" s="111"/>
      <c r="O168" s="95"/>
      <c r="P168" s="96"/>
      <c r="Q168" s="97"/>
      <c r="R168" s="97"/>
      <c r="S168" s="98"/>
      <c r="T168" s="99"/>
      <c r="U168" s="79"/>
      <c r="V168" s="621"/>
      <c r="W168" s="807"/>
      <c r="X168" s="44"/>
      <c r="Y168" s="44"/>
      <c r="Z168" s="44"/>
      <c r="AA168" s="593"/>
      <c r="AB168" s="999"/>
      <c r="AC168" s="592"/>
      <c r="AD168" s="1159"/>
      <c r="AE168" s="593"/>
      <c r="AF168" s="999"/>
      <c r="AG168" s="1000"/>
      <c r="AH168" s="575"/>
      <c r="AI168" s="795"/>
    </row>
    <row r="169" spans="1:35" s="45" customFormat="1" ht="23.1" customHeight="1" thickBot="1">
      <c r="A169" s="124"/>
      <c r="B169" s="876"/>
      <c r="C169" s="871"/>
      <c r="D169" s="873"/>
      <c r="E169" s="874"/>
      <c r="F169" s="947" t="s">
        <v>972</v>
      </c>
      <c r="G169" s="1152">
        <f>+G142+G167</f>
        <v>422178877.33999997</v>
      </c>
      <c r="H169" s="917"/>
      <c r="I169" s="917"/>
      <c r="J169" s="917"/>
      <c r="K169" s="917"/>
      <c r="L169" s="917"/>
      <c r="M169" s="917"/>
      <c r="N169" s="917"/>
      <c r="O169" s="917"/>
      <c r="P169" s="917"/>
      <c r="Q169" s="917"/>
      <c r="R169" s="917"/>
      <c r="S169" s="917"/>
      <c r="T169" s="917"/>
      <c r="U169" s="917"/>
      <c r="V169" s="621"/>
      <c r="W169" s="807"/>
      <c r="X169" s="44"/>
      <c r="Y169" s="44"/>
      <c r="Z169" s="44"/>
      <c r="AA169" s="1074"/>
      <c r="AB169" s="1075"/>
      <c r="AC169" s="1119"/>
      <c r="AD169" s="1165"/>
      <c r="AE169" s="1074"/>
      <c r="AF169" s="1075"/>
      <c r="AG169" s="1076"/>
      <c r="AH169" s="1077" t="s">
        <v>972</v>
      </c>
      <c r="AI169" s="1115">
        <f>+AI142+AI167</f>
        <v>422097785.33999997</v>
      </c>
    </row>
    <row r="170" spans="1:35" s="45" customFormat="1" ht="15" hidden="1" customHeight="1">
      <c r="A170" s="84" t="s">
        <v>40</v>
      </c>
      <c r="B170" s="74"/>
      <c r="C170" s="75" t="s">
        <v>477</v>
      </c>
      <c r="D170" s="811"/>
      <c r="E170" s="812"/>
      <c r="F170" s="813"/>
      <c r="G170" s="814"/>
      <c r="H170" s="91"/>
      <c r="I170" s="89"/>
      <c r="J170" s="89"/>
      <c r="K170" s="89"/>
      <c r="L170" s="92"/>
      <c r="M170" s="93"/>
      <c r="N170" s="94"/>
      <c r="O170" s="95"/>
      <c r="P170" s="96"/>
      <c r="Q170" s="97"/>
      <c r="R170" s="97"/>
      <c r="S170" s="98"/>
      <c r="T170" s="99"/>
      <c r="U170" s="79"/>
      <c r="V170" s="621"/>
      <c r="W170" s="807"/>
      <c r="X170" s="44"/>
      <c r="Y170" s="44"/>
      <c r="Z170" s="44"/>
      <c r="AA170" s="1060" t="s">
        <v>477</v>
      </c>
      <c r="AB170" s="1081"/>
      <c r="AC170" s="1111"/>
      <c r="AD170" s="1156"/>
      <c r="AE170" s="1060" t="s">
        <v>477</v>
      </c>
      <c r="AF170" s="1081"/>
      <c r="AG170" s="1082"/>
      <c r="AH170" s="1083"/>
      <c r="AI170" s="1120"/>
    </row>
    <row r="171" spans="1:35" s="45" customFormat="1" ht="15.75" thickBot="1">
      <c r="A171" s="127">
        <v>301305</v>
      </c>
      <c r="B171" s="85"/>
      <c r="C171" s="86"/>
      <c r="D171" s="815"/>
      <c r="E171" s="816"/>
      <c r="F171" s="817"/>
      <c r="G171" s="818"/>
      <c r="H171" s="576">
        <v>618839</v>
      </c>
      <c r="I171" s="25">
        <v>821694</v>
      </c>
      <c r="J171" s="25">
        <v>1</v>
      </c>
      <c r="K171" s="25">
        <v>1</v>
      </c>
      <c r="L171" s="28">
        <v>821694</v>
      </c>
      <c r="M171" s="29">
        <v>618839</v>
      </c>
      <c r="N171" s="29">
        <v>618839</v>
      </c>
      <c r="O171" s="95"/>
      <c r="P171" s="96"/>
      <c r="Q171" s="97">
        <v>13014</v>
      </c>
      <c r="R171" s="97">
        <v>260289</v>
      </c>
      <c r="S171" s="98">
        <v>345535</v>
      </c>
      <c r="T171" s="99"/>
      <c r="U171" s="79"/>
      <c r="V171" s="621">
        <v>36</v>
      </c>
      <c r="W171" s="808"/>
      <c r="X171" s="44"/>
      <c r="Y171" s="44"/>
      <c r="Z171" s="44"/>
      <c r="AA171" s="86"/>
      <c r="AB171" s="1084"/>
      <c r="AC171" s="85"/>
      <c r="AD171" s="1157"/>
      <c r="AE171" s="86"/>
      <c r="AF171" s="1084"/>
      <c r="AG171" s="1048"/>
      <c r="AH171" s="1085"/>
      <c r="AI171" s="1121"/>
    </row>
    <row r="172" spans="1:35" s="45" customFormat="1">
      <c r="A172" s="584"/>
      <c r="B172" s="74">
        <v>6</v>
      </c>
      <c r="C172" s="75" t="s">
        <v>534</v>
      </c>
      <c r="D172" s="76"/>
      <c r="E172" s="76"/>
      <c r="F172" s="76"/>
      <c r="G172" s="126"/>
      <c r="H172" s="576"/>
      <c r="I172" s="575"/>
      <c r="J172" s="575"/>
      <c r="K172" s="575"/>
      <c r="L172" s="577"/>
      <c r="M172" s="578"/>
      <c r="N172" s="578"/>
      <c r="O172" s="95"/>
      <c r="P172" s="579"/>
      <c r="Q172" s="580"/>
      <c r="R172" s="580"/>
      <c r="S172" s="581"/>
      <c r="T172" s="582"/>
      <c r="U172" s="79"/>
      <c r="V172" s="621"/>
      <c r="W172" s="808"/>
      <c r="X172" s="44"/>
      <c r="Y172" s="44"/>
      <c r="Z172" s="44"/>
      <c r="AA172" s="1060" t="s">
        <v>534</v>
      </c>
      <c r="AB172" s="1061"/>
      <c r="AC172" s="1111">
        <v>6</v>
      </c>
      <c r="AD172" s="1156"/>
      <c r="AE172" s="1060" t="s">
        <v>534</v>
      </c>
      <c r="AF172" s="1061"/>
      <c r="AG172" s="1061"/>
      <c r="AH172" s="1061"/>
      <c r="AI172" s="1113"/>
    </row>
    <row r="173" spans="1:35" s="45" customFormat="1">
      <c r="A173" s="584"/>
      <c r="B173" s="771"/>
      <c r="C173" s="788" t="s">
        <v>947</v>
      </c>
      <c r="D173" s="772"/>
      <c r="E173" s="773"/>
      <c r="F173" s="587"/>
      <c r="G173" s="774"/>
      <c r="H173" s="576"/>
      <c r="I173" s="575"/>
      <c r="J173" s="575"/>
      <c r="K173" s="575"/>
      <c r="L173" s="577"/>
      <c r="M173" s="578"/>
      <c r="N173" s="578"/>
      <c r="O173" s="95"/>
      <c r="P173" s="579"/>
      <c r="Q173" s="580"/>
      <c r="R173" s="580"/>
      <c r="S173" s="581"/>
      <c r="T173" s="582"/>
      <c r="U173" s="79"/>
      <c r="V173" s="621"/>
      <c r="W173" s="808"/>
      <c r="X173" s="44"/>
      <c r="Y173" s="44"/>
      <c r="Z173" s="44"/>
      <c r="AA173" s="788" t="s">
        <v>947</v>
      </c>
      <c r="AB173" s="772"/>
      <c r="AC173" s="771"/>
      <c r="AD173" s="1154"/>
      <c r="AE173" s="788" t="s">
        <v>947</v>
      </c>
      <c r="AF173" s="772"/>
      <c r="AG173" s="773"/>
      <c r="AH173" s="587"/>
      <c r="AI173" s="774"/>
    </row>
    <row r="174" spans="1:35" s="45" customFormat="1" ht="38.25">
      <c r="A174" s="584"/>
      <c r="B174" s="771">
        <v>6.1</v>
      </c>
      <c r="C174" s="102" t="s">
        <v>943</v>
      </c>
      <c r="D174" s="772" t="s">
        <v>139</v>
      </c>
      <c r="E174" s="780">
        <v>297</v>
      </c>
      <c r="F174" s="587">
        <v>2610</v>
      </c>
      <c r="G174" s="774">
        <f>+E174*F174</f>
        <v>775170</v>
      </c>
      <c r="H174" s="576"/>
      <c r="I174" s="575"/>
      <c r="J174" s="575"/>
      <c r="K174" s="575"/>
      <c r="L174" s="577"/>
      <c r="M174" s="578"/>
      <c r="N174" s="578"/>
      <c r="O174" s="95"/>
      <c r="P174" s="579"/>
      <c r="Q174" s="580"/>
      <c r="R174" s="580"/>
      <c r="S174" s="581"/>
      <c r="T174" s="582"/>
      <c r="U174" s="79"/>
      <c r="V174" s="621"/>
      <c r="W174" s="828"/>
      <c r="X174" s="216"/>
      <c r="Y174" s="829"/>
      <c r="Z174" s="95"/>
      <c r="AA174" s="102" t="s">
        <v>943</v>
      </c>
      <c r="AB174" s="772" t="s">
        <v>139</v>
      </c>
      <c r="AC174" s="771">
        <v>6.1</v>
      </c>
      <c r="AD174" s="1154"/>
      <c r="AE174" s="102" t="s">
        <v>943</v>
      </c>
      <c r="AF174" s="772" t="s">
        <v>139</v>
      </c>
      <c r="AG174" s="1059">
        <v>297</v>
      </c>
      <c r="AH174" s="587">
        <v>2610</v>
      </c>
      <c r="AI174" s="774">
        <f t="shared" ref="AI174:AI183" si="39">+AG174*AH174</f>
        <v>775170</v>
      </c>
    </row>
    <row r="175" spans="1:35" s="45" customFormat="1" ht="38.25">
      <c r="A175" s="584"/>
      <c r="B175" s="771">
        <f>+B174+0.1</f>
        <v>6.1999999999999993</v>
      </c>
      <c r="C175" s="102" t="s">
        <v>1101</v>
      </c>
      <c r="D175" s="772" t="s">
        <v>139</v>
      </c>
      <c r="E175" s="780">
        <v>229</v>
      </c>
      <c r="F175" s="587">
        <v>5190</v>
      </c>
      <c r="G175" s="774">
        <f t="shared" ref="G175:G179" si="40">+E175*F175</f>
        <v>1188510</v>
      </c>
      <c r="H175" s="576"/>
      <c r="I175" s="575"/>
      <c r="J175" s="575"/>
      <c r="K175" s="575"/>
      <c r="L175" s="577"/>
      <c r="M175" s="578"/>
      <c r="N175" s="578"/>
      <c r="O175" s="95"/>
      <c r="P175" s="579"/>
      <c r="Q175" s="580"/>
      <c r="R175" s="580"/>
      <c r="S175" s="581"/>
      <c r="T175" s="582"/>
      <c r="U175" s="79"/>
      <c r="V175" s="621"/>
      <c r="W175" s="828"/>
      <c r="X175" s="216"/>
      <c r="Y175" s="829"/>
      <c r="Z175" s="95"/>
      <c r="AA175" s="102" t="s">
        <v>1101</v>
      </c>
      <c r="AB175" s="772" t="s">
        <v>139</v>
      </c>
      <c r="AC175" s="771">
        <f>+AC174+0.1</f>
        <v>6.1999999999999993</v>
      </c>
      <c r="AD175" s="1154"/>
      <c r="AE175" s="102" t="s">
        <v>1101</v>
      </c>
      <c r="AF175" s="772" t="s">
        <v>139</v>
      </c>
      <c r="AG175" s="1059">
        <v>229</v>
      </c>
      <c r="AH175" s="587">
        <v>5190</v>
      </c>
      <c r="AI175" s="774">
        <f t="shared" si="39"/>
        <v>1188510</v>
      </c>
    </row>
    <row r="176" spans="1:35" s="45" customFormat="1" ht="63.75">
      <c r="A176" s="584"/>
      <c r="B176" s="771">
        <f t="shared" ref="B176:B183" si="41">+B175+0.1</f>
        <v>6.2999999999999989</v>
      </c>
      <c r="C176" s="102" t="s">
        <v>941</v>
      </c>
      <c r="D176" s="777" t="s">
        <v>139</v>
      </c>
      <c r="E176" s="780">
        <v>68</v>
      </c>
      <c r="F176" s="587">
        <v>10240</v>
      </c>
      <c r="G176" s="774">
        <f t="shared" si="40"/>
        <v>696320</v>
      </c>
      <c r="H176" s="576"/>
      <c r="I176" s="575"/>
      <c r="J176" s="575"/>
      <c r="K176" s="575"/>
      <c r="L176" s="577"/>
      <c r="M176" s="578"/>
      <c r="N176" s="578"/>
      <c r="O176" s="95"/>
      <c r="P176" s="579"/>
      <c r="Q176" s="580"/>
      <c r="R176" s="580"/>
      <c r="S176" s="581"/>
      <c r="T176" s="582"/>
      <c r="U176" s="79"/>
      <c r="V176" s="621"/>
      <c r="W176" s="828"/>
      <c r="X176" s="830"/>
      <c r="Y176" s="829"/>
      <c r="Z176" s="831"/>
      <c r="AA176" s="102" t="s">
        <v>941</v>
      </c>
      <c r="AB176" s="777" t="s">
        <v>139</v>
      </c>
      <c r="AC176" s="771">
        <f t="shared" ref="AC176:AC183" si="42">+AC175+0.1</f>
        <v>6.2999999999999989</v>
      </c>
      <c r="AD176" s="1154"/>
      <c r="AE176" s="102" t="s">
        <v>941</v>
      </c>
      <c r="AF176" s="777" t="s">
        <v>139</v>
      </c>
      <c r="AG176" s="1059">
        <v>68</v>
      </c>
      <c r="AH176" s="587">
        <v>10240</v>
      </c>
      <c r="AI176" s="774">
        <f t="shared" si="39"/>
        <v>696320</v>
      </c>
    </row>
    <row r="177" spans="1:35" s="45" customFormat="1" ht="51">
      <c r="A177" s="584"/>
      <c r="B177" s="771">
        <f t="shared" si="41"/>
        <v>6.3999999999999986</v>
      </c>
      <c r="C177" s="102" t="s">
        <v>497</v>
      </c>
      <c r="D177" s="777" t="s">
        <v>56</v>
      </c>
      <c r="E177" s="780">
        <v>60</v>
      </c>
      <c r="F177" s="587">
        <v>17220</v>
      </c>
      <c r="G177" s="774">
        <f t="shared" si="40"/>
        <v>1033200</v>
      </c>
      <c r="H177" s="576"/>
      <c r="I177" s="575"/>
      <c r="J177" s="575"/>
      <c r="K177" s="575"/>
      <c r="L177" s="577"/>
      <c r="M177" s="578"/>
      <c r="N177" s="578"/>
      <c r="O177" s="95"/>
      <c r="P177" s="579"/>
      <c r="Q177" s="580"/>
      <c r="R177" s="580"/>
      <c r="S177" s="581"/>
      <c r="T177" s="582"/>
      <c r="U177" s="79"/>
      <c r="V177" s="621"/>
      <c r="W177" s="828"/>
      <c r="X177" s="830"/>
      <c r="Y177" s="829"/>
      <c r="Z177" s="95"/>
      <c r="AA177" s="102" t="s">
        <v>497</v>
      </c>
      <c r="AB177" s="777" t="s">
        <v>56</v>
      </c>
      <c r="AC177" s="771">
        <f t="shared" si="42"/>
        <v>6.3999999999999986</v>
      </c>
      <c r="AD177" s="1154"/>
      <c r="AE177" s="102" t="s">
        <v>497</v>
      </c>
      <c r="AF177" s="777" t="s">
        <v>56</v>
      </c>
      <c r="AG177" s="1059">
        <v>60</v>
      </c>
      <c r="AH177" s="587">
        <v>17220</v>
      </c>
      <c r="AI177" s="774">
        <f t="shared" si="39"/>
        <v>1033200</v>
      </c>
    </row>
    <row r="178" spans="1:35" s="45" customFormat="1" ht="51">
      <c r="A178" s="584"/>
      <c r="B178" s="771">
        <f t="shared" si="41"/>
        <v>6.4999999999999982</v>
      </c>
      <c r="C178" s="782" t="s">
        <v>1000</v>
      </c>
      <c r="D178" s="790" t="s">
        <v>139</v>
      </c>
      <c r="E178" s="780">
        <v>16</v>
      </c>
      <c r="F178" s="587">
        <f>+F52</f>
        <v>573533</v>
      </c>
      <c r="G178" s="774">
        <f t="shared" si="40"/>
        <v>9176528</v>
      </c>
      <c r="H178" s="576"/>
      <c r="I178" s="575"/>
      <c r="J178" s="575"/>
      <c r="K178" s="575"/>
      <c r="L178" s="577"/>
      <c r="M178" s="578"/>
      <c r="N178" s="578"/>
      <c r="O178" s="95"/>
      <c r="P178" s="579"/>
      <c r="Q178" s="580"/>
      <c r="R178" s="580"/>
      <c r="S178" s="581"/>
      <c r="T178" s="582"/>
      <c r="U178" s="79"/>
      <c r="V178" s="621"/>
      <c r="AA178" s="1062" t="s">
        <v>1000</v>
      </c>
      <c r="AB178" s="1086" t="s">
        <v>139</v>
      </c>
      <c r="AC178" s="771">
        <f t="shared" si="42"/>
        <v>6.4999999999999982</v>
      </c>
      <c r="AD178" s="1154"/>
      <c r="AE178" s="1062" t="s">
        <v>1000</v>
      </c>
      <c r="AF178" s="1086" t="s">
        <v>139</v>
      </c>
      <c r="AG178" s="1059">
        <v>16</v>
      </c>
      <c r="AH178" s="587">
        <f>+AH52</f>
        <v>573533</v>
      </c>
      <c r="AI178" s="774">
        <f t="shared" si="39"/>
        <v>9176528</v>
      </c>
    </row>
    <row r="179" spans="1:35" s="45" customFormat="1" ht="63.75">
      <c r="A179" s="584"/>
      <c r="B179" s="771">
        <f>+B178+0.1</f>
        <v>6.5999999999999979</v>
      </c>
      <c r="C179" s="102" t="s">
        <v>976</v>
      </c>
      <c r="D179" s="772" t="s">
        <v>139</v>
      </c>
      <c r="E179" s="780">
        <v>37</v>
      </c>
      <c r="F179" s="587">
        <v>614040</v>
      </c>
      <c r="G179" s="774">
        <f t="shared" si="40"/>
        <v>22719480</v>
      </c>
      <c r="H179" s="576"/>
      <c r="I179" s="575"/>
      <c r="J179" s="575"/>
      <c r="K179" s="575"/>
      <c r="L179" s="577"/>
      <c r="M179" s="578"/>
      <c r="N179" s="578"/>
      <c r="O179" s="95"/>
      <c r="P179" s="579"/>
      <c r="Q179" s="580"/>
      <c r="R179" s="580"/>
      <c r="S179" s="581"/>
      <c r="T179" s="582"/>
      <c r="U179" s="79"/>
      <c r="V179" s="621"/>
      <c r="W179" s="835"/>
      <c r="X179" s="216"/>
      <c r="Y179" s="95"/>
      <c r="Z179" s="95"/>
      <c r="AA179" s="102" t="s">
        <v>976</v>
      </c>
      <c r="AB179" s="772" t="s">
        <v>139</v>
      </c>
      <c r="AC179" s="771">
        <f>+AC178+0.1</f>
        <v>6.5999999999999979</v>
      </c>
      <c r="AD179" s="1154"/>
      <c r="AE179" s="102" t="s">
        <v>976</v>
      </c>
      <c r="AF179" s="772" t="s">
        <v>139</v>
      </c>
      <c r="AG179" s="1059">
        <v>37</v>
      </c>
      <c r="AH179" s="587">
        <v>614040</v>
      </c>
      <c r="AI179" s="774">
        <f t="shared" si="39"/>
        <v>22719480</v>
      </c>
    </row>
    <row r="180" spans="1:35" s="45" customFormat="1" ht="38.25">
      <c r="A180" s="584"/>
      <c r="B180" s="771">
        <f>+B178+0.1</f>
        <v>6.5999999999999979</v>
      </c>
      <c r="C180" s="102" t="s">
        <v>939</v>
      </c>
      <c r="D180" s="772" t="s">
        <v>139</v>
      </c>
      <c r="E180" s="850">
        <v>8</v>
      </c>
      <c r="F180" s="587">
        <v>594610</v>
      </c>
      <c r="G180" s="774">
        <f>+E180*F180</f>
        <v>4756880</v>
      </c>
      <c r="H180" s="576"/>
      <c r="I180" s="575"/>
      <c r="J180" s="575"/>
      <c r="K180" s="575"/>
      <c r="L180" s="577"/>
      <c r="M180" s="578"/>
      <c r="N180" s="578"/>
      <c r="O180" s="95"/>
      <c r="P180" s="579"/>
      <c r="Q180" s="580"/>
      <c r="R180" s="580"/>
      <c r="S180" s="581"/>
      <c r="T180" s="582"/>
      <c r="U180" s="79"/>
      <c r="V180" s="621"/>
      <c r="W180" s="215"/>
      <c r="X180" s="216"/>
      <c r="Y180" s="95"/>
      <c r="Z180" s="95"/>
      <c r="AA180" s="102" t="s">
        <v>939</v>
      </c>
      <c r="AB180" s="772" t="s">
        <v>139</v>
      </c>
      <c r="AC180" s="771">
        <f>+AC178+0.1</f>
        <v>6.5999999999999979</v>
      </c>
      <c r="AD180" s="1154"/>
      <c r="AE180" s="102" t="s">
        <v>939</v>
      </c>
      <c r="AF180" s="772" t="s">
        <v>139</v>
      </c>
      <c r="AG180" s="587">
        <v>6</v>
      </c>
      <c r="AH180" s="587">
        <v>594610</v>
      </c>
      <c r="AI180" s="774">
        <f t="shared" si="39"/>
        <v>3567660</v>
      </c>
    </row>
    <row r="181" spans="1:35" s="45" customFormat="1" ht="25.5">
      <c r="A181" s="584"/>
      <c r="B181" s="771">
        <f t="shared" si="41"/>
        <v>6.6999999999999975</v>
      </c>
      <c r="C181" s="102" t="s">
        <v>1002</v>
      </c>
      <c r="D181" s="772" t="s">
        <v>139</v>
      </c>
      <c r="E181" s="780">
        <v>1.3</v>
      </c>
      <c r="F181" s="587">
        <v>448900</v>
      </c>
      <c r="G181" s="774">
        <f t="shared" ref="G181" si="43">+E181*F181</f>
        <v>583570</v>
      </c>
      <c r="H181" s="576"/>
      <c r="I181" s="575"/>
      <c r="J181" s="575"/>
      <c r="K181" s="575"/>
      <c r="L181" s="577"/>
      <c r="M181" s="578"/>
      <c r="N181" s="578"/>
      <c r="O181" s="95"/>
      <c r="P181" s="579"/>
      <c r="Q181" s="580"/>
      <c r="R181" s="580"/>
      <c r="S181" s="581"/>
      <c r="T181" s="582"/>
      <c r="U181" s="79"/>
      <c r="V181" s="621"/>
      <c r="W181" s="215"/>
      <c r="X181" s="216"/>
      <c r="Y181" s="95"/>
      <c r="Z181" s="95"/>
      <c r="AA181" s="102" t="s">
        <v>1002</v>
      </c>
      <c r="AB181" s="772" t="s">
        <v>139</v>
      </c>
      <c r="AC181" s="771">
        <f t="shared" si="42"/>
        <v>6.6999999999999975</v>
      </c>
      <c r="AD181" s="1154"/>
      <c r="AE181" s="102" t="s">
        <v>1002</v>
      </c>
      <c r="AF181" s="772" t="s">
        <v>139</v>
      </c>
      <c r="AG181" s="1059">
        <v>1.3</v>
      </c>
      <c r="AH181" s="587">
        <v>393333</v>
      </c>
      <c r="AI181" s="774">
        <f t="shared" si="39"/>
        <v>511332.9</v>
      </c>
    </row>
    <row r="182" spans="1:35" s="45" customFormat="1" ht="25.5">
      <c r="A182" s="584"/>
      <c r="B182" s="771">
        <f t="shared" si="41"/>
        <v>6.7999999999999972</v>
      </c>
      <c r="C182" s="782" t="s">
        <v>1003</v>
      </c>
      <c r="D182" s="790" t="s">
        <v>139</v>
      </c>
      <c r="E182" s="780">
        <v>1.5</v>
      </c>
      <c r="F182" s="587">
        <v>393333</v>
      </c>
      <c r="G182" s="774">
        <f>+E182*F182</f>
        <v>589999.5</v>
      </c>
      <c r="H182" s="576"/>
      <c r="I182" s="575"/>
      <c r="J182" s="575"/>
      <c r="K182" s="575"/>
      <c r="L182" s="577"/>
      <c r="M182" s="578"/>
      <c r="N182" s="578"/>
      <c r="O182" s="95"/>
      <c r="P182" s="579"/>
      <c r="Q182" s="580"/>
      <c r="R182" s="580"/>
      <c r="S182" s="581"/>
      <c r="T182" s="582"/>
      <c r="U182" s="79"/>
      <c r="V182" s="621"/>
      <c r="W182" s="215"/>
      <c r="X182" s="216"/>
      <c r="Y182" s="95"/>
      <c r="Z182" s="95"/>
      <c r="AA182" s="1062" t="s">
        <v>1003</v>
      </c>
      <c r="AB182" s="1086" t="s">
        <v>139</v>
      </c>
      <c r="AC182" s="771">
        <f t="shared" si="42"/>
        <v>6.7999999999999972</v>
      </c>
      <c r="AD182" s="1154"/>
      <c r="AE182" s="1062" t="s">
        <v>1003</v>
      </c>
      <c r="AF182" s="1086" t="s">
        <v>139</v>
      </c>
      <c r="AG182" s="1059">
        <v>1.5</v>
      </c>
      <c r="AH182" s="587">
        <v>448900</v>
      </c>
      <c r="AI182" s="774">
        <f t="shared" si="39"/>
        <v>673350</v>
      </c>
    </row>
    <row r="183" spans="1:35" s="45" customFormat="1" ht="38.25">
      <c r="A183" s="584"/>
      <c r="B183" s="771">
        <f t="shared" si="41"/>
        <v>6.8999999999999968</v>
      </c>
      <c r="C183" s="102" t="s">
        <v>1004</v>
      </c>
      <c r="D183" s="777" t="s">
        <v>139</v>
      </c>
      <c r="E183" s="780">
        <v>0.7</v>
      </c>
      <c r="F183" s="776">
        <v>751550</v>
      </c>
      <c r="G183" s="774">
        <f>+E183*F183</f>
        <v>526085</v>
      </c>
      <c r="H183" s="576"/>
      <c r="I183" s="575"/>
      <c r="J183" s="575"/>
      <c r="K183" s="575"/>
      <c r="L183" s="577"/>
      <c r="M183" s="578"/>
      <c r="N183" s="578"/>
      <c r="O183" s="95"/>
      <c r="P183" s="579"/>
      <c r="Q183" s="580"/>
      <c r="R183" s="580"/>
      <c r="S183" s="581"/>
      <c r="T183" s="582"/>
      <c r="U183" s="79"/>
      <c r="V183" s="621"/>
      <c r="W183" s="215"/>
      <c r="X183" s="216"/>
      <c r="Y183" s="829"/>
      <c r="Z183" s="95"/>
      <c r="AA183" s="102" t="s">
        <v>1004</v>
      </c>
      <c r="AB183" s="777" t="s">
        <v>139</v>
      </c>
      <c r="AC183" s="771">
        <f t="shared" si="42"/>
        <v>6.8999999999999968</v>
      </c>
      <c r="AD183" s="1154"/>
      <c r="AE183" s="102" t="s">
        <v>1004</v>
      </c>
      <c r="AF183" s="777" t="s">
        <v>139</v>
      </c>
      <c r="AG183" s="1059">
        <v>0.7</v>
      </c>
      <c r="AH183" s="776">
        <v>500335</v>
      </c>
      <c r="AI183" s="774">
        <f t="shared" si="39"/>
        <v>350234.5</v>
      </c>
    </row>
    <row r="184" spans="1:35" s="45" customFormat="1">
      <c r="A184" s="584"/>
      <c r="B184" s="771"/>
      <c r="C184" s="102"/>
      <c r="D184" s="777"/>
      <c r="E184" s="780"/>
      <c r="F184" s="776"/>
      <c r="G184" s="774"/>
      <c r="H184" s="576"/>
      <c r="I184" s="575"/>
      <c r="J184" s="575"/>
      <c r="K184" s="575"/>
      <c r="L184" s="577"/>
      <c r="M184" s="578"/>
      <c r="N184" s="578"/>
      <c r="O184" s="95"/>
      <c r="P184" s="579"/>
      <c r="Q184" s="580"/>
      <c r="R184" s="580"/>
      <c r="S184" s="581"/>
      <c r="T184" s="582"/>
      <c r="U184" s="79"/>
      <c r="V184" s="621"/>
      <c r="W184" s="808"/>
      <c r="X184" s="44"/>
      <c r="Y184" s="835"/>
      <c r="Z184" s="832"/>
      <c r="AA184" s="102"/>
      <c r="AB184" s="777"/>
      <c r="AC184" s="771"/>
      <c r="AD184" s="1154"/>
      <c r="AE184" s="102"/>
      <c r="AF184" s="777"/>
      <c r="AG184" s="1059"/>
      <c r="AH184" s="776"/>
      <c r="AI184" s="774"/>
    </row>
    <row r="185" spans="1:35" s="45" customFormat="1" ht="15.75" thickBot="1">
      <c r="A185" s="584"/>
      <c r="B185" s="114"/>
      <c r="C185" s="114"/>
      <c r="D185" s="115"/>
      <c r="E185" s="116"/>
      <c r="F185" s="117" t="s">
        <v>969</v>
      </c>
      <c r="G185" s="137">
        <f>SUM(G174:G183)</f>
        <v>42045742.5</v>
      </c>
      <c r="H185" s="576"/>
      <c r="I185" s="575"/>
      <c r="J185" s="575"/>
      <c r="K185" s="575"/>
      <c r="L185" s="577"/>
      <c r="M185" s="578"/>
      <c r="N185" s="578"/>
      <c r="O185" s="95"/>
      <c r="P185" s="579"/>
      <c r="Q185" s="580"/>
      <c r="R185" s="580"/>
      <c r="S185" s="581"/>
      <c r="T185" s="582"/>
      <c r="U185" s="79"/>
      <c r="V185" s="621"/>
      <c r="W185" s="808"/>
      <c r="X185" s="44"/>
      <c r="Y185" s="44"/>
      <c r="Z185" s="44"/>
      <c r="AA185" s="1064"/>
      <c r="AB185" s="1065"/>
      <c r="AC185" s="1064"/>
      <c r="AD185" s="1064"/>
      <c r="AE185" s="1064"/>
      <c r="AF185" s="1065"/>
      <c r="AG185" s="1066"/>
      <c r="AH185" s="1073" t="s">
        <v>969</v>
      </c>
      <c r="AI185" s="1117">
        <f>SUM(AI174:AI183)</f>
        <v>40691785.399999999</v>
      </c>
    </row>
    <row r="186" spans="1:35" s="45" customFormat="1">
      <c r="A186" s="584"/>
      <c r="B186" s="771"/>
      <c r="C186" s="102"/>
      <c r="D186" s="777"/>
      <c r="E186" s="780"/>
      <c r="F186" s="776"/>
      <c r="G186" s="795"/>
      <c r="H186" s="576"/>
      <c r="I186" s="575"/>
      <c r="J186" s="575"/>
      <c r="K186" s="575"/>
      <c r="L186" s="577"/>
      <c r="M186" s="578"/>
      <c r="N186" s="578"/>
      <c r="O186" s="95"/>
      <c r="P186" s="579"/>
      <c r="Q186" s="580"/>
      <c r="R186" s="580"/>
      <c r="S186" s="581"/>
      <c r="T186" s="582"/>
      <c r="U186" s="79"/>
      <c r="V186" s="621"/>
      <c r="W186" s="808"/>
      <c r="X186" s="44"/>
      <c r="Y186" s="44"/>
      <c r="Z186" s="44"/>
      <c r="AA186" s="102"/>
      <c r="AB186" s="777"/>
      <c r="AC186" s="771"/>
      <c r="AD186" s="1154"/>
      <c r="AE186" s="102"/>
      <c r="AF186" s="777"/>
      <c r="AG186" s="1059"/>
      <c r="AH186" s="776"/>
      <c r="AI186" s="795"/>
    </row>
    <row r="187" spans="1:35" s="45" customFormat="1">
      <c r="A187" s="586"/>
      <c r="B187" s="771"/>
      <c r="C187" s="787" t="s">
        <v>948</v>
      </c>
      <c r="D187" s="772"/>
      <c r="E187" s="773"/>
      <c r="F187" s="587"/>
      <c r="G187" s="774"/>
      <c r="H187" s="588"/>
      <c r="I187" s="587"/>
      <c r="J187" s="587"/>
      <c r="K187" s="587"/>
      <c r="L187" s="589"/>
      <c r="M187" s="590"/>
      <c r="N187" s="591"/>
      <c r="O187" s="95"/>
      <c r="P187" s="579"/>
      <c r="Q187" s="580"/>
      <c r="R187" s="580"/>
      <c r="S187" s="581"/>
      <c r="T187" s="582"/>
      <c r="U187" s="79"/>
      <c r="V187" s="621"/>
      <c r="Y187" s="44"/>
      <c r="Z187" s="44"/>
      <c r="AA187" s="787" t="s">
        <v>948</v>
      </c>
      <c r="AB187" s="772"/>
      <c r="AC187" s="771"/>
      <c r="AD187" s="1154"/>
      <c r="AE187" s="787" t="s">
        <v>948</v>
      </c>
      <c r="AF187" s="772"/>
      <c r="AG187" s="773"/>
      <c r="AH187" s="587"/>
      <c r="AI187" s="774"/>
    </row>
    <row r="188" spans="1:35" s="45" customFormat="1" ht="25.5">
      <c r="A188" s="584"/>
      <c r="B188" s="779">
        <v>6.1</v>
      </c>
      <c r="C188" s="102" t="s">
        <v>942</v>
      </c>
      <c r="D188" s="777" t="s">
        <v>56</v>
      </c>
      <c r="E188" s="780">
        <v>288</v>
      </c>
      <c r="F188" s="776">
        <v>4500</v>
      </c>
      <c r="G188" s="774">
        <f t="shared" ref="G188:G189" si="44">+E188*F189</f>
        <v>18158400</v>
      </c>
      <c r="H188" s="576"/>
      <c r="I188" s="575"/>
      <c r="J188" s="575"/>
      <c r="K188" s="575"/>
      <c r="L188" s="577"/>
      <c r="M188" s="578"/>
      <c r="N188" s="578"/>
      <c r="O188" s="95"/>
      <c r="P188" s="579"/>
      <c r="Q188" s="580"/>
      <c r="R188" s="580"/>
      <c r="S188" s="581"/>
      <c r="T188" s="582"/>
      <c r="U188" s="79"/>
      <c r="V188" s="621"/>
      <c r="W188" s="808"/>
      <c r="X188" s="44"/>
      <c r="Y188" s="44"/>
      <c r="Z188" s="44"/>
      <c r="AA188" s="102" t="s">
        <v>942</v>
      </c>
      <c r="AB188" s="777" t="s">
        <v>56</v>
      </c>
      <c r="AC188" s="779">
        <v>6.1</v>
      </c>
      <c r="AD188" s="1161"/>
      <c r="AE188" s="102" t="s">
        <v>942</v>
      </c>
      <c r="AF188" s="777" t="s">
        <v>56</v>
      </c>
      <c r="AG188" s="1059">
        <v>288</v>
      </c>
      <c r="AH188" s="776">
        <v>4500</v>
      </c>
      <c r="AI188" s="774">
        <f>+AG188*AH189</f>
        <v>18158400</v>
      </c>
    </row>
    <row r="189" spans="1:35" s="45" customFormat="1" ht="38.25">
      <c r="A189" s="584"/>
      <c r="B189" s="779">
        <v>6.11</v>
      </c>
      <c r="C189" s="102" t="s">
        <v>945</v>
      </c>
      <c r="D189" s="777" t="s">
        <v>139</v>
      </c>
      <c r="E189" s="780">
        <v>7</v>
      </c>
      <c r="F189" s="776">
        <v>63050</v>
      </c>
      <c r="G189" s="795">
        <f t="shared" si="44"/>
        <v>205310</v>
      </c>
      <c r="H189" s="576"/>
      <c r="I189" s="575"/>
      <c r="J189" s="575"/>
      <c r="K189" s="575"/>
      <c r="L189" s="577"/>
      <c r="M189" s="578"/>
      <c r="N189" s="578"/>
      <c r="O189" s="95"/>
      <c r="P189" s="579"/>
      <c r="Q189" s="580"/>
      <c r="R189" s="580"/>
      <c r="S189" s="581"/>
      <c r="T189" s="582"/>
      <c r="U189" s="79"/>
      <c r="V189" s="621"/>
      <c r="W189" s="808"/>
      <c r="X189" s="44"/>
      <c r="Y189" s="44"/>
      <c r="Z189" s="44"/>
      <c r="AA189" s="102" t="s">
        <v>945</v>
      </c>
      <c r="AB189" s="777" t="s">
        <v>139</v>
      </c>
      <c r="AC189" s="779">
        <v>6.11</v>
      </c>
      <c r="AD189" s="1161"/>
      <c r="AE189" s="102" t="s">
        <v>945</v>
      </c>
      <c r="AF189" s="777" t="s">
        <v>139</v>
      </c>
      <c r="AG189" s="1059">
        <v>7</v>
      </c>
      <c r="AH189" s="776">
        <v>63050</v>
      </c>
      <c r="AI189" s="795">
        <f>+AG189*AH190</f>
        <v>205310</v>
      </c>
    </row>
    <row r="190" spans="1:35" s="45" customFormat="1" ht="25.5">
      <c r="A190" s="584"/>
      <c r="B190" s="779">
        <f>+B189+0.01</f>
        <v>6.12</v>
      </c>
      <c r="C190" s="102" t="s">
        <v>946</v>
      </c>
      <c r="D190" s="777" t="s">
        <v>540</v>
      </c>
      <c r="E190" s="780">
        <v>33</v>
      </c>
      <c r="F190" s="776">
        <v>29330</v>
      </c>
      <c r="G190" s="774">
        <f>+E190*F190</f>
        <v>967890</v>
      </c>
      <c r="H190" s="576"/>
      <c r="I190" s="575"/>
      <c r="J190" s="575"/>
      <c r="K190" s="575"/>
      <c r="L190" s="577"/>
      <c r="M190" s="578"/>
      <c r="N190" s="578"/>
      <c r="O190" s="95"/>
      <c r="P190" s="579"/>
      <c r="Q190" s="580"/>
      <c r="R190" s="580"/>
      <c r="S190" s="581"/>
      <c r="T190" s="582"/>
      <c r="U190" s="79"/>
      <c r="V190" s="621"/>
      <c r="W190" s="808"/>
      <c r="X190" s="44"/>
      <c r="Y190" s="44"/>
      <c r="Z190" s="44"/>
      <c r="AA190" s="102" t="s">
        <v>946</v>
      </c>
      <c r="AB190" s="777" t="s">
        <v>540</v>
      </c>
      <c r="AC190" s="779">
        <f>+AC189+0.01</f>
        <v>6.12</v>
      </c>
      <c r="AD190" s="1161"/>
      <c r="AE190" s="102" t="s">
        <v>946</v>
      </c>
      <c r="AF190" s="777" t="s">
        <v>540</v>
      </c>
      <c r="AG190" s="1059">
        <v>33</v>
      </c>
      <c r="AH190" s="776">
        <v>29330</v>
      </c>
      <c r="AI190" s="774">
        <f>+AG190*AH190</f>
        <v>967890</v>
      </c>
    </row>
    <row r="191" spans="1:35" s="45" customFormat="1" ht="51">
      <c r="A191" s="584"/>
      <c r="B191" s="779">
        <f t="shared" ref="B191:B202" si="45">+B190+0.01</f>
        <v>6.13</v>
      </c>
      <c r="C191" s="102" t="s">
        <v>522</v>
      </c>
      <c r="D191" s="777" t="s">
        <v>142</v>
      </c>
      <c r="E191" s="780">
        <v>2200</v>
      </c>
      <c r="F191" s="587">
        <v>3100</v>
      </c>
      <c r="G191" s="774">
        <f t="shared" ref="G191:G202" si="46">+E191*F191</f>
        <v>6820000</v>
      </c>
      <c r="H191" s="576"/>
      <c r="I191" s="575"/>
      <c r="J191" s="575"/>
      <c r="K191" s="575"/>
      <c r="L191" s="577"/>
      <c r="M191" s="578"/>
      <c r="N191" s="578"/>
      <c r="O191" s="95"/>
      <c r="P191" s="579"/>
      <c r="Q191" s="580"/>
      <c r="R191" s="580"/>
      <c r="S191" s="581"/>
      <c r="T191" s="582"/>
      <c r="U191" s="79"/>
      <c r="V191" s="621"/>
      <c r="W191" s="808"/>
      <c r="X191" s="44"/>
      <c r="Y191" s="44"/>
      <c r="Z191" s="44"/>
      <c r="AA191" s="102" t="s">
        <v>522</v>
      </c>
      <c r="AB191" s="777" t="s">
        <v>142</v>
      </c>
      <c r="AC191" s="779">
        <f t="shared" ref="AC191:AC202" si="47">+AC190+0.01</f>
        <v>6.13</v>
      </c>
      <c r="AD191" s="1161"/>
      <c r="AE191" s="102" t="s">
        <v>522</v>
      </c>
      <c r="AF191" s="777" t="s">
        <v>142</v>
      </c>
      <c r="AG191" s="1059">
        <v>2200</v>
      </c>
      <c r="AH191" s="587">
        <v>3100</v>
      </c>
      <c r="AI191" s="774">
        <f t="shared" ref="AI191:AI202" si="48">+AG191*AH191</f>
        <v>6820000</v>
      </c>
    </row>
    <row r="192" spans="1:35" s="45" customFormat="1" ht="25.5">
      <c r="A192" s="584"/>
      <c r="B192" s="779">
        <f t="shared" si="45"/>
        <v>6.14</v>
      </c>
      <c r="C192" s="102" t="s">
        <v>508</v>
      </c>
      <c r="D192" s="777" t="s">
        <v>500</v>
      </c>
      <c r="E192" s="780">
        <v>35</v>
      </c>
      <c r="F192" s="587">
        <v>18420</v>
      </c>
      <c r="G192" s="774">
        <f t="shared" si="46"/>
        <v>644700</v>
      </c>
      <c r="H192" s="576"/>
      <c r="I192" s="575"/>
      <c r="J192" s="575"/>
      <c r="K192" s="575"/>
      <c r="L192" s="577"/>
      <c r="M192" s="578"/>
      <c r="N192" s="578"/>
      <c r="O192" s="95"/>
      <c r="P192" s="579"/>
      <c r="Q192" s="580"/>
      <c r="R192" s="580"/>
      <c r="S192" s="581"/>
      <c r="T192" s="582"/>
      <c r="U192" s="79"/>
      <c r="V192" s="621"/>
      <c r="W192" s="808"/>
      <c r="X192" s="44"/>
      <c r="Y192" s="44"/>
      <c r="Z192" s="44"/>
      <c r="AA192" s="102" t="s">
        <v>508</v>
      </c>
      <c r="AB192" s="777" t="s">
        <v>500</v>
      </c>
      <c r="AC192" s="779">
        <f t="shared" si="47"/>
        <v>6.14</v>
      </c>
      <c r="AD192" s="1161"/>
      <c r="AE192" s="102" t="s">
        <v>508</v>
      </c>
      <c r="AF192" s="777" t="s">
        <v>500</v>
      </c>
      <c r="AG192" s="1059">
        <v>35</v>
      </c>
      <c r="AH192" s="587">
        <v>18420</v>
      </c>
      <c r="AI192" s="774">
        <f t="shared" si="48"/>
        <v>644700</v>
      </c>
    </row>
    <row r="193" spans="1:35" s="45" customFormat="1" ht="38.25">
      <c r="A193" s="584"/>
      <c r="B193" s="779">
        <f t="shared" si="45"/>
        <v>6.1499999999999995</v>
      </c>
      <c r="C193" s="102" t="s">
        <v>904</v>
      </c>
      <c r="D193" s="777" t="s">
        <v>22</v>
      </c>
      <c r="E193" s="102">
        <v>8</v>
      </c>
      <c r="F193" s="587">
        <v>10670</v>
      </c>
      <c r="G193" s="774">
        <f t="shared" si="46"/>
        <v>85360</v>
      </c>
      <c r="H193" s="576"/>
      <c r="I193" s="575"/>
      <c r="J193" s="575"/>
      <c r="K193" s="575"/>
      <c r="L193" s="577"/>
      <c r="M193" s="578"/>
      <c r="N193" s="578"/>
      <c r="O193" s="95"/>
      <c r="P193" s="579"/>
      <c r="Q193" s="580"/>
      <c r="R193" s="580"/>
      <c r="S193" s="581"/>
      <c r="T193" s="582"/>
      <c r="U193" s="79"/>
      <c r="V193" s="621"/>
      <c r="W193" s="808"/>
      <c r="X193" s="44"/>
      <c r="Y193" s="44"/>
      <c r="Z193" s="44"/>
      <c r="AA193" s="102" t="s">
        <v>904</v>
      </c>
      <c r="AB193" s="777" t="s">
        <v>22</v>
      </c>
      <c r="AC193" s="779">
        <f t="shared" si="47"/>
        <v>6.1499999999999995</v>
      </c>
      <c r="AD193" s="1161"/>
      <c r="AE193" s="102" t="s">
        <v>904</v>
      </c>
      <c r="AF193" s="777" t="s">
        <v>22</v>
      </c>
      <c r="AG193" s="102">
        <v>8</v>
      </c>
      <c r="AH193" s="587">
        <v>10670</v>
      </c>
      <c r="AI193" s="774">
        <f t="shared" si="48"/>
        <v>85360</v>
      </c>
    </row>
    <row r="194" spans="1:35" s="45" customFormat="1" ht="38.25">
      <c r="A194" s="584"/>
      <c r="B194" s="779">
        <f t="shared" si="45"/>
        <v>6.1599999999999993</v>
      </c>
      <c r="C194" s="102" t="s">
        <v>996</v>
      </c>
      <c r="D194" s="777" t="s">
        <v>540</v>
      </c>
      <c r="E194" s="102">
        <v>2</v>
      </c>
      <c r="F194" s="587">
        <v>21516</v>
      </c>
      <c r="G194" s="774">
        <f t="shared" si="46"/>
        <v>43032</v>
      </c>
      <c r="H194" s="576"/>
      <c r="I194" s="575"/>
      <c r="J194" s="575"/>
      <c r="K194" s="575"/>
      <c r="L194" s="577"/>
      <c r="M194" s="578"/>
      <c r="N194" s="578"/>
      <c r="O194" s="95"/>
      <c r="P194" s="579"/>
      <c r="Q194" s="580"/>
      <c r="R194" s="580"/>
      <c r="S194" s="581"/>
      <c r="T194" s="582"/>
      <c r="U194" s="79"/>
      <c r="V194" s="621"/>
      <c r="W194" s="808"/>
      <c r="X194" s="44"/>
      <c r="Y194" s="44"/>
      <c r="Z194" s="44"/>
      <c r="AA194" s="102" t="s">
        <v>996</v>
      </c>
      <c r="AB194" s="777" t="s">
        <v>540</v>
      </c>
      <c r="AC194" s="779">
        <f t="shared" si="47"/>
        <v>6.1599999999999993</v>
      </c>
      <c r="AD194" s="1161"/>
      <c r="AE194" s="102" t="s">
        <v>996</v>
      </c>
      <c r="AF194" s="777" t="s">
        <v>540</v>
      </c>
      <c r="AG194" s="102">
        <v>2</v>
      </c>
      <c r="AH194" s="587">
        <v>21516</v>
      </c>
      <c r="AI194" s="774">
        <f t="shared" si="48"/>
        <v>43032</v>
      </c>
    </row>
    <row r="195" spans="1:35" s="45" customFormat="1" ht="38.25">
      <c r="A195" s="584"/>
      <c r="B195" s="779">
        <f t="shared" si="45"/>
        <v>6.169999999999999</v>
      </c>
      <c r="C195" s="102" t="s">
        <v>895</v>
      </c>
      <c r="D195" s="777" t="s">
        <v>22</v>
      </c>
      <c r="E195" s="102">
        <v>4</v>
      </c>
      <c r="F195" s="587">
        <v>10810</v>
      </c>
      <c r="G195" s="774">
        <f t="shared" si="46"/>
        <v>43240</v>
      </c>
      <c r="H195" s="576"/>
      <c r="I195" s="575"/>
      <c r="J195" s="575"/>
      <c r="K195" s="575"/>
      <c r="L195" s="577"/>
      <c r="M195" s="578"/>
      <c r="N195" s="578"/>
      <c r="O195" s="95"/>
      <c r="P195" s="579"/>
      <c r="Q195" s="580"/>
      <c r="R195" s="580"/>
      <c r="S195" s="581"/>
      <c r="T195" s="582"/>
      <c r="U195" s="79"/>
      <c r="V195" s="621"/>
      <c r="W195" s="808"/>
      <c r="X195" s="44"/>
      <c r="Y195" s="44"/>
      <c r="Z195" s="44"/>
      <c r="AA195" s="102" t="s">
        <v>895</v>
      </c>
      <c r="AB195" s="777" t="s">
        <v>22</v>
      </c>
      <c r="AC195" s="779">
        <f t="shared" si="47"/>
        <v>6.169999999999999</v>
      </c>
      <c r="AD195" s="1161"/>
      <c r="AE195" s="102" t="s">
        <v>895</v>
      </c>
      <c r="AF195" s="777" t="s">
        <v>22</v>
      </c>
      <c r="AG195" s="102">
        <v>4</v>
      </c>
      <c r="AH195" s="587">
        <v>10810</v>
      </c>
      <c r="AI195" s="774">
        <f t="shared" si="48"/>
        <v>43240</v>
      </c>
    </row>
    <row r="196" spans="1:35" s="45" customFormat="1" ht="51">
      <c r="A196" s="584"/>
      <c r="B196" s="779">
        <f t="shared" si="45"/>
        <v>6.1799999999999988</v>
      </c>
      <c r="C196" s="102" t="s">
        <v>1026</v>
      </c>
      <c r="D196" s="777" t="s">
        <v>22</v>
      </c>
      <c r="E196" s="102">
        <v>2</v>
      </c>
      <c r="F196" s="587">
        <v>1621796</v>
      </c>
      <c r="G196" s="774">
        <f t="shared" si="46"/>
        <v>3243592</v>
      </c>
      <c r="H196" s="576"/>
      <c r="I196" s="575"/>
      <c r="J196" s="575"/>
      <c r="K196" s="575"/>
      <c r="L196" s="577"/>
      <c r="M196" s="578"/>
      <c r="N196" s="578"/>
      <c r="O196" s="95"/>
      <c r="P196" s="579"/>
      <c r="Q196" s="580"/>
      <c r="R196" s="580"/>
      <c r="S196" s="581"/>
      <c r="T196" s="582"/>
      <c r="U196" s="79"/>
      <c r="V196" s="621"/>
      <c r="W196" s="649"/>
      <c r="X196" s="44"/>
      <c r="Y196" s="44"/>
      <c r="Z196" s="44"/>
      <c r="AA196" s="102" t="s">
        <v>1026</v>
      </c>
      <c r="AB196" s="777" t="s">
        <v>22</v>
      </c>
      <c r="AC196" s="779">
        <f t="shared" si="47"/>
        <v>6.1799999999999988</v>
      </c>
      <c r="AD196" s="1161"/>
      <c r="AE196" s="102" t="s">
        <v>1026</v>
      </c>
      <c r="AF196" s="777" t="s">
        <v>22</v>
      </c>
      <c r="AG196" s="102">
        <v>2</v>
      </c>
      <c r="AH196" s="587">
        <v>1621796</v>
      </c>
      <c r="AI196" s="774">
        <f t="shared" si="48"/>
        <v>3243592</v>
      </c>
    </row>
    <row r="197" spans="1:35" s="45" customFormat="1" ht="63.75">
      <c r="A197" s="584"/>
      <c r="B197" s="779">
        <f t="shared" si="45"/>
        <v>6.1899999999999986</v>
      </c>
      <c r="C197" s="102" t="s">
        <v>1027</v>
      </c>
      <c r="D197" s="777" t="s">
        <v>22</v>
      </c>
      <c r="E197" s="102">
        <v>2</v>
      </c>
      <c r="F197" s="850">
        <v>521884</v>
      </c>
      <c r="G197" s="774">
        <f t="shared" si="46"/>
        <v>1043768</v>
      </c>
      <c r="H197" s="576"/>
      <c r="I197" s="575"/>
      <c r="J197" s="575"/>
      <c r="K197" s="575"/>
      <c r="L197" s="577"/>
      <c r="M197" s="578"/>
      <c r="N197" s="578"/>
      <c r="O197" s="95"/>
      <c r="P197" s="579"/>
      <c r="Q197" s="580"/>
      <c r="R197" s="580"/>
      <c r="S197" s="581"/>
      <c r="T197" s="582"/>
      <c r="U197" s="79"/>
      <c r="V197" s="621"/>
      <c r="W197" s="808"/>
      <c r="X197" s="44"/>
      <c r="Y197" s="44"/>
      <c r="Z197" s="44"/>
      <c r="AA197" s="1078" t="s">
        <v>1027</v>
      </c>
      <c r="AB197" s="777" t="s">
        <v>22</v>
      </c>
      <c r="AC197" s="779">
        <f t="shared" si="47"/>
        <v>6.1899999999999986</v>
      </c>
      <c r="AD197" s="1161"/>
      <c r="AE197" s="1078" t="s">
        <v>1027</v>
      </c>
      <c r="AF197" s="777" t="s">
        <v>22</v>
      </c>
      <c r="AG197" s="102">
        <v>2</v>
      </c>
      <c r="AH197" s="791">
        <v>521884</v>
      </c>
      <c r="AI197" s="774">
        <f t="shared" si="48"/>
        <v>1043768</v>
      </c>
    </row>
    <row r="198" spans="1:35" s="45" customFormat="1" ht="25.5">
      <c r="A198" s="584"/>
      <c r="B198" s="779">
        <f t="shared" si="45"/>
        <v>6.1999999999999984</v>
      </c>
      <c r="C198" s="102" t="s">
        <v>1409</v>
      </c>
      <c r="D198" s="777" t="s">
        <v>540</v>
      </c>
      <c r="E198" s="102">
        <v>24</v>
      </c>
      <c r="F198" s="587">
        <v>48740</v>
      </c>
      <c r="G198" s="774">
        <f t="shared" si="46"/>
        <v>1169760</v>
      </c>
      <c r="H198" s="576"/>
      <c r="I198" s="575"/>
      <c r="J198" s="575"/>
      <c r="K198" s="575"/>
      <c r="L198" s="577"/>
      <c r="M198" s="578"/>
      <c r="N198" s="578"/>
      <c r="O198" s="95"/>
      <c r="P198" s="579"/>
      <c r="Q198" s="580"/>
      <c r="R198" s="580"/>
      <c r="S198" s="581"/>
      <c r="T198" s="582"/>
      <c r="U198" s="79"/>
      <c r="V198" s="621"/>
      <c r="W198" s="808"/>
      <c r="X198" s="44"/>
      <c r="Y198" s="44"/>
      <c r="Z198" s="44"/>
      <c r="AA198" s="782" t="s">
        <v>1482</v>
      </c>
      <c r="AB198" s="777" t="s">
        <v>540</v>
      </c>
      <c r="AC198" s="779">
        <f t="shared" si="47"/>
        <v>6.1999999999999984</v>
      </c>
      <c r="AD198" s="1161"/>
      <c r="AE198" s="782" t="s">
        <v>1482</v>
      </c>
      <c r="AF198" s="777" t="s">
        <v>540</v>
      </c>
      <c r="AG198" s="102">
        <v>24</v>
      </c>
      <c r="AH198" s="587">
        <v>48740</v>
      </c>
      <c r="AI198" s="774">
        <f t="shared" si="48"/>
        <v>1169760</v>
      </c>
    </row>
    <row r="199" spans="1:35" s="45" customFormat="1" ht="25.5">
      <c r="A199" s="584"/>
      <c r="B199" s="779">
        <f t="shared" si="45"/>
        <v>6.2099999999999982</v>
      </c>
      <c r="C199" s="102" t="s">
        <v>1410</v>
      </c>
      <c r="D199" s="777" t="s">
        <v>540</v>
      </c>
      <c r="E199" s="102">
        <v>7</v>
      </c>
      <c r="F199" s="587">
        <v>69240</v>
      </c>
      <c r="G199" s="774">
        <f t="shared" si="46"/>
        <v>484680</v>
      </c>
      <c r="H199" s="576"/>
      <c r="I199" s="575"/>
      <c r="J199" s="575"/>
      <c r="K199" s="575"/>
      <c r="L199" s="577"/>
      <c r="M199" s="578"/>
      <c r="N199" s="578"/>
      <c r="O199" s="95"/>
      <c r="P199" s="579"/>
      <c r="Q199" s="580"/>
      <c r="R199" s="580"/>
      <c r="S199" s="581"/>
      <c r="T199" s="582"/>
      <c r="U199" s="79"/>
      <c r="V199" s="621"/>
      <c r="W199" s="808"/>
      <c r="X199" s="44"/>
      <c r="Y199" s="44"/>
      <c r="Z199" s="44"/>
      <c r="AA199" s="102" t="s">
        <v>1410</v>
      </c>
      <c r="AB199" s="777" t="s">
        <v>540</v>
      </c>
      <c r="AC199" s="779">
        <f t="shared" si="47"/>
        <v>6.2099999999999982</v>
      </c>
      <c r="AD199" s="1161"/>
      <c r="AE199" s="102" t="s">
        <v>1410</v>
      </c>
      <c r="AF199" s="777" t="s">
        <v>540</v>
      </c>
      <c r="AG199" s="102">
        <v>7</v>
      </c>
      <c r="AH199" s="587">
        <v>69240</v>
      </c>
      <c r="AI199" s="774">
        <f t="shared" si="48"/>
        <v>484680</v>
      </c>
    </row>
    <row r="200" spans="1:35" s="45" customFormat="1" ht="25.5">
      <c r="A200" s="584"/>
      <c r="B200" s="779">
        <f t="shared" si="45"/>
        <v>6.219999999999998</v>
      </c>
      <c r="C200" s="102" t="s">
        <v>1007</v>
      </c>
      <c r="D200" s="777" t="s">
        <v>512</v>
      </c>
      <c r="E200" s="102">
        <v>2</v>
      </c>
      <c r="F200" s="776">
        <v>628300</v>
      </c>
      <c r="G200" s="774">
        <f t="shared" si="46"/>
        <v>1256600</v>
      </c>
      <c r="H200" s="576"/>
      <c r="I200" s="575"/>
      <c r="J200" s="575"/>
      <c r="K200" s="575"/>
      <c r="L200" s="577"/>
      <c r="M200" s="578"/>
      <c r="N200" s="578"/>
      <c r="O200" s="95"/>
      <c r="P200" s="579"/>
      <c r="Q200" s="580"/>
      <c r="R200" s="580"/>
      <c r="S200" s="581"/>
      <c r="T200" s="582"/>
      <c r="U200" s="79"/>
      <c r="V200" s="621"/>
      <c r="W200" s="808"/>
      <c r="X200" s="44"/>
      <c r="Y200" s="44"/>
      <c r="Z200" s="44"/>
      <c r="AA200" s="102" t="s">
        <v>1007</v>
      </c>
      <c r="AB200" s="777" t="s">
        <v>512</v>
      </c>
      <c r="AC200" s="779">
        <f t="shared" si="47"/>
        <v>6.219999999999998</v>
      </c>
      <c r="AD200" s="1161"/>
      <c r="AE200" s="102" t="s">
        <v>1007</v>
      </c>
      <c r="AF200" s="777" t="s">
        <v>512</v>
      </c>
      <c r="AG200" s="102">
        <v>2</v>
      </c>
      <c r="AH200" s="776">
        <v>628300</v>
      </c>
      <c r="AI200" s="774">
        <f t="shared" si="48"/>
        <v>1256600</v>
      </c>
    </row>
    <row r="201" spans="1:35" s="45" customFormat="1" ht="25.5">
      <c r="A201" s="584"/>
      <c r="B201" s="779">
        <f t="shared" si="45"/>
        <v>6.2299999999999978</v>
      </c>
      <c r="C201" s="102" t="s">
        <v>1021</v>
      </c>
      <c r="D201" s="777" t="s">
        <v>22</v>
      </c>
      <c r="E201" s="102">
        <v>6</v>
      </c>
      <c r="F201" s="879">
        <v>410000</v>
      </c>
      <c r="G201" s="774">
        <f t="shared" si="46"/>
        <v>2460000</v>
      </c>
      <c r="H201" s="576"/>
      <c r="I201" s="575"/>
      <c r="J201" s="575"/>
      <c r="K201" s="575"/>
      <c r="L201" s="577"/>
      <c r="M201" s="578"/>
      <c r="N201" s="578"/>
      <c r="O201" s="95"/>
      <c r="P201" s="579"/>
      <c r="Q201" s="580"/>
      <c r="R201" s="580"/>
      <c r="S201" s="581"/>
      <c r="T201" s="582"/>
      <c r="U201" s="79"/>
      <c r="V201" s="621"/>
      <c r="W201" s="808"/>
      <c r="X201" s="44"/>
      <c r="Y201" s="44"/>
      <c r="Z201" s="44"/>
      <c r="AA201" s="102" t="s">
        <v>1021</v>
      </c>
      <c r="AB201" s="777" t="s">
        <v>22</v>
      </c>
      <c r="AC201" s="779">
        <f t="shared" si="47"/>
        <v>6.2299999999999978</v>
      </c>
      <c r="AD201" s="1161"/>
      <c r="AE201" s="102" t="s">
        <v>1021</v>
      </c>
      <c r="AF201" s="777" t="s">
        <v>22</v>
      </c>
      <c r="AG201" s="102">
        <v>6</v>
      </c>
      <c r="AH201" s="879">
        <v>410000</v>
      </c>
      <c r="AI201" s="774">
        <f t="shared" si="48"/>
        <v>2460000</v>
      </c>
    </row>
    <row r="202" spans="1:35" s="45" customFormat="1" ht="25.5">
      <c r="A202" s="584"/>
      <c r="B202" s="779">
        <f t="shared" si="45"/>
        <v>6.2399999999999975</v>
      </c>
      <c r="C202" s="102" t="s">
        <v>1022</v>
      </c>
      <c r="D202" s="777" t="s">
        <v>22</v>
      </c>
      <c r="E202" s="102">
        <v>1</v>
      </c>
      <c r="F202" s="879">
        <v>308000</v>
      </c>
      <c r="G202" s="774">
        <f t="shared" si="46"/>
        <v>308000</v>
      </c>
      <c r="H202" s="576"/>
      <c r="I202" s="575"/>
      <c r="J202" s="575"/>
      <c r="K202" s="575"/>
      <c r="L202" s="577"/>
      <c r="M202" s="578"/>
      <c r="N202" s="578"/>
      <c r="O202" s="95"/>
      <c r="P202" s="579"/>
      <c r="Q202" s="580"/>
      <c r="R202" s="580"/>
      <c r="S202" s="581"/>
      <c r="T202" s="582"/>
      <c r="U202" s="79"/>
      <c r="V202" s="621"/>
      <c r="W202" s="808"/>
      <c r="X202" s="44"/>
      <c r="Y202" s="44"/>
      <c r="Z202" s="44"/>
      <c r="AA202" s="102" t="s">
        <v>1022</v>
      </c>
      <c r="AB202" s="777" t="s">
        <v>22</v>
      </c>
      <c r="AC202" s="779">
        <f t="shared" si="47"/>
        <v>6.2399999999999975</v>
      </c>
      <c r="AD202" s="1161"/>
      <c r="AE202" s="102" t="s">
        <v>1022</v>
      </c>
      <c r="AF202" s="777" t="s">
        <v>22</v>
      </c>
      <c r="AG202" s="102">
        <v>1</v>
      </c>
      <c r="AH202" s="879">
        <v>308000</v>
      </c>
      <c r="AI202" s="774">
        <f t="shared" si="48"/>
        <v>308000</v>
      </c>
    </row>
    <row r="203" spans="1:35" s="45" customFormat="1">
      <c r="A203" s="138">
        <v>200314</v>
      </c>
      <c r="B203" s="779"/>
      <c r="C203" s="102"/>
      <c r="D203" s="777"/>
      <c r="E203" s="780"/>
      <c r="F203" s="776"/>
      <c r="G203" s="774"/>
      <c r="H203" s="576">
        <v>44727</v>
      </c>
      <c r="I203" s="25">
        <v>59389</v>
      </c>
      <c r="J203" s="25">
        <v>1</v>
      </c>
      <c r="K203" s="25">
        <v>1</v>
      </c>
      <c r="L203" s="28">
        <v>3563340</v>
      </c>
      <c r="M203" s="29">
        <v>2683620</v>
      </c>
      <c r="N203" s="29">
        <v>2683620</v>
      </c>
      <c r="O203" s="95"/>
      <c r="P203" s="96"/>
      <c r="Q203" s="97">
        <v>52319</v>
      </c>
      <c r="R203" s="97">
        <v>890394</v>
      </c>
      <c r="S203" s="98">
        <v>1740900</v>
      </c>
      <c r="T203" s="99"/>
      <c r="U203" s="79"/>
      <c r="V203" s="621">
        <v>33</v>
      </c>
      <c r="W203" s="808"/>
      <c r="X203" s="44"/>
      <c r="Y203" s="44"/>
      <c r="Z203" s="44"/>
      <c r="AA203" s="102"/>
      <c r="AB203" s="777"/>
      <c r="AC203" s="779"/>
      <c r="AD203" s="1161"/>
      <c r="AE203" s="102"/>
      <c r="AF203" s="777"/>
      <c r="AG203" s="1059"/>
      <c r="AH203" s="776"/>
      <c r="AI203" s="774"/>
    </row>
    <row r="204" spans="1:35" s="45" customFormat="1" ht="15.75" thickBot="1">
      <c r="A204" s="143">
        <v>140404</v>
      </c>
      <c r="B204" s="871"/>
      <c r="C204" s="871"/>
      <c r="D204" s="873"/>
      <c r="E204" s="874"/>
      <c r="F204" s="947" t="s">
        <v>973</v>
      </c>
      <c r="G204" s="1004">
        <f>SUM(G188:G203)</f>
        <v>36934332</v>
      </c>
      <c r="H204" s="576">
        <v>90513</v>
      </c>
      <c r="I204" s="25">
        <v>120183</v>
      </c>
      <c r="J204" s="25">
        <v>1</v>
      </c>
      <c r="K204" s="25">
        <v>1</v>
      </c>
      <c r="L204" s="28">
        <v>2163294</v>
      </c>
      <c r="M204" s="29">
        <v>1629234</v>
      </c>
      <c r="N204" s="29">
        <v>1629234</v>
      </c>
      <c r="O204" s="95"/>
      <c r="P204" s="96"/>
      <c r="Q204" s="97">
        <v>48580</v>
      </c>
      <c r="R204" s="97">
        <v>593604</v>
      </c>
      <c r="S204" s="98">
        <v>987055</v>
      </c>
      <c r="T204" s="99"/>
      <c r="U204" s="79"/>
      <c r="V204" s="621">
        <v>34</v>
      </c>
      <c r="W204" s="808"/>
      <c r="X204" s="44"/>
      <c r="Y204" s="44"/>
      <c r="Z204" s="44"/>
      <c r="AA204" s="1074"/>
      <c r="AB204" s="1075"/>
      <c r="AC204" s="1074"/>
      <c r="AD204" s="1074"/>
      <c r="AE204" s="1074"/>
      <c r="AF204" s="1075"/>
      <c r="AG204" s="1076"/>
      <c r="AH204" s="1077" t="s">
        <v>973</v>
      </c>
      <c r="AI204" s="1115">
        <f>SUM(AI188:AI203)</f>
        <v>36934332</v>
      </c>
    </row>
    <row r="205" spans="1:35" s="45" customFormat="1">
      <c r="A205" s="584"/>
      <c r="B205" s="771"/>
      <c r="C205" s="102"/>
      <c r="D205" s="777"/>
      <c r="E205" s="780"/>
      <c r="F205" s="776"/>
      <c r="G205" s="774"/>
      <c r="H205" s="576"/>
      <c r="I205" s="575"/>
      <c r="J205" s="575"/>
      <c r="K205" s="575"/>
      <c r="L205" s="577"/>
      <c r="M205" s="578"/>
      <c r="N205" s="578"/>
      <c r="O205" s="95"/>
      <c r="P205" s="579"/>
      <c r="Q205" s="580"/>
      <c r="R205" s="580"/>
      <c r="S205" s="581"/>
      <c r="T205" s="582"/>
      <c r="U205" s="79"/>
      <c r="V205" s="621"/>
      <c r="W205" s="808"/>
      <c r="X205" s="44"/>
      <c r="Y205" s="44"/>
      <c r="Z205" s="44"/>
      <c r="AA205" s="102"/>
      <c r="AB205" s="777"/>
      <c r="AC205" s="771"/>
      <c r="AD205" s="1154"/>
      <c r="AE205" s="102"/>
      <c r="AF205" s="777"/>
      <c r="AG205" s="1059"/>
      <c r="AH205" s="776"/>
      <c r="AI205" s="774"/>
    </row>
    <row r="206" spans="1:35" s="45" customFormat="1" ht="15.75" thickBot="1">
      <c r="A206" s="584"/>
      <c r="B206" s="771"/>
      <c r="C206" s="102"/>
      <c r="D206" s="777"/>
      <c r="E206" s="780"/>
      <c r="F206" s="776"/>
      <c r="G206" s="774"/>
      <c r="H206" s="576"/>
      <c r="I206" s="575"/>
      <c r="J206" s="575"/>
      <c r="K206" s="575"/>
      <c r="L206" s="577"/>
      <c r="M206" s="578"/>
      <c r="N206" s="578"/>
      <c r="O206" s="95"/>
      <c r="P206" s="579"/>
      <c r="Q206" s="580"/>
      <c r="R206" s="580"/>
      <c r="S206" s="581"/>
      <c r="T206" s="582"/>
      <c r="U206" s="79"/>
      <c r="V206" s="621"/>
      <c r="W206" s="808"/>
      <c r="X206" s="44"/>
      <c r="Y206" s="44"/>
      <c r="Z206" s="44"/>
      <c r="AA206" s="102"/>
      <c r="AB206" s="777"/>
      <c r="AC206" s="771"/>
      <c r="AD206" s="1154"/>
      <c r="AE206" s="102"/>
      <c r="AF206" s="777"/>
      <c r="AG206" s="1059"/>
      <c r="AH206" s="776"/>
      <c r="AI206" s="774"/>
    </row>
    <row r="207" spans="1:35" s="45" customFormat="1" ht="15.75" hidden="1" customHeight="1" thickBot="1">
      <c r="A207" s="84" t="s">
        <v>40</v>
      </c>
      <c r="B207" s="74"/>
      <c r="C207" s="75" t="s">
        <v>478</v>
      </c>
      <c r="D207" s="87"/>
      <c r="E207" s="88"/>
      <c r="F207" s="89"/>
      <c r="G207" s="90"/>
      <c r="H207" s="91"/>
      <c r="I207" s="89"/>
      <c r="J207" s="89"/>
      <c r="K207" s="89"/>
      <c r="L207" s="92"/>
      <c r="M207" s="93"/>
      <c r="N207" s="94"/>
      <c r="O207" s="95"/>
      <c r="P207" s="96"/>
      <c r="Q207" s="97"/>
      <c r="R207" s="97"/>
      <c r="S207" s="98"/>
      <c r="T207" s="99"/>
      <c r="U207" s="79"/>
      <c r="V207" s="621"/>
      <c r="W207" s="807"/>
      <c r="X207" s="44"/>
      <c r="Y207" s="44"/>
      <c r="Z207" s="44"/>
      <c r="AA207" s="1060" t="s">
        <v>478</v>
      </c>
      <c r="AB207" s="87"/>
      <c r="AC207" s="1111"/>
      <c r="AD207" s="1156"/>
      <c r="AE207" s="1060" t="s">
        <v>478</v>
      </c>
      <c r="AF207" s="87"/>
      <c r="AG207" s="88"/>
      <c r="AH207" s="89"/>
      <c r="AI207" s="90"/>
    </row>
    <row r="208" spans="1:35" s="45" customFormat="1">
      <c r="A208" s="586"/>
      <c r="B208" s="74">
        <v>7</v>
      </c>
      <c r="C208" s="75" t="s">
        <v>478</v>
      </c>
      <c r="D208" s="76"/>
      <c r="E208" s="76"/>
      <c r="F208" s="76"/>
      <c r="G208" s="126"/>
      <c r="H208" s="588"/>
      <c r="I208" s="587"/>
      <c r="J208" s="587"/>
      <c r="K208" s="587"/>
      <c r="L208" s="589"/>
      <c r="M208" s="590"/>
      <c r="N208" s="591"/>
      <c r="O208" s="95"/>
      <c r="P208" s="579"/>
      <c r="Q208" s="580"/>
      <c r="R208" s="580"/>
      <c r="S208" s="581"/>
      <c r="T208" s="582"/>
      <c r="U208" s="79"/>
      <c r="V208" s="621"/>
      <c r="W208" s="808"/>
      <c r="X208" s="44"/>
      <c r="Y208" s="44"/>
      <c r="Z208" s="44"/>
      <c r="AA208" s="1060" t="s">
        <v>478</v>
      </c>
      <c r="AB208" s="1061"/>
      <c r="AC208" s="1111">
        <v>7</v>
      </c>
      <c r="AD208" s="1156"/>
      <c r="AE208" s="1060" t="s">
        <v>478</v>
      </c>
      <c r="AF208" s="1061"/>
      <c r="AG208" s="1061"/>
      <c r="AH208" s="1061"/>
      <c r="AI208" s="1113"/>
    </row>
    <row r="209" spans="1:35" s="45" customFormat="1">
      <c r="A209" s="586"/>
      <c r="B209" s="771"/>
      <c r="C209" s="788" t="s">
        <v>947</v>
      </c>
      <c r="D209" s="772"/>
      <c r="E209" s="773"/>
      <c r="F209" s="587"/>
      <c r="G209" s="774"/>
      <c r="H209" s="588"/>
      <c r="I209" s="587"/>
      <c r="J209" s="587"/>
      <c r="K209" s="587"/>
      <c r="L209" s="589"/>
      <c r="M209" s="590"/>
      <c r="N209" s="591"/>
      <c r="O209" s="95"/>
      <c r="P209" s="579"/>
      <c r="Q209" s="580"/>
      <c r="R209" s="580"/>
      <c r="S209" s="581"/>
      <c r="T209" s="582"/>
      <c r="U209" s="79"/>
      <c r="V209" s="621"/>
      <c r="W209" s="808"/>
      <c r="X209" s="44"/>
      <c r="Y209" s="44"/>
      <c r="Z209" s="44"/>
      <c r="AA209" s="788" t="s">
        <v>947</v>
      </c>
      <c r="AB209" s="772"/>
      <c r="AC209" s="771"/>
      <c r="AD209" s="1154"/>
      <c r="AE209" s="788" t="s">
        <v>947</v>
      </c>
      <c r="AF209" s="772"/>
      <c r="AG209" s="773"/>
      <c r="AH209" s="587"/>
      <c r="AI209" s="774"/>
    </row>
    <row r="210" spans="1:35" s="45" customFormat="1" ht="38.25">
      <c r="A210" s="586"/>
      <c r="B210" s="771">
        <v>7.1</v>
      </c>
      <c r="C210" s="102" t="s">
        <v>943</v>
      </c>
      <c r="D210" s="772" t="s">
        <v>139</v>
      </c>
      <c r="E210" s="587">
        <v>5018</v>
      </c>
      <c r="F210" s="587">
        <v>2610</v>
      </c>
      <c r="G210" s="774">
        <f>+E210*F210</f>
        <v>13096980</v>
      </c>
      <c r="H210" s="588"/>
      <c r="I210" s="587"/>
      <c r="J210" s="587"/>
      <c r="K210" s="587"/>
      <c r="L210" s="589"/>
      <c r="M210" s="590"/>
      <c r="N210" s="591"/>
      <c r="O210" s="95"/>
      <c r="P210" s="579"/>
      <c r="Q210" s="580"/>
      <c r="R210" s="580"/>
      <c r="S210" s="581"/>
      <c r="T210" s="582"/>
      <c r="U210" s="79"/>
      <c r="V210" s="621"/>
      <c r="W210" s="808"/>
      <c r="X210" s="44"/>
      <c r="Y210" s="44"/>
      <c r="Z210" s="44"/>
      <c r="AA210" s="102" t="s">
        <v>943</v>
      </c>
      <c r="AB210" s="772" t="s">
        <v>139</v>
      </c>
      <c r="AC210" s="771">
        <v>7.1</v>
      </c>
      <c r="AD210" s="1154"/>
      <c r="AE210" s="102" t="s">
        <v>943</v>
      </c>
      <c r="AF210" s="772" t="s">
        <v>139</v>
      </c>
      <c r="AG210" s="587">
        <v>5018</v>
      </c>
      <c r="AH210" s="587">
        <v>2610</v>
      </c>
      <c r="AI210" s="774">
        <f t="shared" ref="AI210:AI220" si="49">+AG210*AH210</f>
        <v>13096980</v>
      </c>
    </row>
    <row r="211" spans="1:35" s="45" customFormat="1" ht="38.25">
      <c r="A211" s="586"/>
      <c r="B211" s="771">
        <f>+B210+0.1</f>
        <v>7.1999999999999993</v>
      </c>
      <c r="C211" s="102" t="s">
        <v>1101</v>
      </c>
      <c r="D211" s="772" t="s">
        <v>139</v>
      </c>
      <c r="E211" s="587">
        <v>5018</v>
      </c>
      <c r="F211" s="587">
        <v>5190</v>
      </c>
      <c r="G211" s="774">
        <f t="shared" ref="G211:G215" si="50">+E211*F211</f>
        <v>26043420</v>
      </c>
      <c r="H211" s="588"/>
      <c r="I211" s="587"/>
      <c r="J211" s="587"/>
      <c r="K211" s="587"/>
      <c r="L211" s="589"/>
      <c r="M211" s="590"/>
      <c r="N211" s="591"/>
      <c r="O211" s="95"/>
      <c r="P211" s="579"/>
      <c r="Q211" s="580"/>
      <c r="R211" s="580"/>
      <c r="S211" s="581"/>
      <c r="T211" s="582"/>
      <c r="U211" s="79"/>
      <c r="V211" s="621"/>
      <c r="W211" s="808"/>
      <c r="X211" s="44"/>
      <c r="Y211" s="44"/>
      <c r="Z211" s="44"/>
      <c r="AA211" s="102" t="s">
        <v>1101</v>
      </c>
      <c r="AB211" s="772" t="s">
        <v>139</v>
      </c>
      <c r="AC211" s="771">
        <f>+AC210+0.1</f>
        <v>7.1999999999999993</v>
      </c>
      <c r="AD211" s="1154"/>
      <c r="AE211" s="102" t="s">
        <v>1101</v>
      </c>
      <c r="AF211" s="772" t="s">
        <v>139</v>
      </c>
      <c r="AG211" s="587">
        <v>5018</v>
      </c>
      <c r="AH211" s="587">
        <v>5190</v>
      </c>
      <c r="AI211" s="774">
        <f t="shared" si="49"/>
        <v>26043420</v>
      </c>
    </row>
    <row r="212" spans="1:35" s="45" customFormat="1" ht="63.75">
      <c r="A212" s="586"/>
      <c r="B212" s="771">
        <f t="shared" ref="B212" si="51">+B211+0.1</f>
        <v>7.2999999999999989</v>
      </c>
      <c r="C212" s="102" t="s">
        <v>941</v>
      </c>
      <c r="D212" s="777" t="s">
        <v>139</v>
      </c>
      <c r="E212" s="780">
        <v>609</v>
      </c>
      <c r="F212" s="587">
        <v>10240</v>
      </c>
      <c r="G212" s="774">
        <f t="shared" si="50"/>
        <v>6236160</v>
      </c>
      <c r="H212" s="588"/>
      <c r="I212" s="587"/>
      <c r="J212" s="587"/>
      <c r="K212" s="587"/>
      <c r="L212" s="589"/>
      <c r="M212" s="590"/>
      <c r="N212" s="591"/>
      <c r="O212" s="95"/>
      <c r="P212" s="579"/>
      <c r="Q212" s="580"/>
      <c r="R212" s="580"/>
      <c r="S212" s="581"/>
      <c r="T212" s="582"/>
      <c r="U212" s="79"/>
      <c r="V212" s="621"/>
      <c r="W212" s="808"/>
      <c r="X212" s="44"/>
      <c r="Y212" s="44"/>
      <c r="Z212" s="44"/>
      <c r="AA212" s="102" t="s">
        <v>941</v>
      </c>
      <c r="AB212" s="777" t="s">
        <v>139</v>
      </c>
      <c r="AC212" s="771">
        <f t="shared" ref="AC212:AC218" si="52">+AC211+0.1</f>
        <v>7.2999999999999989</v>
      </c>
      <c r="AD212" s="1154"/>
      <c r="AE212" s="102" t="s">
        <v>941</v>
      </c>
      <c r="AF212" s="777" t="s">
        <v>139</v>
      </c>
      <c r="AG212" s="587">
        <v>609</v>
      </c>
      <c r="AH212" s="587">
        <v>10240</v>
      </c>
      <c r="AI212" s="774">
        <f t="shared" si="49"/>
        <v>6236160</v>
      </c>
    </row>
    <row r="213" spans="1:35" s="45" customFormat="1" ht="51">
      <c r="A213" s="586"/>
      <c r="B213" s="771">
        <f>+B211+0.1</f>
        <v>7.2999999999999989</v>
      </c>
      <c r="C213" s="102" t="s">
        <v>497</v>
      </c>
      <c r="D213" s="777" t="s">
        <v>56</v>
      </c>
      <c r="E213" s="587">
        <v>617</v>
      </c>
      <c r="F213" s="587">
        <v>17220</v>
      </c>
      <c r="G213" s="774">
        <f t="shared" si="50"/>
        <v>10624740</v>
      </c>
      <c r="H213" s="588"/>
      <c r="I213" s="587"/>
      <c r="J213" s="587"/>
      <c r="K213" s="587"/>
      <c r="L213" s="589"/>
      <c r="M213" s="590"/>
      <c r="N213" s="591"/>
      <c r="O213" s="95"/>
      <c r="P213" s="579"/>
      <c r="Q213" s="580"/>
      <c r="R213" s="580"/>
      <c r="S213" s="581"/>
      <c r="T213" s="582"/>
      <c r="U213" s="79"/>
      <c r="V213" s="621"/>
      <c r="W213" s="808"/>
      <c r="X213" s="44"/>
      <c r="Y213" s="44"/>
      <c r="Z213" s="44"/>
      <c r="AA213" s="102" t="s">
        <v>497</v>
      </c>
      <c r="AB213" s="777" t="s">
        <v>56</v>
      </c>
      <c r="AC213" s="771">
        <f t="shared" si="52"/>
        <v>7.3999999999999986</v>
      </c>
      <c r="AD213" s="1154"/>
      <c r="AE213" s="102" t="s">
        <v>497</v>
      </c>
      <c r="AF213" s="777" t="s">
        <v>56</v>
      </c>
      <c r="AG213" s="587">
        <v>617</v>
      </c>
      <c r="AH213" s="587">
        <v>17220</v>
      </c>
      <c r="AI213" s="774">
        <f t="shared" si="49"/>
        <v>10624740</v>
      </c>
    </row>
    <row r="214" spans="1:35" s="45" customFormat="1" ht="63.75">
      <c r="A214" s="127">
        <v>290304</v>
      </c>
      <c r="B214" s="771">
        <f t="shared" ref="B214:B220" si="53">+B213+0.1</f>
        <v>7.3999999999999986</v>
      </c>
      <c r="C214" s="782" t="s">
        <v>981</v>
      </c>
      <c r="D214" s="790" t="s">
        <v>938</v>
      </c>
      <c r="E214" s="587">
        <v>181</v>
      </c>
      <c r="F214" s="587">
        <v>573533</v>
      </c>
      <c r="G214" s="774">
        <f t="shared" si="50"/>
        <v>103809473</v>
      </c>
      <c r="H214" s="576">
        <v>5550</v>
      </c>
      <c r="I214" s="25">
        <v>7369</v>
      </c>
      <c r="J214" s="25">
        <v>1</v>
      </c>
      <c r="K214" s="25">
        <v>2</v>
      </c>
      <c r="L214" s="28">
        <v>3345526</v>
      </c>
      <c r="M214" s="29">
        <v>2519700</v>
      </c>
      <c r="N214" s="29">
        <v>2519700</v>
      </c>
      <c r="O214" s="95"/>
      <c r="P214" s="96"/>
      <c r="Q214" s="97">
        <v>103998</v>
      </c>
      <c r="R214" s="97">
        <v>1431706</v>
      </c>
      <c r="S214" s="98">
        <v>983804</v>
      </c>
      <c r="T214" s="99"/>
      <c r="U214" s="79"/>
      <c r="V214" s="621">
        <v>44</v>
      </c>
      <c r="W214" s="808"/>
      <c r="X214" s="216"/>
      <c r="Y214" s="829"/>
      <c r="Z214" s="833"/>
      <c r="AA214" s="1062" t="s">
        <v>981</v>
      </c>
      <c r="AB214" s="1086" t="s">
        <v>938</v>
      </c>
      <c r="AC214" s="771">
        <f t="shared" si="52"/>
        <v>7.4999999999999982</v>
      </c>
      <c r="AD214" s="1154"/>
      <c r="AE214" s="1062" t="s">
        <v>981</v>
      </c>
      <c r="AF214" s="1086" t="s">
        <v>938</v>
      </c>
      <c r="AG214" s="587">
        <v>181</v>
      </c>
      <c r="AH214" s="587">
        <v>573533</v>
      </c>
      <c r="AI214" s="774">
        <f t="shared" si="49"/>
        <v>103809473</v>
      </c>
    </row>
    <row r="215" spans="1:35" s="45" customFormat="1" ht="38.25">
      <c r="A215" s="584"/>
      <c r="B215" s="771">
        <f t="shared" si="53"/>
        <v>7.4999999999999982</v>
      </c>
      <c r="C215" s="782" t="s">
        <v>993</v>
      </c>
      <c r="D215" s="790" t="s">
        <v>56</v>
      </c>
      <c r="E215" s="587">
        <v>922</v>
      </c>
      <c r="F215" s="587">
        <v>30000</v>
      </c>
      <c r="G215" s="774">
        <f t="shared" si="50"/>
        <v>27660000</v>
      </c>
      <c r="H215" s="576"/>
      <c r="I215" s="575"/>
      <c r="J215" s="575"/>
      <c r="K215" s="575"/>
      <c r="L215" s="577"/>
      <c r="M215" s="578"/>
      <c r="N215" s="578"/>
      <c r="O215" s="95"/>
      <c r="P215" s="579"/>
      <c r="Q215" s="580"/>
      <c r="R215" s="580"/>
      <c r="S215" s="581"/>
      <c r="T215" s="582"/>
      <c r="U215" s="79"/>
      <c r="V215" s="621"/>
      <c r="W215" s="808"/>
      <c r="X215" s="44"/>
      <c r="Y215" s="44"/>
      <c r="Z215" s="44"/>
      <c r="AA215" s="1062" t="s">
        <v>993</v>
      </c>
      <c r="AB215" s="1086" t="s">
        <v>56</v>
      </c>
      <c r="AC215" s="771">
        <f t="shared" si="52"/>
        <v>7.5999999999999979</v>
      </c>
      <c r="AD215" s="1154"/>
      <c r="AE215" s="1062" t="s">
        <v>993</v>
      </c>
      <c r="AF215" s="1086" t="s">
        <v>56</v>
      </c>
      <c r="AG215" s="587">
        <v>922</v>
      </c>
      <c r="AH215" s="587">
        <v>30000</v>
      </c>
      <c r="AI215" s="774">
        <f t="shared" si="49"/>
        <v>27660000</v>
      </c>
    </row>
    <row r="216" spans="1:35" s="45" customFormat="1" ht="63.75">
      <c r="A216" s="143">
        <v>290430</v>
      </c>
      <c r="B216" s="771">
        <f t="shared" si="53"/>
        <v>7.5999999999999979</v>
      </c>
      <c r="C216" s="102" t="s">
        <v>976</v>
      </c>
      <c r="D216" s="772" t="s">
        <v>139</v>
      </c>
      <c r="E216" s="587">
        <v>122</v>
      </c>
      <c r="F216" s="837">
        <v>614040</v>
      </c>
      <c r="G216" s="774">
        <f>+E216*F216</f>
        <v>74912880</v>
      </c>
      <c r="H216" s="576">
        <v>10638</v>
      </c>
      <c r="I216" s="25">
        <v>14125</v>
      </c>
      <c r="J216" s="25">
        <v>1</v>
      </c>
      <c r="K216" s="25">
        <v>1</v>
      </c>
      <c r="L216" s="28">
        <v>1186500</v>
      </c>
      <c r="M216" s="29">
        <v>893592</v>
      </c>
      <c r="N216" s="29">
        <v>893592</v>
      </c>
      <c r="O216" s="95"/>
      <c r="P216" s="96"/>
      <c r="Q216" s="97">
        <v>29433</v>
      </c>
      <c r="R216" s="97">
        <v>588668</v>
      </c>
      <c r="S216" s="98">
        <v>275486</v>
      </c>
      <c r="T216" s="99"/>
      <c r="U216" s="79"/>
      <c r="V216" s="621">
        <v>46</v>
      </c>
      <c r="W216" s="808"/>
      <c r="X216" s="44"/>
      <c r="Y216" s="44"/>
      <c r="Z216" s="44"/>
      <c r="AA216" s="102" t="s">
        <v>976</v>
      </c>
      <c r="AB216" s="772" t="s">
        <v>139</v>
      </c>
      <c r="AC216" s="771">
        <f t="shared" si="52"/>
        <v>7.6999999999999975</v>
      </c>
      <c r="AD216" s="1154"/>
      <c r="AE216" s="102" t="s">
        <v>976</v>
      </c>
      <c r="AF216" s="772" t="s">
        <v>139</v>
      </c>
      <c r="AG216" s="587">
        <v>122</v>
      </c>
      <c r="AH216" s="837">
        <v>614040</v>
      </c>
      <c r="AI216" s="774">
        <f t="shared" si="49"/>
        <v>74912880</v>
      </c>
    </row>
    <row r="217" spans="1:35" s="45" customFormat="1" ht="38.25">
      <c r="A217" s="584"/>
      <c r="B217" s="771">
        <f t="shared" si="53"/>
        <v>7.6999999999999975</v>
      </c>
      <c r="C217" s="102" t="s">
        <v>939</v>
      </c>
      <c r="D217" s="772" t="s">
        <v>139</v>
      </c>
      <c r="E217" s="587">
        <v>135</v>
      </c>
      <c r="F217" s="587">
        <v>594610</v>
      </c>
      <c r="G217" s="774">
        <f>+E217*F217</f>
        <v>80272350</v>
      </c>
      <c r="H217" s="576"/>
      <c r="I217" s="575"/>
      <c r="J217" s="575"/>
      <c r="K217" s="575"/>
      <c r="L217" s="577"/>
      <c r="M217" s="578"/>
      <c r="N217" s="585"/>
      <c r="O217" s="95"/>
      <c r="P217" s="579"/>
      <c r="Q217" s="580"/>
      <c r="R217" s="580"/>
      <c r="S217" s="581"/>
      <c r="T217" s="582"/>
      <c r="U217" s="79"/>
      <c r="V217" s="621"/>
      <c r="W217" s="808"/>
      <c r="X217" s="44"/>
      <c r="Y217" s="44"/>
      <c r="Z217" s="44"/>
      <c r="AA217" s="102" t="s">
        <v>939</v>
      </c>
      <c r="AB217" s="772" t="s">
        <v>139</v>
      </c>
      <c r="AC217" s="771">
        <f t="shared" si="52"/>
        <v>7.7999999999999972</v>
      </c>
      <c r="AD217" s="1154"/>
      <c r="AE217" s="102" t="s">
        <v>939</v>
      </c>
      <c r="AF217" s="772" t="s">
        <v>139</v>
      </c>
      <c r="AG217" s="587">
        <v>135</v>
      </c>
      <c r="AH217" s="587">
        <v>594610</v>
      </c>
      <c r="AI217" s="774">
        <f t="shared" si="49"/>
        <v>80272350</v>
      </c>
    </row>
    <row r="218" spans="1:35" s="45" customFormat="1" ht="51">
      <c r="A218" s="584"/>
      <c r="B218" s="771">
        <f t="shared" si="53"/>
        <v>7.7999999999999972</v>
      </c>
      <c r="C218" s="102" t="s">
        <v>985</v>
      </c>
      <c r="D218" s="772" t="s">
        <v>22</v>
      </c>
      <c r="E218" s="587">
        <v>2</v>
      </c>
      <c r="F218" s="587">
        <v>922480</v>
      </c>
      <c r="G218" s="774">
        <f>+E218*F218</f>
        <v>1844960</v>
      </c>
      <c r="H218" s="576"/>
      <c r="I218" s="575"/>
      <c r="J218" s="575"/>
      <c r="K218" s="575"/>
      <c r="L218" s="577"/>
      <c r="M218" s="578"/>
      <c r="N218" s="585"/>
      <c r="O218" s="95"/>
      <c r="P218" s="579"/>
      <c r="Q218" s="580"/>
      <c r="R218" s="580"/>
      <c r="S218" s="581"/>
      <c r="T218" s="582"/>
      <c r="U218" s="79"/>
      <c r="V218" s="621"/>
      <c r="W218" s="808"/>
      <c r="X218" s="44"/>
      <c r="Y218" s="44"/>
      <c r="Z218" s="44"/>
      <c r="AA218" s="102" t="s">
        <v>985</v>
      </c>
      <c r="AB218" s="772" t="s">
        <v>22</v>
      </c>
      <c r="AC218" s="771">
        <f t="shared" si="52"/>
        <v>7.8999999999999968</v>
      </c>
      <c r="AD218" s="1154"/>
      <c r="AE218" s="102" t="s">
        <v>985</v>
      </c>
      <c r="AF218" s="772" t="s">
        <v>22</v>
      </c>
      <c r="AG218" s="587">
        <v>2</v>
      </c>
      <c r="AH218" s="587">
        <v>922480</v>
      </c>
      <c r="AI218" s="774">
        <f t="shared" si="49"/>
        <v>1844960</v>
      </c>
    </row>
    <row r="219" spans="1:35" s="45" customFormat="1" ht="51">
      <c r="A219" s="584"/>
      <c r="B219" s="771">
        <f t="shared" si="53"/>
        <v>7.8999999999999968</v>
      </c>
      <c r="C219" s="102" t="s">
        <v>986</v>
      </c>
      <c r="D219" s="772" t="s">
        <v>22</v>
      </c>
      <c r="E219" s="587">
        <v>2</v>
      </c>
      <c r="F219" s="587">
        <v>2202372</v>
      </c>
      <c r="G219" s="774">
        <f>+E219*F219</f>
        <v>4404744</v>
      </c>
      <c r="H219" s="576"/>
      <c r="I219" s="575"/>
      <c r="J219" s="575"/>
      <c r="K219" s="575"/>
      <c r="L219" s="577"/>
      <c r="M219" s="578"/>
      <c r="N219" s="585"/>
      <c r="O219" s="95"/>
      <c r="P219" s="579"/>
      <c r="Q219" s="580"/>
      <c r="R219" s="580"/>
      <c r="S219" s="581"/>
      <c r="T219" s="582"/>
      <c r="U219" s="79"/>
      <c r="V219" s="621"/>
      <c r="W219" s="808"/>
      <c r="X219" s="44"/>
      <c r="Y219" s="44"/>
      <c r="Z219" s="44"/>
      <c r="AA219" s="102" t="s">
        <v>986</v>
      </c>
      <c r="AB219" s="772" t="s">
        <v>22</v>
      </c>
      <c r="AC219" s="779">
        <v>7.1</v>
      </c>
      <c r="AD219" s="1161"/>
      <c r="AE219" s="102" t="s">
        <v>986</v>
      </c>
      <c r="AF219" s="772" t="s">
        <v>22</v>
      </c>
      <c r="AG219" s="587">
        <v>2</v>
      </c>
      <c r="AH219" s="587">
        <v>2202372</v>
      </c>
      <c r="AI219" s="774">
        <f t="shared" si="49"/>
        <v>4404744</v>
      </c>
    </row>
    <row r="220" spans="1:35" s="45" customFormat="1" ht="51">
      <c r="A220" s="584"/>
      <c r="B220" s="771">
        <f t="shared" si="53"/>
        <v>7.9999999999999964</v>
      </c>
      <c r="C220" s="102" t="s">
        <v>994</v>
      </c>
      <c r="D220" s="777" t="s">
        <v>22</v>
      </c>
      <c r="E220" s="780">
        <v>2</v>
      </c>
      <c r="F220" s="587">
        <v>118070</v>
      </c>
      <c r="G220" s="774">
        <f>+E220*F220</f>
        <v>236140</v>
      </c>
      <c r="H220" s="576"/>
      <c r="I220" s="575"/>
      <c r="J220" s="575"/>
      <c r="K220" s="575"/>
      <c r="L220" s="577"/>
      <c r="M220" s="578"/>
      <c r="N220" s="585"/>
      <c r="O220" s="95"/>
      <c r="P220" s="579"/>
      <c r="Q220" s="580"/>
      <c r="R220" s="580"/>
      <c r="S220" s="581"/>
      <c r="T220" s="582"/>
      <c r="U220" s="79"/>
      <c r="V220" s="621"/>
      <c r="W220" s="808"/>
      <c r="X220" s="44"/>
      <c r="Y220" s="44"/>
      <c r="Z220" s="44"/>
      <c r="AA220" s="102" t="s">
        <v>994</v>
      </c>
      <c r="AB220" s="777" t="s">
        <v>22</v>
      </c>
      <c r="AC220" s="779">
        <v>7.11</v>
      </c>
      <c r="AD220" s="1161"/>
      <c r="AE220" s="102" t="s">
        <v>994</v>
      </c>
      <c r="AF220" s="777" t="s">
        <v>22</v>
      </c>
      <c r="AG220" s="1059">
        <v>2</v>
      </c>
      <c r="AH220" s="587">
        <v>118070</v>
      </c>
      <c r="AI220" s="774">
        <f t="shared" si="49"/>
        <v>236140</v>
      </c>
    </row>
    <row r="221" spans="1:35" s="45" customFormat="1">
      <c r="A221" s="105"/>
      <c r="B221" s="139"/>
      <c r="C221" s="140"/>
      <c r="D221" s="23"/>
      <c r="E221" s="107"/>
      <c r="F221" s="25"/>
      <c r="G221" s="795"/>
      <c r="H221" s="576"/>
      <c r="I221" s="25"/>
      <c r="J221" s="25"/>
      <c r="K221" s="25"/>
      <c r="L221" s="109"/>
      <c r="M221" s="110"/>
      <c r="N221" s="111"/>
      <c r="O221" s="95"/>
      <c r="P221" s="96"/>
      <c r="Q221" s="97"/>
      <c r="R221" s="97"/>
      <c r="S221" s="98"/>
      <c r="T221" s="99"/>
      <c r="U221" s="79"/>
      <c r="V221" s="621"/>
      <c r="W221" s="807"/>
      <c r="X221" s="44"/>
      <c r="Y221" s="44"/>
      <c r="Z221" s="44"/>
      <c r="AA221" s="593"/>
      <c r="AB221" s="999"/>
      <c r="AC221" s="592"/>
      <c r="AD221" s="1159"/>
      <c r="AE221" s="593"/>
      <c r="AF221" s="999"/>
      <c r="AG221" s="1000"/>
      <c r="AH221" s="575"/>
      <c r="AI221" s="795"/>
    </row>
    <row r="222" spans="1:35" s="45" customFormat="1" ht="15.75" thickBot="1">
      <c r="A222" s="112" t="s">
        <v>46</v>
      </c>
      <c r="B222" s="113"/>
      <c r="C222" s="114"/>
      <c r="D222" s="115"/>
      <c r="E222" s="116"/>
      <c r="F222" s="117" t="s">
        <v>479</v>
      </c>
      <c r="G222" s="118">
        <f>SUM(G210:G221)</f>
        <v>349141847</v>
      </c>
      <c r="H222" s="576"/>
      <c r="I222" s="25"/>
      <c r="J222" s="25"/>
      <c r="K222" s="25"/>
      <c r="L222" s="109"/>
      <c r="M222" s="110"/>
      <c r="N222" s="119">
        <v>8571640</v>
      </c>
      <c r="O222" s="95"/>
      <c r="P222" s="120">
        <v>0</v>
      </c>
      <c r="Q222" s="121">
        <v>303531</v>
      </c>
      <c r="R222" s="121">
        <v>4125784</v>
      </c>
      <c r="S222" s="122">
        <v>4141954</v>
      </c>
      <c r="T222" s="123">
        <v>0</v>
      </c>
      <c r="U222" s="79"/>
      <c r="V222" s="621"/>
      <c r="W222" s="807"/>
      <c r="X222" s="44"/>
      <c r="Y222" s="44"/>
      <c r="Z222" s="44"/>
      <c r="AA222" s="1064"/>
      <c r="AB222" s="1065"/>
      <c r="AC222" s="1116"/>
      <c r="AD222" s="1160"/>
      <c r="AE222" s="1064"/>
      <c r="AF222" s="1065"/>
      <c r="AG222" s="1066"/>
      <c r="AH222" s="1073" t="s">
        <v>479</v>
      </c>
      <c r="AI222" s="1117">
        <f>SUM(AI210:AI221)</f>
        <v>349141847</v>
      </c>
    </row>
    <row r="223" spans="1:35" s="45" customFormat="1" ht="15" hidden="1" customHeight="1">
      <c r="A223" s="84" t="s">
        <v>40</v>
      </c>
      <c r="B223" s="779"/>
      <c r="C223" s="102"/>
      <c r="D223" s="777"/>
      <c r="E223" s="780"/>
      <c r="F223" s="776">
        <v>38550</v>
      </c>
      <c r="G223" s="774">
        <f t="shared" ref="G223" si="54">E223*F223</f>
        <v>0</v>
      </c>
      <c r="H223" s="91"/>
      <c r="I223" s="89"/>
      <c r="J223" s="89"/>
      <c r="K223" s="89"/>
      <c r="L223" s="92"/>
      <c r="M223" s="93"/>
      <c r="N223" s="94"/>
      <c r="O223" s="95"/>
      <c r="P223" s="96"/>
      <c r="Q223" s="97"/>
      <c r="R223" s="97"/>
      <c r="S223" s="98"/>
      <c r="T223" s="99"/>
      <c r="U223" s="79"/>
      <c r="V223" s="621"/>
      <c r="W223" s="807"/>
      <c r="X223" s="44"/>
      <c r="Y223" s="44"/>
      <c r="Z223" s="44"/>
      <c r="AA223" s="102"/>
      <c r="AB223" s="777"/>
      <c r="AC223" s="779"/>
      <c r="AD223" s="1161"/>
      <c r="AE223" s="102"/>
      <c r="AF223" s="777"/>
      <c r="AG223" s="1059"/>
      <c r="AH223" s="776">
        <v>38550</v>
      </c>
      <c r="AI223" s="774">
        <f>AG223*AH223</f>
        <v>0</v>
      </c>
    </row>
    <row r="224" spans="1:35" s="45" customFormat="1">
      <c r="A224" s="586"/>
      <c r="B224" s="771"/>
      <c r="C224" s="102"/>
      <c r="D224" s="777"/>
      <c r="E224" s="780"/>
      <c r="F224" s="587"/>
      <c r="G224" s="774"/>
      <c r="H224" s="588"/>
      <c r="I224" s="587"/>
      <c r="J224" s="587"/>
      <c r="K224" s="587"/>
      <c r="L224" s="589"/>
      <c r="M224" s="590"/>
      <c r="N224" s="591"/>
      <c r="O224" s="95"/>
      <c r="P224" s="579"/>
      <c r="Q224" s="580"/>
      <c r="R224" s="580"/>
      <c r="S224" s="581"/>
      <c r="T224" s="582"/>
      <c r="U224" s="79"/>
      <c r="V224" s="621"/>
      <c r="W224" s="808"/>
      <c r="X224" s="44"/>
      <c r="Y224" s="44"/>
      <c r="Z224" s="44"/>
      <c r="AA224" s="102"/>
      <c r="AB224" s="777"/>
      <c r="AC224" s="771"/>
      <c r="AD224" s="1154"/>
      <c r="AE224" s="102"/>
      <c r="AF224" s="777"/>
      <c r="AG224" s="1059"/>
      <c r="AH224" s="587"/>
      <c r="AI224" s="774"/>
    </row>
    <row r="225" spans="1:35" s="45" customFormat="1" ht="51">
      <c r="A225" s="586"/>
      <c r="B225" s="771">
        <v>7.12</v>
      </c>
      <c r="C225" s="102" t="s">
        <v>522</v>
      </c>
      <c r="D225" s="777" t="s">
        <v>142</v>
      </c>
      <c r="E225" s="780">
        <v>11700</v>
      </c>
      <c r="F225" s="587">
        <v>3100</v>
      </c>
      <c r="G225" s="774">
        <f>+E225*F227</f>
        <v>52650000</v>
      </c>
      <c r="H225" s="588"/>
      <c r="I225" s="587"/>
      <c r="J225" s="587"/>
      <c r="K225" s="587"/>
      <c r="L225" s="589"/>
      <c r="M225" s="590"/>
      <c r="N225" s="591"/>
      <c r="O225" s="95"/>
      <c r="P225" s="579"/>
      <c r="Q225" s="580"/>
      <c r="R225" s="580"/>
      <c r="S225" s="581"/>
      <c r="T225" s="582"/>
      <c r="U225" s="79"/>
      <c r="V225" s="621"/>
      <c r="W225" s="808"/>
      <c r="X225" s="44"/>
      <c r="Y225" s="44"/>
      <c r="Z225" s="44"/>
      <c r="AA225" s="102" t="s">
        <v>522</v>
      </c>
      <c r="AB225" s="777" t="s">
        <v>142</v>
      </c>
      <c r="AC225" s="771">
        <v>7.12</v>
      </c>
      <c r="AD225" s="1154"/>
      <c r="AE225" s="102" t="s">
        <v>522</v>
      </c>
      <c r="AF225" s="777" t="s">
        <v>142</v>
      </c>
      <c r="AG225" s="1059">
        <v>11700</v>
      </c>
      <c r="AH225" s="587">
        <v>3100</v>
      </c>
      <c r="AI225" s="774">
        <f>+AG225*AH227</f>
        <v>52650000</v>
      </c>
    </row>
    <row r="226" spans="1:35" s="45" customFormat="1" ht="25.5">
      <c r="A226" s="586"/>
      <c r="B226" s="771">
        <f>+B225+0.01</f>
        <v>7.13</v>
      </c>
      <c r="C226" s="102" t="s">
        <v>508</v>
      </c>
      <c r="D226" s="777" t="s">
        <v>500</v>
      </c>
      <c r="E226" s="780">
        <v>124</v>
      </c>
      <c r="F226" s="587">
        <v>18420</v>
      </c>
      <c r="G226" s="774">
        <f t="shared" ref="G226" si="55">E226*F226</f>
        <v>2284080</v>
      </c>
      <c r="H226" s="588"/>
      <c r="I226" s="587"/>
      <c r="J226" s="587"/>
      <c r="K226" s="587"/>
      <c r="L226" s="589"/>
      <c r="M226" s="590"/>
      <c r="N226" s="591"/>
      <c r="O226" s="95"/>
      <c r="P226" s="579"/>
      <c r="Q226" s="580"/>
      <c r="R226" s="580"/>
      <c r="S226" s="581"/>
      <c r="T226" s="582"/>
      <c r="U226" s="79"/>
      <c r="V226" s="621"/>
      <c r="W226" s="808"/>
      <c r="X226" s="44"/>
      <c r="Y226" s="44"/>
      <c r="Z226" s="44"/>
      <c r="AA226" s="102" t="s">
        <v>508</v>
      </c>
      <c r="AB226" s="777" t="s">
        <v>500</v>
      </c>
      <c r="AC226" s="771">
        <f>+AC225+0.01</f>
        <v>7.13</v>
      </c>
      <c r="AD226" s="1154"/>
      <c r="AE226" s="102" t="s">
        <v>508</v>
      </c>
      <c r="AF226" s="777" t="s">
        <v>500</v>
      </c>
      <c r="AG226" s="1059">
        <v>124</v>
      </c>
      <c r="AH226" s="587">
        <v>18420</v>
      </c>
      <c r="AI226" s="774">
        <f>AG226*AH226</f>
        <v>2284080</v>
      </c>
    </row>
    <row r="227" spans="1:35" s="45" customFormat="1" ht="25.5">
      <c r="A227" s="586"/>
      <c r="B227" s="771">
        <f t="shared" ref="B227:B250" si="56">+B226+0.01</f>
        <v>7.14</v>
      </c>
      <c r="C227" s="102" t="s">
        <v>942</v>
      </c>
      <c r="D227" s="777" t="s">
        <v>56</v>
      </c>
      <c r="E227" s="780">
        <v>183</v>
      </c>
      <c r="F227" s="587">
        <v>4500</v>
      </c>
      <c r="G227" s="774">
        <f t="shared" ref="G227:G228" si="57">+E227*F228</f>
        <v>11538150</v>
      </c>
      <c r="H227" s="588"/>
      <c r="I227" s="587"/>
      <c r="J227" s="587"/>
      <c r="K227" s="587"/>
      <c r="L227" s="589"/>
      <c r="M227" s="590"/>
      <c r="N227" s="591"/>
      <c r="O227" s="95"/>
      <c r="P227" s="579"/>
      <c r="Q227" s="580"/>
      <c r="R227" s="580"/>
      <c r="S227" s="581"/>
      <c r="T227" s="582"/>
      <c r="U227" s="79"/>
      <c r="V227" s="621"/>
      <c r="W227" s="808"/>
      <c r="X227" s="44"/>
      <c r="Y227" s="44"/>
      <c r="Z227" s="44"/>
      <c r="AA227" s="102" t="s">
        <v>942</v>
      </c>
      <c r="AB227" s="777" t="s">
        <v>56</v>
      </c>
      <c r="AC227" s="771">
        <f t="shared" ref="AC227:AC250" si="58">+AC226+0.01</f>
        <v>7.14</v>
      </c>
      <c r="AD227" s="1154"/>
      <c r="AE227" s="102" t="s">
        <v>942</v>
      </c>
      <c r="AF227" s="777" t="s">
        <v>56</v>
      </c>
      <c r="AG227" s="1059">
        <v>183</v>
      </c>
      <c r="AH227" s="587">
        <v>4500</v>
      </c>
      <c r="AI227" s="774">
        <f>+AG227*AH228</f>
        <v>11538150</v>
      </c>
    </row>
    <row r="228" spans="1:35" s="45" customFormat="1" ht="38.25">
      <c r="A228" s="586"/>
      <c r="B228" s="771">
        <f t="shared" si="56"/>
        <v>7.1499999999999995</v>
      </c>
      <c r="C228" s="102" t="s">
        <v>984</v>
      </c>
      <c r="D228" s="777" t="s">
        <v>139</v>
      </c>
      <c r="E228" s="780">
        <v>20</v>
      </c>
      <c r="F228" s="587">
        <v>63050</v>
      </c>
      <c r="G228" s="774">
        <f t="shared" si="57"/>
        <v>586600</v>
      </c>
      <c r="H228" s="588"/>
      <c r="I228" s="587"/>
      <c r="J228" s="587"/>
      <c r="K228" s="587"/>
      <c r="L228" s="589"/>
      <c r="M228" s="590"/>
      <c r="N228" s="591"/>
      <c r="O228" s="95"/>
      <c r="P228" s="579"/>
      <c r="Q228" s="580"/>
      <c r="R228" s="580"/>
      <c r="S228" s="581"/>
      <c r="T228" s="582"/>
      <c r="U228" s="79"/>
      <c r="V228" s="621"/>
      <c r="W228" s="808"/>
      <c r="X228" s="44"/>
      <c r="Y228" s="44"/>
      <c r="Z228" s="44"/>
      <c r="AA228" s="102" t="s">
        <v>984</v>
      </c>
      <c r="AB228" s="777" t="s">
        <v>139</v>
      </c>
      <c r="AC228" s="771">
        <f t="shared" si="58"/>
        <v>7.1499999999999995</v>
      </c>
      <c r="AD228" s="1154"/>
      <c r="AE228" s="102" t="s">
        <v>984</v>
      </c>
      <c r="AF228" s="777" t="s">
        <v>139</v>
      </c>
      <c r="AG228" s="1059">
        <v>20</v>
      </c>
      <c r="AH228" s="587">
        <v>63050</v>
      </c>
      <c r="AI228" s="774">
        <f>+AG228*AH229</f>
        <v>586600</v>
      </c>
    </row>
    <row r="229" spans="1:35" s="45" customFormat="1" ht="25.5">
      <c r="A229" s="586"/>
      <c r="B229" s="771">
        <f t="shared" si="56"/>
        <v>7.1599999999999993</v>
      </c>
      <c r="C229" s="102" t="s">
        <v>946</v>
      </c>
      <c r="D229" s="777" t="s">
        <v>540</v>
      </c>
      <c r="E229" s="780">
        <v>147</v>
      </c>
      <c r="F229" s="587">
        <v>29330</v>
      </c>
      <c r="G229" s="774">
        <f>+E229*F229</f>
        <v>4311510</v>
      </c>
      <c r="H229" s="588"/>
      <c r="I229" s="587"/>
      <c r="J229" s="587"/>
      <c r="K229" s="587"/>
      <c r="L229" s="589"/>
      <c r="M229" s="590"/>
      <c r="N229" s="591"/>
      <c r="O229" s="95"/>
      <c r="P229" s="579"/>
      <c r="Q229" s="580"/>
      <c r="R229" s="580"/>
      <c r="S229" s="581"/>
      <c r="T229" s="582"/>
      <c r="U229" s="79"/>
      <c r="V229" s="621"/>
      <c r="W229" s="808"/>
      <c r="X229" s="44"/>
      <c r="Y229" s="44"/>
      <c r="Z229" s="44"/>
      <c r="AA229" s="102" t="s">
        <v>946</v>
      </c>
      <c r="AB229" s="777" t="s">
        <v>540</v>
      </c>
      <c r="AC229" s="771">
        <f t="shared" si="58"/>
        <v>7.1599999999999993</v>
      </c>
      <c r="AD229" s="1154"/>
      <c r="AE229" s="102" t="s">
        <v>946</v>
      </c>
      <c r="AF229" s="777" t="s">
        <v>540</v>
      </c>
      <c r="AG229" s="1059">
        <v>147</v>
      </c>
      <c r="AH229" s="587">
        <v>29330</v>
      </c>
      <c r="AI229" s="774">
        <f>+AG229*AH229</f>
        <v>4311510</v>
      </c>
    </row>
    <row r="230" spans="1:35" s="45" customFormat="1" ht="25.5">
      <c r="A230" s="586"/>
      <c r="B230" s="771">
        <f t="shared" si="56"/>
        <v>7.169999999999999</v>
      </c>
      <c r="C230" s="782" t="s">
        <v>1428</v>
      </c>
      <c r="D230" s="777" t="s">
        <v>22</v>
      </c>
      <c r="E230" s="780">
        <v>1</v>
      </c>
      <c r="F230" s="587">
        <v>21450</v>
      </c>
      <c r="G230" s="774">
        <f>+E230*F230</f>
        <v>21450</v>
      </c>
      <c r="H230" s="588"/>
      <c r="I230" s="587"/>
      <c r="J230" s="587"/>
      <c r="K230" s="587"/>
      <c r="L230" s="589"/>
      <c r="M230" s="590"/>
      <c r="N230" s="591"/>
      <c r="O230" s="95"/>
      <c r="P230" s="579"/>
      <c r="Q230" s="580"/>
      <c r="R230" s="580"/>
      <c r="S230" s="581"/>
      <c r="T230" s="582"/>
      <c r="U230" s="79"/>
      <c r="V230" s="621"/>
      <c r="W230" s="808"/>
      <c r="X230" s="44"/>
      <c r="Y230" s="44"/>
      <c r="Z230" s="44"/>
      <c r="AA230" s="1062" t="s">
        <v>1428</v>
      </c>
      <c r="AB230" s="777" t="s">
        <v>22</v>
      </c>
      <c r="AC230" s="771">
        <f t="shared" si="58"/>
        <v>7.169999999999999</v>
      </c>
      <c r="AD230" s="1154"/>
      <c r="AE230" s="1062" t="s">
        <v>1428</v>
      </c>
      <c r="AF230" s="777" t="s">
        <v>22</v>
      </c>
      <c r="AG230" s="1059">
        <v>1</v>
      </c>
      <c r="AH230" s="587">
        <v>21450</v>
      </c>
      <c r="AI230" s="774">
        <f>+AG230*AH230</f>
        <v>21450</v>
      </c>
    </row>
    <row r="231" spans="1:35" s="45" customFormat="1" ht="51">
      <c r="A231" s="586"/>
      <c r="B231" s="771">
        <f t="shared" si="56"/>
        <v>7.1799999999999988</v>
      </c>
      <c r="C231" s="782" t="s">
        <v>999</v>
      </c>
      <c r="D231" s="790" t="s">
        <v>22</v>
      </c>
      <c r="E231" s="791">
        <v>2</v>
      </c>
      <c r="F231" s="850">
        <v>612360</v>
      </c>
      <c r="G231" s="774">
        <f t="shared" ref="G231:G250" si="59">+E231*F231</f>
        <v>1224720</v>
      </c>
      <c r="H231" s="588"/>
      <c r="I231" s="587"/>
      <c r="J231" s="587"/>
      <c r="K231" s="587"/>
      <c r="L231" s="589"/>
      <c r="M231" s="590"/>
      <c r="N231" s="591"/>
      <c r="O231" s="95"/>
      <c r="P231" s="579"/>
      <c r="Q231" s="580"/>
      <c r="R231" s="580"/>
      <c r="S231" s="581"/>
      <c r="T231" s="582"/>
      <c r="U231" s="79"/>
      <c r="V231" s="621"/>
      <c r="W231" s="808"/>
      <c r="X231" s="45">
        <f>1.16*1.1</f>
        <v>1.276</v>
      </c>
      <c r="Y231" s="881">
        <v>545000</v>
      </c>
      <c r="Z231" s="868">
        <f>+Y231*X231</f>
        <v>695420</v>
      </c>
      <c r="AA231" s="1078" t="s">
        <v>999</v>
      </c>
      <c r="AB231" s="1086" t="s">
        <v>22</v>
      </c>
      <c r="AC231" s="771">
        <f t="shared" si="58"/>
        <v>7.1799999999999988</v>
      </c>
      <c r="AD231" s="1154"/>
      <c r="AE231" s="1078" t="s">
        <v>999</v>
      </c>
      <c r="AF231" s="1086" t="s">
        <v>22</v>
      </c>
      <c r="AG231" s="1047">
        <v>2</v>
      </c>
      <c r="AH231" s="1047">
        <v>612360</v>
      </c>
      <c r="AI231" s="774">
        <f t="shared" ref="AI231:AI250" si="60">+AG231*AH231</f>
        <v>1224720</v>
      </c>
    </row>
    <row r="232" spans="1:35" s="45" customFormat="1" ht="38.25">
      <c r="A232" s="586"/>
      <c r="B232" s="771">
        <f t="shared" si="56"/>
        <v>7.1899999999999986</v>
      </c>
      <c r="C232" s="782" t="s">
        <v>995</v>
      </c>
      <c r="D232" s="846" t="s">
        <v>22</v>
      </c>
      <c r="E232" s="791">
        <v>2</v>
      </c>
      <c r="F232" s="850">
        <v>521884</v>
      </c>
      <c r="G232" s="774">
        <f t="shared" si="59"/>
        <v>1043768</v>
      </c>
      <c r="H232" s="588"/>
      <c r="I232" s="587"/>
      <c r="J232" s="587"/>
      <c r="K232" s="587"/>
      <c r="L232" s="589"/>
      <c r="M232" s="590"/>
      <c r="N232" s="591"/>
      <c r="O232" s="95"/>
      <c r="P232" s="579"/>
      <c r="Q232" s="580"/>
      <c r="R232" s="580"/>
      <c r="S232" s="581"/>
      <c r="T232" s="582"/>
      <c r="U232" s="79"/>
      <c r="V232" s="621"/>
      <c r="W232" s="808"/>
      <c r="X232" s="45">
        <f t="shared" ref="X232:X237" si="61">1.16*1.1</f>
        <v>1.276</v>
      </c>
      <c r="Y232" s="44"/>
      <c r="Z232" s="868">
        <f t="shared" ref="Z232:Z237" si="62">+Y232*X232</f>
        <v>0</v>
      </c>
      <c r="AA232" s="1078" t="s">
        <v>995</v>
      </c>
      <c r="AB232" s="1087" t="s">
        <v>22</v>
      </c>
      <c r="AC232" s="771">
        <f t="shared" si="58"/>
        <v>7.1899999999999986</v>
      </c>
      <c r="AD232" s="1154"/>
      <c r="AE232" s="1078" t="s">
        <v>995</v>
      </c>
      <c r="AF232" s="1087" t="s">
        <v>22</v>
      </c>
      <c r="AG232" s="1047">
        <v>2</v>
      </c>
      <c r="AH232" s="1047">
        <v>521884</v>
      </c>
      <c r="AI232" s="774">
        <f t="shared" si="60"/>
        <v>1043768</v>
      </c>
    </row>
    <row r="233" spans="1:35" s="45" customFormat="1" ht="25.5">
      <c r="A233" s="586"/>
      <c r="B233" s="771">
        <f t="shared" si="56"/>
        <v>7.1999999999999984</v>
      </c>
      <c r="C233" s="782" t="s">
        <v>1422</v>
      </c>
      <c r="D233" s="846" t="s">
        <v>22</v>
      </c>
      <c r="E233" s="791">
        <v>2</v>
      </c>
      <c r="F233" s="791">
        <v>323400</v>
      </c>
      <c r="G233" s="774">
        <f t="shared" ref="G233" si="63">+E233*F233</f>
        <v>646800</v>
      </c>
      <c r="H233" s="588"/>
      <c r="I233" s="587"/>
      <c r="J233" s="587"/>
      <c r="K233" s="587"/>
      <c r="L233" s="589"/>
      <c r="M233" s="590"/>
      <c r="N233" s="591"/>
      <c r="O233" s="95"/>
      <c r="P233" s="579"/>
      <c r="Q233" s="580"/>
      <c r="R233" s="580"/>
      <c r="S233" s="581"/>
      <c r="T233" s="582"/>
      <c r="U233" s="79"/>
      <c r="V233" s="621"/>
      <c r="W233" s="808"/>
      <c r="Y233" s="44"/>
      <c r="Z233" s="868"/>
      <c r="AA233" s="1078" t="s">
        <v>1422</v>
      </c>
      <c r="AB233" s="1087" t="s">
        <v>22</v>
      </c>
      <c r="AC233" s="771">
        <f t="shared" si="58"/>
        <v>7.1999999999999984</v>
      </c>
      <c r="AD233" s="1154"/>
      <c r="AE233" s="1078" t="s">
        <v>1422</v>
      </c>
      <c r="AF233" s="1087" t="s">
        <v>22</v>
      </c>
      <c r="AG233" s="1047">
        <v>2</v>
      </c>
      <c r="AH233" s="1047">
        <v>323400</v>
      </c>
      <c r="AI233" s="774">
        <f>+AG233*AH233</f>
        <v>646800</v>
      </c>
    </row>
    <row r="234" spans="1:35" s="45" customFormat="1" ht="25.5">
      <c r="A234" s="586"/>
      <c r="B234" s="771">
        <f t="shared" si="56"/>
        <v>7.2099999999999982</v>
      </c>
      <c r="C234" s="782" t="s">
        <v>884</v>
      </c>
      <c r="D234" s="790" t="s">
        <v>22</v>
      </c>
      <c r="E234" s="791">
        <v>2</v>
      </c>
      <c r="F234" s="791">
        <v>1021960</v>
      </c>
      <c r="G234" s="774">
        <f t="shared" si="59"/>
        <v>2043920</v>
      </c>
      <c r="H234" s="588"/>
      <c r="I234" s="587"/>
      <c r="J234" s="587"/>
      <c r="K234" s="587"/>
      <c r="L234" s="589"/>
      <c r="M234" s="590"/>
      <c r="N234" s="591"/>
      <c r="O234" s="95"/>
      <c r="P234" s="579"/>
      <c r="Q234" s="580"/>
      <c r="R234" s="580"/>
      <c r="S234" s="581"/>
      <c r="T234" s="582"/>
      <c r="U234" s="79"/>
      <c r="V234" s="621"/>
      <c r="W234" s="808"/>
      <c r="X234" s="45">
        <f t="shared" si="61"/>
        <v>1.276</v>
      </c>
      <c r="Y234" s="44">
        <v>755000</v>
      </c>
      <c r="Z234" s="868">
        <f t="shared" si="62"/>
        <v>963380</v>
      </c>
      <c r="AA234" s="1062" t="s">
        <v>884</v>
      </c>
      <c r="AB234" s="1086" t="s">
        <v>22</v>
      </c>
      <c r="AC234" s="771">
        <f t="shared" si="58"/>
        <v>7.2099999999999982</v>
      </c>
      <c r="AD234" s="1154"/>
      <c r="AE234" s="1062" t="s">
        <v>884</v>
      </c>
      <c r="AF234" s="1086" t="s">
        <v>22</v>
      </c>
      <c r="AG234" s="1047">
        <v>2</v>
      </c>
      <c r="AH234" s="1047">
        <v>1021960</v>
      </c>
      <c r="AI234" s="774">
        <f t="shared" si="60"/>
        <v>2043920</v>
      </c>
    </row>
    <row r="235" spans="1:35" s="45" customFormat="1" ht="38.25">
      <c r="A235" s="586"/>
      <c r="B235" s="771">
        <f t="shared" si="56"/>
        <v>7.219999999999998</v>
      </c>
      <c r="C235" s="782" t="s">
        <v>1030</v>
      </c>
      <c r="D235" s="846" t="s">
        <v>22</v>
      </c>
      <c r="E235" s="791">
        <v>2</v>
      </c>
      <c r="F235" s="791">
        <v>3242316</v>
      </c>
      <c r="G235" s="774">
        <f t="shared" si="59"/>
        <v>6484632</v>
      </c>
      <c r="H235" s="588"/>
      <c r="I235" s="587"/>
      <c r="J235" s="587"/>
      <c r="K235" s="587"/>
      <c r="L235" s="589"/>
      <c r="M235" s="590"/>
      <c r="N235" s="591"/>
      <c r="O235" s="95"/>
      <c r="P235" s="579"/>
      <c r="Q235" s="580"/>
      <c r="R235" s="580"/>
      <c r="S235" s="581"/>
      <c r="T235" s="582"/>
      <c r="U235" s="79"/>
      <c r="V235" s="621"/>
      <c r="W235" s="808"/>
      <c r="X235" s="45">
        <f t="shared" si="61"/>
        <v>1.276</v>
      </c>
      <c r="Y235" s="44">
        <v>2541000</v>
      </c>
      <c r="Z235" s="883">
        <f t="shared" si="62"/>
        <v>3242316</v>
      </c>
      <c r="AA235" s="1062" t="s">
        <v>1030</v>
      </c>
      <c r="AB235" s="1087" t="s">
        <v>22</v>
      </c>
      <c r="AC235" s="771">
        <f t="shared" si="58"/>
        <v>7.219999999999998</v>
      </c>
      <c r="AD235" s="1154"/>
      <c r="AE235" s="1062" t="s">
        <v>1030</v>
      </c>
      <c r="AF235" s="1087" t="s">
        <v>22</v>
      </c>
      <c r="AG235" s="1047">
        <v>2</v>
      </c>
      <c r="AH235" s="1047">
        <v>3242316</v>
      </c>
      <c r="AI235" s="774">
        <f t="shared" si="60"/>
        <v>6484632</v>
      </c>
    </row>
    <row r="236" spans="1:35" s="45" customFormat="1" ht="38.25">
      <c r="A236" s="586"/>
      <c r="B236" s="771">
        <f t="shared" si="56"/>
        <v>7.2299999999999978</v>
      </c>
      <c r="C236" s="1041" t="s">
        <v>881</v>
      </c>
      <c r="D236" s="846" t="s">
        <v>22</v>
      </c>
      <c r="E236" s="791">
        <v>2</v>
      </c>
      <c r="F236" s="791">
        <v>1621796</v>
      </c>
      <c r="G236" s="774">
        <f t="shared" si="59"/>
        <v>3243592</v>
      </c>
      <c r="H236" s="588"/>
      <c r="I236" s="587"/>
      <c r="J236" s="587"/>
      <c r="K236" s="587"/>
      <c r="L236" s="589"/>
      <c r="M236" s="590"/>
      <c r="N236" s="591"/>
      <c r="O236" s="95"/>
      <c r="P236" s="579"/>
      <c r="Q236" s="580"/>
      <c r="R236" s="580"/>
      <c r="S236" s="581"/>
      <c r="T236" s="582"/>
      <c r="U236" s="79"/>
      <c r="V236" s="621"/>
      <c r="W236" s="808"/>
      <c r="X236" s="45">
        <f t="shared" si="61"/>
        <v>1.276</v>
      </c>
      <c r="Y236" s="44">
        <v>1271000</v>
      </c>
      <c r="Z236" s="883">
        <f t="shared" si="62"/>
        <v>1621796</v>
      </c>
      <c r="AA236" s="1088" t="s">
        <v>881</v>
      </c>
      <c r="AB236" s="1087" t="s">
        <v>22</v>
      </c>
      <c r="AC236" s="771">
        <f t="shared" si="58"/>
        <v>7.2299999999999978</v>
      </c>
      <c r="AD236" s="1154"/>
      <c r="AE236" s="1088" t="s">
        <v>881</v>
      </c>
      <c r="AF236" s="1087" t="s">
        <v>22</v>
      </c>
      <c r="AG236" s="1047">
        <v>2</v>
      </c>
      <c r="AH236" s="1047">
        <v>1621796</v>
      </c>
      <c r="AI236" s="774">
        <f t="shared" si="60"/>
        <v>3243592</v>
      </c>
    </row>
    <row r="237" spans="1:35" s="45" customFormat="1" ht="38.25">
      <c r="A237" s="586"/>
      <c r="B237" s="771">
        <f t="shared" si="56"/>
        <v>7.2399999999999975</v>
      </c>
      <c r="C237" s="1041" t="s">
        <v>1029</v>
      </c>
      <c r="D237" s="846" t="s">
        <v>22</v>
      </c>
      <c r="E237" s="791">
        <v>2</v>
      </c>
      <c r="F237" s="791">
        <v>1146000</v>
      </c>
      <c r="G237" s="774">
        <f t="shared" si="59"/>
        <v>2292000</v>
      </c>
      <c r="H237" s="588"/>
      <c r="I237" s="587"/>
      <c r="J237" s="587"/>
      <c r="K237" s="587"/>
      <c r="L237" s="589"/>
      <c r="M237" s="590"/>
      <c r="N237" s="591"/>
      <c r="O237" s="95"/>
      <c r="P237" s="579"/>
      <c r="Q237" s="580"/>
      <c r="R237" s="580"/>
      <c r="S237" s="581"/>
      <c r="T237" s="582"/>
      <c r="U237" s="79"/>
      <c r="V237" s="621"/>
      <c r="W237" s="808"/>
      <c r="X237" s="45">
        <f t="shared" si="61"/>
        <v>1.276</v>
      </c>
      <c r="Y237" s="882">
        <v>859000</v>
      </c>
      <c r="Z237" s="868">
        <f t="shared" si="62"/>
        <v>1096084</v>
      </c>
      <c r="AA237" s="1088" t="s">
        <v>1029</v>
      </c>
      <c r="AB237" s="1087" t="s">
        <v>22</v>
      </c>
      <c r="AC237" s="771">
        <f t="shared" si="58"/>
        <v>7.2399999999999975</v>
      </c>
      <c r="AD237" s="1154"/>
      <c r="AE237" s="1088" t="s">
        <v>1029</v>
      </c>
      <c r="AF237" s="1087" t="s">
        <v>22</v>
      </c>
      <c r="AG237" s="1047">
        <v>2</v>
      </c>
      <c r="AH237" s="1047">
        <v>1096084</v>
      </c>
      <c r="AI237" s="774">
        <f t="shared" si="60"/>
        <v>2192168</v>
      </c>
    </row>
    <row r="238" spans="1:35" s="45" customFormat="1" ht="38.25">
      <c r="A238" s="586"/>
      <c r="B238" s="771">
        <f t="shared" si="56"/>
        <v>7.2499999999999973</v>
      </c>
      <c r="C238" s="782" t="s">
        <v>904</v>
      </c>
      <c r="D238" s="846" t="s">
        <v>22</v>
      </c>
      <c r="E238" s="782">
        <v>2</v>
      </c>
      <c r="F238" s="845">
        <v>10670</v>
      </c>
      <c r="G238" s="774">
        <f t="shared" si="59"/>
        <v>21340</v>
      </c>
      <c r="H238" s="588"/>
      <c r="I238" s="587"/>
      <c r="J238" s="587"/>
      <c r="K238" s="587"/>
      <c r="L238" s="589"/>
      <c r="M238" s="590"/>
      <c r="N238" s="591"/>
      <c r="O238" s="95"/>
      <c r="P238" s="579"/>
      <c r="Q238" s="580"/>
      <c r="R238" s="580"/>
      <c r="S238" s="581"/>
      <c r="T238" s="582"/>
      <c r="U238" s="79"/>
      <c r="V238" s="621"/>
      <c r="W238" s="808"/>
      <c r="X238" s="44"/>
      <c r="Y238" s="44"/>
      <c r="Z238" s="44"/>
      <c r="AA238" s="1062" t="s">
        <v>904</v>
      </c>
      <c r="AB238" s="1087" t="s">
        <v>22</v>
      </c>
      <c r="AC238" s="771">
        <f t="shared" si="58"/>
        <v>7.2499999999999973</v>
      </c>
      <c r="AD238" s="1154"/>
      <c r="AE238" s="1062" t="s">
        <v>904</v>
      </c>
      <c r="AF238" s="1087" t="s">
        <v>22</v>
      </c>
      <c r="AG238" s="1062">
        <v>2</v>
      </c>
      <c r="AH238" s="1089">
        <v>10670</v>
      </c>
      <c r="AI238" s="774">
        <f t="shared" si="60"/>
        <v>21340</v>
      </c>
    </row>
    <row r="239" spans="1:35" s="45" customFormat="1" ht="38.25">
      <c r="A239" s="586"/>
      <c r="B239" s="771">
        <f t="shared" si="56"/>
        <v>7.2599999999999971</v>
      </c>
      <c r="C239" s="782" t="s">
        <v>1423</v>
      </c>
      <c r="D239" s="846" t="s">
        <v>22</v>
      </c>
      <c r="E239" s="782">
        <v>2</v>
      </c>
      <c r="F239" s="845">
        <v>182000</v>
      </c>
      <c r="G239" s="774">
        <f t="shared" si="59"/>
        <v>364000</v>
      </c>
      <c r="H239" s="588"/>
      <c r="I239" s="587"/>
      <c r="J239" s="587"/>
      <c r="K239" s="587"/>
      <c r="L239" s="589"/>
      <c r="M239" s="590"/>
      <c r="N239" s="591"/>
      <c r="O239" s="95"/>
      <c r="P239" s="579"/>
      <c r="Q239" s="580"/>
      <c r="R239" s="580"/>
      <c r="S239" s="581"/>
      <c r="T239" s="582"/>
      <c r="U239" s="79"/>
      <c r="V239" s="621"/>
      <c r="W239" s="808"/>
      <c r="X239" s="44"/>
      <c r="Y239" s="44"/>
      <c r="Z239" s="44"/>
      <c r="AA239" s="1062" t="s">
        <v>1423</v>
      </c>
      <c r="AB239" s="1087" t="s">
        <v>22</v>
      </c>
      <c r="AC239" s="771">
        <f t="shared" si="58"/>
        <v>7.2599999999999971</v>
      </c>
      <c r="AD239" s="1154"/>
      <c r="AE239" s="1062" t="s">
        <v>1423</v>
      </c>
      <c r="AF239" s="1087" t="s">
        <v>22</v>
      </c>
      <c r="AG239" s="1062">
        <v>2</v>
      </c>
      <c r="AH239" s="1089">
        <v>182000</v>
      </c>
      <c r="AI239" s="774">
        <f t="shared" si="60"/>
        <v>364000</v>
      </c>
    </row>
    <row r="240" spans="1:35" s="45" customFormat="1" ht="38.25">
      <c r="A240" s="586"/>
      <c r="B240" s="771">
        <f t="shared" si="56"/>
        <v>7.2699999999999969</v>
      </c>
      <c r="C240" s="782" t="s">
        <v>996</v>
      </c>
      <c r="D240" s="772" t="s">
        <v>500</v>
      </c>
      <c r="E240" s="587">
        <v>16</v>
      </c>
      <c r="F240" s="845">
        <v>21516</v>
      </c>
      <c r="G240" s="774">
        <f t="shared" si="59"/>
        <v>344256</v>
      </c>
      <c r="H240" s="588"/>
      <c r="I240" s="587"/>
      <c r="J240" s="587"/>
      <c r="K240" s="587"/>
      <c r="L240" s="589"/>
      <c r="M240" s="590"/>
      <c r="N240" s="591"/>
      <c r="O240" s="95"/>
      <c r="P240" s="579"/>
      <c r="Q240" s="580"/>
      <c r="R240" s="580"/>
      <c r="S240" s="581"/>
      <c r="T240" s="582"/>
      <c r="U240" s="79"/>
      <c r="V240" s="621"/>
      <c r="W240" s="808"/>
      <c r="X240" s="44"/>
      <c r="Y240" s="44"/>
      <c r="Z240" s="44"/>
      <c r="AA240" s="1062" t="s">
        <v>996</v>
      </c>
      <c r="AB240" s="772" t="s">
        <v>500</v>
      </c>
      <c r="AC240" s="771">
        <f t="shared" si="58"/>
        <v>7.2699999999999969</v>
      </c>
      <c r="AD240" s="1154"/>
      <c r="AE240" s="1062" t="s">
        <v>996</v>
      </c>
      <c r="AF240" s="772" t="s">
        <v>500</v>
      </c>
      <c r="AG240" s="587">
        <v>16</v>
      </c>
      <c r="AH240" s="1089">
        <v>21516</v>
      </c>
      <c r="AI240" s="774">
        <f t="shared" si="60"/>
        <v>344256</v>
      </c>
    </row>
    <row r="241" spans="1:35" s="45" customFormat="1" ht="38.25">
      <c r="A241" s="586"/>
      <c r="B241" s="771">
        <f t="shared" si="56"/>
        <v>7.2799999999999967</v>
      </c>
      <c r="C241" s="782" t="s">
        <v>1425</v>
      </c>
      <c r="D241" s="846" t="s">
        <v>22</v>
      </c>
      <c r="E241" s="782">
        <v>31</v>
      </c>
      <c r="F241" s="845">
        <v>10670</v>
      </c>
      <c r="G241" s="774">
        <f t="shared" si="59"/>
        <v>330770</v>
      </c>
      <c r="H241" s="588"/>
      <c r="I241" s="587"/>
      <c r="J241" s="587"/>
      <c r="K241" s="587"/>
      <c r="L241" s="589"/>
      <c r="M241" s="590"/>
      <c r="N241" s="591"/>
      <c r="O241" s="95"/>
      <c r="P241" s="579"/>
      <c r="Q241" s="580"/>
      <c r="R241" s="580"/>
      <c r="S241" s="581"/>
      <c r="T241" s="582"/>
      <c r="U241" s="79"/>
      <c r="V241" s="621"/>
      <c r="W241" s="808"/>
      <c r="X241" s="44"/>
      <c r="Y241" s="44"/>
      <c r="Z241" s="44"/>
      <c r="AA241" s="1062" t="s">
        <v>1425</v>
      </c>
      <c r="AB241" s="1087" t="s">
        <v>22</v>
      </c>
      <c r="AC241" s="771">
        <f t="shared" si="58"/>
        <v>7.2799999999999967</v>
      </c>
      <c r="AD241" s="1154"/>
      <c r="AE241" s="1062" t="s">
        <v>1425</v>
      </c>
      <c r="AF241" s="1087" t="s">
        <v>22</v>
      </c>
      <c r="AG241" s="1062">
        <v>31</v>
      </c>
      <c r="AH241" s="1089">
        <v>10670</v>
      </c>
      <c r="AI241" s="774">
        <f t="shared" si="60"/>
        <v>330770</v>
      </c>
    </row>
    <row r="242" spans="1:35" s="45" customFormat="1" ht="25.5">
      <c r="A242" s="586"/>
      <c r="B242" s="771">
        <f t="shared" si="56"/>
        <v>7.2899999999999965</v>
      </c>
      <c r="C242" s="782" t="s">
        <v>1429</v>
      </c>
      <c r="D242" s="846" t="s">
        <v>22</v>
      </c>
      <c r="E242" s="782">
        <v>3</v>
      </c>
      <c r="F242" s="845">
        <v>113600</v>
      </c>
      <c r="G242" s="774">
        <f t="shared" ref="G242" si="64">+E242*F242</f>
        <v>340800</v>
      </c>
      <c r="H242" s="588"/>
      <c r="I242" s="587"/>
      <c r="J242" s="587"/>
      <c r="K242" s="587"/>
      <c r="L242" s="589"/>
      <c r="M242" s="590"/>
      <c r="N242" s="591"/>
      <c r="O242" s="95"/>
      <c r="P242" s="579"/>
      <c r="Q242" s="580"/>
      <c r="R242" s="580"/>
      <c r="S242" s="581"/>
      <c r="T242" s="582"/>
      <c r="U242" s="79"/>
      <c r="V242" s="621"/>
      <c r="W242" s="808"/>
      <c r="X242" s="44"/>
      <c r="Y242" s="44"/>
      <c r="Z242" s="44"/>
      <c r="AA242" s="1062" t="s">
        <v>1429</v>
      </c>
      <c r="AB242" s="1087" t="s">
        <v>22</v>
      </c>
      <c r="AC242" s="771">
        <f t="shared" si="58"/>
        <v>7.2899999999999965</v>
      </c>
      <c r="AD242" s="1154"/>
      <c r="AE242" s="1062" t="s">
        <v>1429</v>
      </c>
      <c r="AF242" s="1087" t="s">
        <v>22</v>
      </c>
      <c r="AG242" s="1062">
        <v>3</v>
      </c>
      <c r="AH242" s="1089">
        <v>113600</v>
      </c>
      <c r="AI242" s="774">
        <f>+AG242*AH242</f>
        <v>340800</v>
      </c>
    </row>
    <row r="243" spans="1:35" s="45" customFormat="1" ht="25.5">
      <c r="A243" s="586"/>
      <c r="B243" s="771">
        <f t="shared" si="56"/>
        <v>7.2999999999999963</v>
      </c>
      <c r="C243" s="782" t="s">
        <v>1430</v>
      </c>
      <c r="D243" s="846" t="s">
        <v>22</v>
      </c>
      <c r="E243" s="782">
        <v>3</v>
      </c>
      <c r="F243" s="845">
        <v>85700</v>
      </c>
      <c r="G243" s="774">
        <f t="shared" ref="G243:G245" si="65">+E243*F243</f>
        <v>257100</v>
      </c>
      <c r="H243" s="588"/>
      <c r="I243" s="587"/>
      <c r="J243" s="587"/>
      <c r="K243" s="587"/>
      <c r="L243" s="589"/>
      <c r="M243" s="590"/>
      <c r="N243" s="591"/>
      <c r="O243" s="95"/>
      <c r="P243" s="579"/>
      <c r="Q243" s="580"/>
      <c r="R243" s="580"/>
      <c r="S243" s="581"/>
      <c r="T243" s="582"/>
      <c r="U243" s="79"/>
      <c r="V243" s="621"/>
      <c r="W243" s="808"/>
      <c r="X243" s="44"/>
      <c r="Y243" s="44"/>
      <c r="Z243" s="44"/>
      <c r="AA243" s="1062" t="s">
        <v>1430</v>
      </c>
      <c r="AB243" s="1087" t="s">
        <v>22</v>
      </c>
      <c r="AC243" s="771">
        <f t="shared" si="58"/>
        <v>7.2999999999999963</v>
      </c>
      <c r="AD243" s="1154"/>
      <c r="AE243" s="1062" t="s">
        <v>1430</v>
      </c>
      <c r="AF243" s="1087" t="s">
        <v>22</v>
      </c>
      <c r="AG243" s="1062">
        <v>3</v>
      </c>
      <c r="AH243" s="1089">
        <v>85700</v>
      </c>
      <c r="AI243" s="774">
        <f>+AG243*AH243</f>
        <v>257100</v>
      </c>
    </row>
    <row r="244" spans="1:35" s="45" customFormat="1" ht="38.25">
      <c r="A244" s="586"/>
      <c r="B244" s="771">
        <f t="shared" si="56"/>
        <v>7.3099999999999961</v>
      </c>
      <c r="C244" s="782" t="s">
        <v>1426</v>
      </c>
      <c r="D244" s="846" t="s">
        <v>22</v>
      </c>
      <c r="E244" s="782">
        <v>1</v>
      </c>
      <c r="F244" s="845">
        <v>115000</v>
      </c>
      <c r="G244" s="774">
        <f t="shared" si="65"/>
        <v>115000</v>
      </c>
      <c r="H244" s="588"/>
      <c r="I244" s="587"/>
      <c r="J244" s="587"/>
      <c r="K244" s="587"/>
      <c r="L244" s="589"/>
      <c r="M244" s="590"/>
      <c r="N244" s="591"/>
      <c r="O244" s="95"/>
      <c r="P244" s="579"/>
      <c r="Q244" s="580"/>
      <c r="R244" s="580"/>
      <c r="S244" s="581"/>
      <c r="T244" s="582"/>
      <c r="U244" s="79"/>
      <c r="V244" s="621"/>
      <c r="W244" s="808"/>
      <c r="X244" s="44"/>
      <c r="Y244" s="44"/>
      <c r="Z244" s="44"/>
      <c r="AA244" s="1062" t="s">
        <v>1426</v>
      </c>
      <c r="AB244" s="1087" t="s">
        <v>22</v>
      </c>
      <c r="AC244" s="771">
        <f t="shared" si="58"/>
        <v>7.3099999999999961</v>
      </c>
      <c r="AD244" s="1154"/>
      <c r="AE244" s="1062" t="s">
        <v>1426</v>
      </c>
      <c r="AF244" s="1087" t="s">
        <v>22</v>
      </c>
      <c r="AG244" s="1062">
        <v>1</v>
      </c>
      <c r="AH244" s="1089">
        <v>115000</v>
      </c>
      <c r="AI244" s="774">
        <f>+AG244*AH244</f>
        <v>115000</v>
      </c>
    </row>
    <row r="245" spans="1:35" s="45" customFormat="1" ht="25.5">
      <c r="A245" s="586"/>
      <c r="B245" s="771">
        <f t="shared" si="56"/>
        <v>7.3199999999999958</v>
      </c>
      <c r="C245" s="782" t="s">
        <v>1431</v>
      </c>
      <c r="D245" s="846" t="s">
        <v>500</v>
      </c>
      <c r="E245" s="782">
        <v>76</v>
      </c>
      <c r="F245" s="1153">
        <v>34410</v>
      </c>
      <c r="G245" s="774">
        <f t="shared" si="65"/>
        <v>2615160</v>
      </c>
      <c r="H245" s="588"/>
      <c r="I245" s="587"/>
      <c r="J245" s="587"/>
      <c r="K245" s="587"/>
      <c r="L245" s="589"/>
      <c r="M245" s="590"/>
      <c r="N245" s="591"/>
      <c r="O245" s="95"/>
      <c r="P245" s="579"/>
      <c r="Q245" s="580"/>
      <c r="R245" s="580"/>
      <c r="S245" s="581"/>
      <c r="T245" s="582"/>
      <c r="U245" s="79"/>
      <c r="V245" s="621"/>
      <c r="W245" s="808"/>
      <c r="X245" s="44"/>
      <c r="Y245" s="44"/>
      <c r="Z245" s="44"/>
      <c r="AA245" s="1062" t="s">
        <v>1431</v>
      </c>
      <c r="AB245" s="1087" t="s">
        <v>500</v>
      </c>
      <c r="AC245" s="771">
        <f t="shared" si="58"/>
        <v>7.3199999999999958</v>
      </c>
      <c r="AD245" s="1154"/>
      <c r="AE245" s="1062" t="s">
        <v>1431</v>
      </c>
      <c r="AF245" s="1087" t="s">
        <v>500</v>
      </c>
      <c r="AG245" s="1062">
        <v>76</v>
      </c>
      <c r="AH245" s="1089">
        <v>48740</v>
      </c>
      <c r="AI245" s="774">
        <f>+AG245*AH245</f>
        <v>3704240</v>
      </c>
    </row>
    <row r="246" spans="1:35" s="45" customFormat="1" ht="38.25">
      <c r="A246" s="586"/>
      <c r="B246" s="771">
        <f t="shared" si="56"/>
        <v>7.3299999999999956</v>
      </c>
      <c r="C246" s="782" t="s">
        <v>1424</v>
      </c>
      <c r="D246" s="846" t="s">
        <v>56</v>
      </c>
      <c r="E246" s="782">
        <v>0.3</v>
      </c>
      <c r="F246" s="845">
        <v>6000</v>
      </c>
      <c r="G246" s="774">
        <f t="shared" si="59"/>
        <v>1800</v>
      </c>
      <c r="H246" s="588"/>
      <c r="I246" s="587"/>
      <c r="J246" s="587"/>
      <c r="K246" s="587"/>
      <c r="L246" s="589"/>
      <c r="M246" s="590"/>
      <c r="N246" s="591"/>
      <c r="O246" s="95"/>
      <c r="P246" s="579"/>
      <c r="Q246" s="580"/>
      <c r="R246" s="580"/>
      <c r="S246" s="581"/>
      <c r="T246" s="582"/>
      <c r="U246" s="79"/>
      <c r="V246" s="621"/>
      <c r="W246" s="808"/>
      <c r="X246" s="44"/>
      <c r="Y246" s="44"/>
      <c r="Z246" s="44"/>
      <c r="AA246" s="1062" t="s">
        <v>1424</v>
      </c>
      <c r="AB246" s="1087" t="s">
        <v>56</v>
      </c>
      <c r="AC246" s="771">
        <f t="shared" si="58"/>
        <v>7.3299999999999956</v>
      </c>
      <c r="AD246" s="1154"/>
      <c r="AE246" s="1062" t="s">
        <v>1424</v>
      </c>
      <c r="AF246" s="1087" t="s">
        <v>56</v>
      </c>
      <c r="AG246" s="1062">
        <v>0.3</v>
      </c>
      <c r="AH246" s="1089">
        <v>6000</v>
      </c>
      <c r="AI246" s="774">
        <f t="shared" si="60"/>
        <v>1800</v>
      </c>
    </row>
    <row r="247" spans="1:35" s="45" customFormat="1" ht="63.75">
      <c r="A247" s="586"/>
      <c r="B247" s="771">
        <f t="shared" si="56"/>
        <v>7.3399999999999954</v>
      </c>
      <c r="C247" s="102" t="s">
        <v>1018</v>
      </c>
      <c r="D247" s="772" t="s">
        <v>22</v>
      </c>
      <c r="E247" s="780">
        <v>42</v>
      </c>
      <c r="F247" s="858">
        <v>30550</v>
      </c>
      <c r="G247" s="774">
        <f t="shared" si="59"/>
        <v>1283100</v>
      </c>
      <c r="H247" s="588"/>
      <c r="I247" s="587"/>
      <c r="J247" s="587"/>
      <c r="K247" s="587"/>
      <c r="L247" s="589"/>
      <c r="M247" s="590"/>
      <c r="N247" s="591"/>
      <c r="O247" s="95"/>
      <c r="P247" s="579"/>
      <c r="Q247" s="580"/>
      <c r="R247" s="580"/>
      <c r="S247" s="581"/>
      <c r="T247" s="582"/>
      <c r="U247" s="79"/>
      <c r="V247" s="621"/>
      <c r="Y247" s="44"/>
      <c r="Z247" s="44"/>
      <c r="AA247" s="102" t="s">
        <v>1018</v>
      </c>
      <c r="AB247" s="772" t="s">
        <v>22</v>
      </c>
      <c r="AC247" s="771">
        <f t="shared" si="58"/>
        <v>7.3399999999999954</v>
      </c>
      <c r="AD247" s="1154"/>
      <c r="AE247" s="102" t="s">
        <v>1018</v>
      </c>
      <c r="AF247" s="772" t="s">
        <v>22</v>
      </c>
      <c r="AG247" s="1059">
        <v>42</v>
      </c>
      <c r="AH247" s="858">
        <v>30550</v>
      </c>
      <c r="AI247" s="774">
        <f t="shared" si="60"/>
        <v>1283100</v>
      </c>
    </row>
    <row r="248" spans="1:35" s="45" customFormat="1" ht="25.5">
      <c r="A248" s="586"/>
      <c r="B248" s="771">
        <f t="shared" si="56"/>
        <v>7.3499999999999952</v>
      </c>
      <c r="C248" s="102" t="s">
        <v>1432</v>
      </c>
      <c r="D248" s="772" t="s">
        <v>22</v>
      </c>
      <c r="E248" s="780">
        <v>4</v>
      </c>
      <c r="F248" s="858">
        <v>580000</v>
      </c>
      <c r="G248" s="774">
        <f t="shared" si="59"/>
        <v>2320000</v>
      </c>
      <c r="H248" s="588"/>
      <c r="I248" s="587"/>
      <c r="J248" s="587"/>
      <c r="K248" s="587"/>
      <c r="L248" s="589"/>
      <c r="M248" s="590"/>
      <c r="N248" s="591"/>
      <c r="O248" s="95"/>
      <c r="P248" s="579"/>
      <c r="Q248" s="580"/>
      <c r="R248" s="580"/>
      <c r="S248" s="581"/>
      <c r="T248" s="582"/>
      <c r="U248" s="79"/>
      <c r="V248" s="621"/>
      <c r="Y248" s="44"/>
      <c r="Z248" s="44"/>
      <c r="AA248" s="102" t="s">
        <v>1432</v>
      </c>
      <c r="AB248" s="772" t="s">
        <v>22</v>
      </c>
      <c r="AC248" s="771">
        <f t="shared" si="58"/>
        <v>7.3499999999999952</v>
      </c>
      <c r="AD248" s="1154"/>
      <c r="AE248" s="102" t="s">
        <v>1432</v>
      </c>
      <c r="AF248" s="772" t="s">
        <v>22</v>
      </c>
      <c r="AG248" s="1059">
        <v>4</v>
      </c>
      <c r="AH248" s="858">
        <v>580000</v>
      </c>
      <c r="AI248" s="774">
        <f t="shared" si="60"/>
        <v>2320000</v>
      </c>
    </row>
    <row r="249" spans="1:35" s="45" customFormat="1" ht="63.75">
      <c r="A249" s="586"/>
      <c r="B249" s="771">
        <f t="shared" si="56"/>
        <v>7.359999999999995</v>
      </c>
      <c r="C249" s="102" t="s">
        <v>1433</v>
      </c>
      <c r="D249" s="772" t="s">
        <v>22</v>
      </c>
      <c r="E249" s="780">
        <v>4</v>
      </c>
      <c r="F249" s="858">
        <v>620000</v>
      </c>
      <c r="G249" s="774">
        <f t="shared" si="59"/>
        <v>2480000</v>
      </c>
      <c r="H249" s="588"/>
      <c r="I249" s="587"/>
      <c r="J249" s="587"/>
      <c r="K249" s="587"/>
      <c r="L249" s="589"/>
      <c r="M249" s="590"/>
      <c r="N249" s="591"/>
      <c r="O249" s="95"/>
      <c r="P249" s="579"/>
      <c r="Q249" s="580"/>
      <c r="R249" s="580"/>
      <c r="S249" s="581"/>
      <c r="T249" s="582"/>
      <c r="U249" s="79"/>
      <c r="V249" s="621"/>
      <c r="Y249" s="44"/>
      <c r="Z249" s="44"/>
      <c r="AA249" s="102" t="s">
        <v>1433</v>
      </c>
      <c r="AB249" s="772" t="s">
        <v>22</v>
      </c>
      <c r="AC249" s="771">
        <f t="shared" si="58"/>
        <v>7.359999999999995</v>
      </c>
      <c r="AD249" s="1154"/>
      <c r="AE249" s="102" t="s">
        <v>1433</v>
      </c>
      <c r="AF249" s="772" t="s">
        <v>22</v>
      </c>
      <c r="AG249" s="1059">
        <v>4</v>
      </c>
      <c r="AH249" s="858">
        <v>620000</v>
      </c>
      <c r="AI249" s="774">
        <f t="shared" si="60"/>
        <v>2480000</v>
      </c>
    </row>
    <row r="250" spans="1:35" s="45" customFormat="1" ht="51">
      <c r="A250" s="586"/>
      <c r="B250" s="771">
        <f t="shared" si="56"/>
        <v>7.3699999999999948</v>
      </c>
      <c r="C250" s="102" t="s">
        <v>1427</v>
      </c>
      <c r="D250" s="772" t="s">
        <v>22</v>
      </c>
      <c r="E250" s="780">
        <v>2</v>
      </c>
      <c r="F250" s="858">
        <v>4950000</v>
      </c>
      <c r="G250" s="774">
        <f t="shared" si="59"/>
        <v>9900000</v>
      </c>
      <c r="H250" s="588"/>
      <c r="I250" s="587"/>
      <c r="J250" s="587"/>
      <c r="K250" s="587"/>
      <c r="L250" s="589"/>
      <c r="M250" s="590"/>
      <c r="N250" s="591"/>
      <c r="O250" s="95"/>
      <c r="P250" s="579"/>
      <c r="Q250" s="580"/>
      <c r="R250" s="580"/>
      <c r="S250" s="581"/>
      <c r="T250" s="582"/>
      <c r="U250" s="79"/>
      <c r="V250" s="621"/>
      <c r="Y250" s="44"/>
      <c r="Z250" s="44"/>
      <c r="AA250" s="102" t="s">
        <v>1427</v>
      </c>
      <c r="AB250" s="772" t="s">
        <v>22</v>
      </c>
      <c r="AC250" s="771">
        <f t="shared" si="58"/>
        <v>7.3699999999999948</v>
      </c>
      <c r="AD250" s="1154"/>
      <c r="AE250" s="102" t="s">
        <v>1427</v>
      </c>
      <c r="AF250" s="772" t="s">
        <v>22</v>
      </c>
      <c r="AG250" s="1059">
        <v>2</v>
      </c>
      <c r="AH250" s="858">
        <v>4950000</v>
      </c>
      <c r="AI250" s="774">
        <f t="shared" si="60"/>
        <v>9900000</v>
      </c>
    </row>
    <row r="251" spans="1:35" s="45" customFormat="1">
      <c r="A251" s="586"/>
      <c r="B251" s="771"/>
      <c r="D251" s="772"/>
      <c r="E251" s="780"/>
      <c r="F251" s="25"/>
      <c r="G251" s="774"/>
      <c r="H251" s="588"/>
      <c r="I251" s="587"/>
      <c r="J251" s="587"/>
      <c r="K251" s="587"/>
      <c r="L251" s="589"/>
      <c r="M251" s="590"/>
      <c r="N251" s="591"/>
      <c r="O251" s="95"/>
      <c r="P251" s="579"/>
      <c r="Q251" s="580"/>
      <c r="R251" s="580"/>
      <c r="S251" s="581"/>
      <c r="T251" s="582"/>
      <c r="U251" s="79"/>
      <c r="V251" s="621"/>
      <c r="W251" s="808"/>
      <c r="X251" s="44"/>
      <c r="Y251" s="44"/>
      <c r="Z251" s="44"/>
      <c r="AB251" s="772"/>
      <c r="AC251" s="771"/>
      <c r="AD251" s="823"/>
      <c r="AF251" s="772"/>
      <c r="AG251" s="1059"/>
      <c r="AH251" s="575"/>
      <c r="AI251" s="774"/>
    </row>
    <row r="252" spans="1:35" s="45" customFormat="1" ht="15.75" thickBot="1">
      <c r="A252" s="586"/>
      <c r="B252" s="114"/>
      <c r="C252" s="114"/>
      <c r="D252" s="115"/>
      <c r="E252" s="116"/>
      <c r="F252" s="117" t="s">
        <v>970</v>
      </c>
      <c r="G252" s="118">
        <f>SUM(G225:G251)</f>
        <v>108744548</v>
      </c>
      <c r="H252" s="588"/>
      <c r="I252" s="587"/>
      <c r="J252" s="587"/>
      <c r="K252" s="587"/>
      <c r="L252" s="589"/>
      <c r="M252" s="590"/>
      <c r="N252" s="591"/>
      <c r="O252" s="95"/>
      <c r="P252" s="579"/>
      <c r="Q252" s="580"/>
      <c r="R252" s="580"/>
      <c r="S252" s="581"/>
      <c r="T252" s="582"/>
      <c r="U252" s="79"/>
      <c r="V252" s="621"/>
      <c r="W252" s="808"/>
      <c r="X252" s="44"/>
      <c r="Y252" s="44"/>
      <c r="Z252" s="44"/>
      <c r="AA252" s="1064"/>
      <c r="AB252" s="1065"/>
      <c r="AC252" s="1064"/>
      <c r="AD252" s="1064"/>
      <c r="AE252" s="1064"/>
      <c r="AF252" s="1065"/>
      <c r="AG252" s="1066"/>
      <c r="AH252" s="1073" t="s">
        <v>970</v>
      </c>
      <c r="AI252" s="1117">
        <f>SUM(AI225:AI251)</f>
        <v>109733796</v>
      </c>
    </row>
    <row r="253" spans="1:35" s="45" customFormat="1">
      <c r="A253" s="586"/>
      <c r="B253" s="771"/>
      <c r="C253" s="102"/>
      <c r="D253" s="772"/>
      <c r="E253" s="780"/>
      <c r="F253" s="587"/>
      <c r="G253" s="774"/>
      <c r="H253" s="588"/>
      <c r="I253" s="587"/>
      <c r="J253" s="587"/>
      <c r="K253" s="587"/>
      <c r="L253" s="589"/>
      <c r="M253" s="590"/>
      <c r="N253" s="591"/>
      <c r="O253" s="95"/>
      <c r="P253" s="579"/>
      <c r="Q253" s="580"/>
      <c r="R253" s="580"/>
      <c r="S253" s="581"/>
      <c r="T253" s="582"/>
      <c r="U253" s="79"/>
      <c r="V253" s="621"/>
      <c r="W253" s="808"/>
      <c r="X253" s="44"/>
      <c r="Y253" s="44"/>
      <c r="Z253" s="44"/>
      <c r="AA253" s="102"/>
      <c r="AB253" s="772"/>
      <c r="AC253" s="771"/>
      <c r="AD253" s="1154"/>
      <c r="AE253" s="102"/>
      <c r="AF253" s="772"/>
      <c r="AG253" s="1059"/>
      <c r="AH253" s="587"/>
      <c r="AI253" s="774"/>
    </row>
    <row r="254" spans="1:35" s="45" customFormat="1" ht="15.75" thickBot="1">
      <c r="A254" s="127" t="s">
        <v>82</v>
      </c>
      <c r="B254" s="871"/>
      <c r="C254" s="871"/>
      <c r="D254" s="873"/>
      <c r="E254" s="874"/>
      <c r="F254" s="947" t="s">
        <v>971</v>
      </c>
      <c r="G254" s="1004">
        <f>+G222+G252</f>
        <v>457886395</v>
      </c>
      <c r="H254" s="576">
        <v>38048</v>
      </c>
      <c r="I254" s="25">
        <v>50520</v>
      </c>
      <c r="J254" s="25">
        <v>1</v>
      </c>
      <c r="K254" s="25">
        <v>1</v>
      </c>
      <c r="L254" s="28">
        <v>8083200</v>
      </c>
      <c r="M254" s="29">
        <v>6087680</v>
      </c>
      <c r="N254" s="29">
        <v>6087680</v>
      </c>
      <c r="O254" s="95"/>
      <c r="P254" s="96"/>
      <c r="Q254" s="97">
        <v>36283</v>
      </c>
      <c r="R254" s="97">
        <v>725664</v>
      </c>
      <c r="S254" s="98">
        <v>5325664</v>
      </c>
      <c r="T254" s="99"/>
      <c r="U254" s="79"/>
      <c r="V254" s="621">
        <v>48</v>
      </c>
      <c r="W254" s="808"/>
      <c r="X254" s="44"/>
      <c r="Y254" s="44"/>
      <c r="Z254" s="44"/>
      <c r="AA254" s="1074"/>
      <c r="AB254" s="1075"/>
      <c r="AC254" s="1074"/>
      <c r="AD254" s="1074"/>
      <c r="AE254" s="1074"/>
      <c r="AF254" s="1075"/>
      <c r="AG254" s="1076"/>
      <c r="AH254" s="1077" t="s">
        <v>971</v>
      </c>
      <c r="AI254" s="1115">
        <f>+AI222+AI252</f>
        <v>458875643</v>
      </c>
    </row>
    <row r="255" spans="1:35" s="45" customFormat="1" ht="15.75" thickBot="1">
      <c r="A255" s="143">
        <v>210134</v>
      </c>
      <c r="B255" s="139"/>
      <c r="C255" s="140"/>
      <c r="D255" s="141"/>
      <c r="E255" s="142"/>
      <c r="F255" s="25"/>
      <c r="G255" s="792">
        <f t="shared" ref="G255" si="66">+F255*E255</f>
        <v>0</v>
      </c>
      <c r="H255" s="576">
        <v>827142</v>
      </c>
      <c r="I255" s="25">
        <v>1098279</v>
      </c>
      <c r="J255" s="25">
        <v>1</v>
      </c>
      <c r="K255" s="25">
        <v>7</v>
      </c>
      <c r="L255" s="28">
        <v>85665762</v>
      </c>
      <c r="M255" s="29">
        <v>64517076</v>
      </c>
      <c r="N255" s="29">
        <v>64517076</v>
      </c>
      <c r="O255" s="95"/>
      <c r="P255" s="96"/>
      <c r="Q255" s="97">
        <v>1112574</v>
      </c>
      <c r="R255" s="97">
        <v>22251487</v>
      </c>
      <c r="S255" s="98">
        <v>41153018</v>
      </c>
      <c r="T255" s="99"/>
      <c r="U255" s="79"/>
      <c r="V255" s="621">
        <v>49</v>
      </c>
      <c r="W255" s="808"/>
      <c r="X255" s="44"/>
      <c r="Y255" s="44"/>
      <c r="Z255" s="44"/>
      <c r="AA255" s="593"/>
      <c r="AB255" s="827"/>
      <c r="AC255" s="592"/>
      <c r="AD255" s="1159"/>
      <c r="AE255" s="593"/>
      <c r="AF255" s="827"/>
      <c r="AG255" s="594"/>
      <c r="AH255" s="575"/>
      <c r="AI255" s="792">
        <f>+AH255*AG255</f>
        <v>0</v>
      </c>
    </row>
    <row r="256" spans="1:35" s="45" customFormat="1">
      <c r="A256" s="584"/>
      <c r="B256" s="74">
        <v>8</v>
      </c>
      <c r="C256" s="75" t="s">
        <v>1023</v>
      </c>
      <c r="D256" s="76"/>
      <c r="E256" s="76"/>
      <c r="F256" s="76"/>
      <c r="G256" s="126"/>
      <c r="H256" s="576"/>
      <c r="I256" s="575"/>
      <c r="J256" s="575"/>
      <c r="K256" s="575"/>
      <c r="L256" s="577"/>
      <c r="M256" s="578"/>
      <c r="N256" s="585"/>
      <c r="O256" s="95"/>
      <c r="P256" s="579"/>
      <c r="Q256" s="580"/>
      <c r="R256" s="580"/>
      <c r="S256" s="581"/>
      <c r="T256" s="582"/>
      <c r="U256" s="79"/>
      <c r="V256" s="621"/>
      <c r="W256" s="808"/>
      <c r="X256" s="44"/>
      <c r="Y256" s="44"/>
      <c r="Z256" s="44"/>
      <c r="AA256" s="1060" t="s">
        <v>1023</v>
      </c>
      <c r="AB256" s="1061"/>
      <c r="AC256" s="1111">
        <v>8</v>
      </c>
      <c r="AD256" s="1156"/>
      <c r="AE256" s="1060" t="s">
        <v>1023</v>
      </c>
      <c r="AF256" s="1061"/>
      <c r="AG256" s="1061"/>
      <c r="AH256" s="1061"/>
      <c r="AI256" s="1113"/>
    </row>
    <row r="257" spans="1:35" s="45" customFormat="1">
      <c r="A257" s="584"/>
      <c r="B257" s="771"/>
      <c r="C257" s="788" t="s">
        <v>947</v>
      </c>
      <c r="D257" s="772"/>
      <c r="E257" s="773"/>
      <c r="F257" s="587"/>
      <c r="G257" s="774"/>
      <c r="H257" s="576"/>
      <c r="I257" s="575"/>
      <c r="J257" s="575"/>
      <c r="K257" s="575"/>
      <c r="L257" s="577"/>
      <c r="M257" s="578"/>
      <c r="N257" s="585"/>
      <c r="O257" s="95"/>
      <c r="P257" s="579"/>
      <c r="Q257" s="580"/>
      <c r="R257" s="580"/>
      <c r="S257" s="581"/>
      <c r="T257" s="582"/>
      <c r="U257" s="79"/>
      <c r="V257" s="621"/>
      <c r="W257" s="808"/>
      <c r="X257" s="44"/>
      <c r="Y257" s="44"/>
      <c r="Z257" s="44"/>
      <c r="AA257" s="788" t="s">
        <v>947</v>
      </c>
      <c r="AB257" s="772"/>
      <c r="AC257" s="771"/>
      <c r="AD257" s="1154"/>
      <c r="AE257" s="788" t="s">
        <v>947</v>
      </c>
      <c r="AF257" s="772"/>
      <c r="AG257" s="773"/>
      <c r="AH257" s="587"/>
      <c r="AI257" s="774"/>
    </row>
    <row r="258" spans="1:35" s="45" customFormat="1" ht="38.25">
      <c r="A258" s="584"/>
      <c r="B258" s="771">
        <v>8.1</v>
      </c>
      <c r="C258" s="102" t="s">
        <v>943</v>
      </c>
      <c r="D258" s="772" t="s">
        <v>139</v>
      </c>
      <c r="E258" s="587">
        <v>590</v>
      </c>
      <c r="F258" s="587">
        <v>2610</v>
      </c>
      <c r="G258" s="774">
        <f>+E258*F258</f>
        <v>1539900</v>
      </c>
      <c r="H258" s="576"/>
      <c r="I258" s="575"/>
      <c r="J258" s="575"/>
      <c r="K258" s="575"/>
      <c r="L258" s="577"/>
      <c r="M258" s="578"/>
      <c r="N258" s="585"/>
      <c r="O258" s="95"/>
      <c r="P258" s="579"/>
      <c r="Q258" s="580"/>
      <c r="R258" s="580"/>
      <c r="S258" s="581"/>
      <c r="T258" s="582"/>
      <c r="U258" s="79"/>
      <c r="V258" s="621"/>
      <c r="W258" s="808"/>
      <c r="X258" s="44"/>
      <c r="Y258" s="44"/>
      <c r="Z258" s="44"/>
      <c r="AA258" s="102" t="s">
        <v>943</v>
      </c>
      <c r="AB258" s="772" t="s">
        <v>139</v>
      </c>
      <c r="AC258" s="771">
        <v>8.1</v>
      </c>
      <c r="AD258" s="1154"/>
      <c r="AE258" s="102" t="s">
        <v>943</v>
      </c>
      <c r="AF258" s="772" t="s">
        <v>139</v>
      </c>
      <c r="AG258" s="587">
        <v>590</v>
      </c>
      <c r="AH258" s="587">
        <v>2610</v>
      </c>
      <c r="AI258" s="774">
        <f t="shared" ref="AI258:AI263" si="67">+AG258*AH258</f>
        <v>1539900</v>
      </c>
    </row>
    <row r="259" spans="1:35" s="45" customFormat="1" ht="38.25">
      <c r="A259" s="584"/>
      <c r="B259" s="771">
        <f>+B258+0.1</f>
        <v>8.1999999999999993</v>
      </c>
      <c r="C259" s="102" t="s">
        <v>1101</v>
      </c>
      <c r="D259" s="772" t="s">
        <v>139</v>
      </c>
      <c r="E259" s="587">
        <f>+E258</f>
        <v>590</v>
      </c>
      <c r="F259" s="587">
        <v>5190</v>
      </c>
      <c r="G259" s="774">
        <f t="shared" ref="G259:G261" si="68">+E259*F259</f>
        <v>3062100</v>
      </c>
      <c r="H259" s="576"/>
      <c r="I259" s="575"/>
      <c r="J259" s="575"/>
      <c r="K259" s="575"/>
      <c r="L259" s="577"/>
      <c r="M259" s="578"/>
      <c r="N259" s="585"/>
      <c r="O259" s="95"/>
      <c r="P259" s="579"/>
      <c r="Q259" s="580"/>
      <c r="R259" s="580"/>
      <c r="S259" s="581"/>
      <c r="T259" s="582"/>
      <c r="U259" s="79"/>
      <c r="V259" s="621"/>
      <c r="W259" s="808"/>
      <c r="X259" s="44"/>
      <c r="Y259" s="44"/>
      <c r="Z259" s="44"/>
      <c r="AA259" s="102" t="s">
        <v>1101</v>
      </c>
      <c r="AB259" s="772" t="s">
        <v>139</v>
      </c>
      <c r="AC259" s="771">
        <f>+AC258+0.1</f>
        <v>8.1999999999999993</v>
      </c>
      <c r="AD259" s="1154"/>
      <c r="AE259" s="102" t="s">
        <v>1101</v>
      </c>
      <c r="AF259" s="772" t="s">
        <v>139</v>
      </c>
      <c r="AG259" s="587">
        <f>+AG258</f>
        <v>590</v>
      </c>
      <c r="AH259" s="587">
        <v>5190</v>
      </c>
      <c r="AI259" s="774">
        <f t="shared" si="67"/>
        <v>3062100</v>
      </c>
    </row>
    <row r="260" spans="1:35" s="45" customFormat="1" ht="51">
      <c r="A260" s="584"/>
      <c r="B260" s="771">
        <f t="shared" ref="B260:B262" si="69">+B259+0.1</f>
        <v>8.2999999999999989</v>
      </c>
      <c r="C260" s="102" t="s">
        <v>497</v>
      </c>
      <c r="D260" s="777" t="s">
        <v>56</v>
      </c>
      <c r="E260" s="587">
        <v>163</v>
      </c>
      <c r="F260" s="587">
        <v>17220</v>
      </c>
      <c r="G260" s="774">
        <f t="shared" si="68"/>
        <v>2806860</v>
      </c>
      <c r="H260" s="576"/>
      <c r="I260" s="575"/>
      <c r="J260" s="575"/>
      <c r="K260" s="575"/>
      <c r="L260" s="577"/>
      <c r="M260" s="578"/>
      <c r="N260" s="585"/>
      <c r="O260" s="95"/>
      <c r="P260" s="579"/>
      <c r="Q260" s="580"/>
      <c r="R260" s="580"/>
      <c r="S260" s="581"/>
      <c r="T260" s="582"/>
      <c r="U260" s="79"/>
      <c r="V260" s="621"/>
      <c r="W260" s="808"/>
      <c r="X260" s="44"/>
      <c r="Y260" s="44"/>
      <c r="Z260" s="44"/>
      <c r="AA260" s="102" t="s">
        <v>497</v>
      </c>
      <c r="AB260" s="777" t="s">
        <v>56</v>
      </c>
      <c r="AC260" s="771">
        <f>+AC259+0.1</f>
        <v>8.2999999999999989</v>
      </c>
      <c r="AD260" s="1154"/>
      <c r="AE260" s="102" t="s">
        <v>497</v>
      </c>
      <c r="AF260" s="777" t="s">
        <v>56</v>
      </c>
      <c r="AG260" s="587">
        <v>163</v>
      </c>
      <c r="AH260" s="587">
        <v>17220</v>
      </c>
      <c r="AI260" s="774">
        <f t="shared" si="67"/>
        <v>2806860</v>
      </c>
    </row>
    <row r="261" spans="1:35" s="45" customFormat="1" ht="25.5">
      <c r="A261" s="584"/>
      <c r="B261" s="771">
        <f t="shared" si="69"/>
        <v>8.3999999999999986</v>
      </c>
      <c r="C261" s="782" t="s">
        <v>1003</v>
      </c>
      <c r="D261" s="790" t="s">
        <v>139</v>
      </c>
      <c r="E261" s="780">
        <v>55</v>
      </c>
      <c r="F261" s="587">
        <v>393333</v>
      </c>
      <c r="G261" s="774">
        <f t="shared" si="68"/>
        <v>21633315</v>
      </c>
      <c r="H261" s="576"/>
      <c r="I261" s="575"/>
      <c r="J261" s="575"/>
      <c r="K261" s="575"/>
      <c r="L261" s="577"/>
      <c r="M261" s="578"/>
      <c r="N261" s="585"/>
      <c r="O261" s="95"/>
      <c r="P261" s="579"/>
      <c r="Q261" s="580"/>
      <c r="R261" s="580"/>
      <c r="S261" s="581"/>
      <c r="T261" s="582"/>
      <c r="U261" s="79"/>
      <c r="V261" s="621"/>
      <c r="W261" s="808"/>
      <c r="X261" s="44"/>
      <c r="Y261" s="44"/>
      <c r="Z261" s="44"/>
      <c r="AA261" s="1062" t="s">
        <v>1003</v>
      </c>
      <c r="AB261" s="1086" t="s">
        <v>139</v>
      </c>
      <c r="AC261" s="771">
        <f>+AC260+0.1</f>
        <v>8.3999999999999986</v>
      </c>
      <c r="AD261" s="1154"/>
      <c r="AE261" s="1062" t="s">
        <v>1003</v>
      </c>
      <c r="AF261" s="1086" t="s">
        <v>139</v>
      </c>
      <c r="AG261" s="1059">
        <v>55</v>
      </c>
      <c r="AH261" s="587">
        <v>448900</v>
      </c>
      <c r="AI261" s="774">
        <f t="shared" si="67"/>
        <v>24689500</v>
      </c>
    </row>
    <row r="262" spans="1:35" s="45" customFormat="1" ht="63.75">
      <c r="A262" s="584"/>
      <c r="B262" s="771">
        <f t="shared" si="69"/>
        <v>8.4999999999999982</v>
      </c>
      <c r="C262" s="102" t="s">
        <v>976</v>
      </c>
      <c r="D262" s="772" t="s">
        <v>139</v>
      </c>
      <c r="E262" s="587">
        <v>15</v>
      </c>
      <c r="F262" s="837">
        <v>614040</v>
      </c>
      <c r="G262" s="774">
        <f>+E262*F262</f>
        <v>9210600</v>
      </c>
      <c r="H262" s="576"/>
      <c r="I262" s="575"/>
      <c r="J262" s="575"/>
      <c r="K262" s="575"/>
      <c r="L262" s="577"/>
      <c r="M262" s="578"/>
      <c r="N262" s="585"/>
      <c r="O262" s="95"/>
      <c r="P262" s="579"/>
      <c r="Q262" s="580"/>
      <c r="R262" s="580"/>
      <c r="S262" s="581"/>
      <c r="T262" s="582"/>
      <c r="U262" s="79"/>
      <c r="V262" s="621"/>
      <c r="W262" s="808"/>
      <c r="X262" s="44"/>
      <c r="Y262" s="44"/>
      <c r="Z262" s="44"/>
      <c r="AA262" s="102" t="s">
        <v>976</v>
      </c>
      <c r="AB262" s="772" t="s">
        <v>139</v>
      </c>
      <c r="AC262" s="771">
        <f>+AC261+0.1</f>
        <v>8.4999999999999982</v>
      </c>
      <c r="AD262" s="1154"/>
      <c r="AE262" s="102" t="s">
        <v>976</v>
      </c>
      <c r="AF262" s="772" t="s">
        <v>139</v>
      </c>
      <c r="AG262" s="587">
        <v>15</v>
      </c>
      <c r="AH262" s="837">
        <v>614040</v>
      </c>
      <c r="AI262" s="774">
        <f t="shared" si="67"/>
        <v>9210600</v>
      </c>
    </row>
    <row r="263" spans="1:35" s="45" customFormat="1">
      <c r="A263" s="584"/>
      <c r="B263" s="771"/>
      <c r="C263" s="102"/>
      <c r="D263" s="772"/>
      <c r="E263" s="587"/>
      <c r="F263" s="587"/>
      <c r="G263" s="774">
        <f>+E263*F263</f>
        <v>0</v>
      </c>
      <c r="H263" s="576"/>
      <c r="I263" s="575"/>
      <c r="J263" s="575"/>
      <c r="K263" s="575"/>
      <c r="L263" s="577"/>
      <c r="M263" s="578"/>
      <c r="N263" s="585"/>
      <c r="O263" s="95"/>
      <c r="P263" s="579"/>
      <c r="Q263" s="580"/>
      <c r="R263" s="580"/>
      <c r="S263" s="581"/>
      <c r="T263" s="582"/>
      <c r="U263" s="79"/>
      <c r="V263" s="621"/>
      <c r="W263" s="808"/>
      <c r="X263" s="44"/>
      <c r="Y263" s="44"/>
      <c r="Z263" s="44"/>
      <c r="AA263" s="102"/>
      <c r="AB263" s="772"/>
      <c r="AC263" s="771"/>
      <c r="AD263" s="1154"/>
      <c r="AE263" s="102"/>
      <c r="AF263" s="772"/>
      <c r="AG263" s="587"/>
      <c r="AH263" s="587"/>
      <c r="AI263" s="774">
        <f t="shared" si="67"/>
        <v>0</v>
      </c>
    </row>
    <row r="264" spans="1:35" s="45" customFormat="1" ht="15.75" thickBot="1">
      <c r="A264" s="584"/>
      <c r="B264" s="771"/>
      <c r="C264" s="114"/>
      <c r="D264" s="115"/>
      <c r="E264" s="116"/>
      <c r="F264" s="117" t="s">
        <v>1099</v>
      </c>
      <c r="G264" s="118">
        <f>SUM(G257:G263)</f>
        <v>38252775</v>
      </c>
      <c r="H264" s="576"/>
      <c r="I264" s="575"/>
      <c r="J264" s="575"/>
      <c r="K264" s="575"/>
      <c r="L264" s="577"/>
      <c r="M264" s="578"/>
      <c r="N264" s="585"/>
      <c r="O264" s="95"/>
      <c r="P264" s="579"/>
      <c r="Q264" s="580"/>
      <c r="R264" s="580"/>
      <c r="S264" s="581"/>
      <c r="T264" s="582"/>
      <c r="U264" s="79"/>
      <c r="V264" s="621"/>
      <c r="W264" s="808"/>
      <c r="X264" s="44"/>
      <c r="Y264" s="44"/>
      <c r="Z264" s="44"/>
      <c r="AA264" s="1064"/>
      <c r="AB264" s="1065"/>
      <c r="AC264" s="771"/>
      <c r="AD264" s="823"/>
      <c r="AE264" s="1064"/>
      <c r="AF264" s="1065"/>
      <c r="AG264" s="1066"/>
      <c r="AH264" s="1073" t="s">
        <v>1099</v>
      </c>
      <c r="AI264" s="1117">
        <f>SUM(AI257:AI263)</f>
        <v>41308960</v>
      </c>
    </row>
    <row r="265" spans="1:35" s="45" customFormat="1">
      <c r="A265" s="584"/>
      <c r="B265" s="771"/>
      <c r="C265" s="102"/>
      <c r="D265" s="772"/>
      <c r="E265" s="587"/>
      <c r="F265" s="587"/>
      <c r="G265" s="774"/>
      <c r="H265" s="576"/>
      <c r="I265" s="575"/>
      <c r="J265" s="575"/>
      <c r="K265" s="575"/>
      <c r="L265" s="577"/>
      <c r="M265" s="578"/>
      <c r="N265" s="585"/>
      <c r="O265" s="95"/>
      <c r="P265" s="579"/>
      <c r="Q265" s="580"/>
      <c r="R265" s="580"/>
      <c r="S265" s="581"/>
      <c r="T265" s="582"/>
      <c r="U265" s="79"/>
      <c r="V265" s="621"/>
      <c r="W265" s="808"/>
      <c r="X265" s="44"/>
      <c r="Y265" s="44"/>
      <c r="Z265" s="44"/>
      <c r="AA265" s="102"/>
      <c r="AB265" s="772"/>
      <c r="AC265" s="771"/>
      <c r="AD265" s="1154"/>
      <c r="AE265" s="102"/>
      <c r="AF265" s="772"/>
      <c r="AG265" s="587"/>
      <c r="AH265" s="587"/>
      <c r="AI265" s="774"/>
    </row>
    <row r="266" spans="1:35" s="45" customFormat="1" ht="51">
      <c r="A266" s="584"/>
      <c r="B266" s="771">
        <f>+B262+0.1</f>
        <v>8.5999999999999979</v>
      </c>
      <c r="C266" s="102" t="s">
        <v>522</v>
      </c>
      <c r="D266" s="777" t="s">
        <v>142</v>
      </c>
      <c r="E266" s="780">
        <v>5000</v>
      </c>
      <c r="F266" s="891">
        <v>3100</v>
      </c>
      <c r="G266" s="774">
        <f>+E266*F268</f>
        <v>22500000</v>
      </c>
      <c r="H266" s="576"/>
      <c r="I266" s="575"/>
      <c r="J266" s="575"/>
      <c r="K266" s="575"/>
      <c r="L266" s="577"/>
      <c r="M266" s="578"/>
      <c r="N266" s="585"/>
      <c r="O266" s="95"/>
      <c r="P266" s="579"/>
      <c r="Q266" s="580"/>
      <c r="R266" s="580"/>
      <c r="S266" s="581"/>
      <c r="T266" s="582"/>
      <c r="U266" s="79"/>
      <c r="V266" s="621"/>
      <c r="W266" s="808"/>
      <c r="X266" s="44"/>
      <c r="Y266" s="44"/>
      <c r="Z266" s="44"/>
      <c r="AA266" s="102" t="s">
        <v>522</v>
      </c>
      <c r="AB266" s="777" t="s">
        <v>142</v>
      </c>
      <c r="AC266" s="771">
        <f>+AC262+0.1</f>
        <v>8.5999999999999979</v>
      </c>
      <c r="AD266" s="1154"/>
      <c r="AE266" s="102" t="s">
        <v>522</v>
      </c>
      <c r="AF266" s="777" t="s">
        <v>142</v>
      </c>
      <c r="AG266" s="1059">
        <v>5000</v>
      </c>
      <c r="AH266" s="1090">
        <v>3100</v>
      </c>
      <c r="AI266" s="774">
        <f>+AG266*AH268</f>
        <v>22500000</v>
      </c>
    </row>
    <row r="267" spans="1:35" s="45" customFormat="1" ht="25.5">
      <c r="A267" s="584"/>
      <c r="B267" s="771">
        <f>+B266+0.1</f>
        <v>8.6999999999999975</v>
      </c>
      <c r="C267" s="102" t="s">
        <v>1411</v>
      </c>
      <c r="D267" s="777" t="s">
        <v>500</v>
      </c>
      <c r="E267" s="780">
        <v>90</v>
      </c>
      <c r="F267" s="891">
        <v>18420</v>
      </c>
      <c r="G267" s="774">
        <f t="shared" ref="G267" si="70">E267*F267</f>
        <v>1657800</v>
      </c>
      <c r="H267" s="576"/>
      <c r="I267" s="575"/>
      <c r="J267" s="575"/>
      <c r="K267" s="575"/>
      <c r="L267" s="577"/>
      <c r="M267" s="578"/>
      <c r="N267" s="585"/>
      <c r="O267" s="95"/>
      <c r="P267" s="579"/>
      <c r="Q267" s="580"/>
      <c r="R267" s="580"/>
      <c r="S267" s="581"/>
      <c r="T267" s="582"/>
      <c r="U267" s="79"/>
      <c r="V267" s="621"/>
      <c r="W267" s="808"/>
      <c r="X267" s="44"/>
      <c r="Y267" s="44"/>
      <c r="Z267" s="44"/>
      <c r="AA267" s="102" t="s">
        <v>1411</v>
      </c>
      <c r="AB267" s="777" t="s">
        <v>500</v>
      </c>
      <c r="AC267" s="771">
        <f>+AC266+0.1</f>
        <v>8.6999999999999975</v>
      </c>
      <c r="AD267" s="1154"/>
      <c r="AE267" s="102" t="s">
        <v>1411</v>
      </c>
      <c r="AF267" s="777" t="s">
        <v>500</v>
      </c>
      <c r="AG267" s="1059">
        <v>90</v>
      </c>
      <c r="AH267" s="1090">
        <v>18420</v>
      </c>
      <c r="AI267" s="774">
        <f>AG267*AH267</f>
        <v>1657800</v>
      </c>
    </row>
    <row r="268" spans="1:35" s="45" customFormat="1" ht="25.5">
      <c r="A268" s="584"/>
      <c r="B268" s="771">
        <f>+B267+0.1</f>
        <v>8.7999999999999972</v>
      </c>
      <c r="C268" s="102" t="s">
        <v>942</v>
      </c>
      <c r="D268" s="777" t="s">
        <v>56</v>
      </c>
      <c r="E268" s="780">
        <v>92</v>
      </c>
      <c r="F268" s="891">
        <v>4500</v>
      </c>
      <c r="G268" s="774">
        <f t="shared" ref="G268:G269" si="71">+E268*F269</f>
        <v>5800600</v>
      </c>
      <c r="H268" s="576"/>
      <c r="I268" s="575"/>
      <c r="J268" s="575"/>
      <c r="K268" s="575"/>
      <c r="L268" s="577"/>
      <c r="M268" s="578"/>
      <c r="N268" s="585"/>
      <c r="O268" s="95"/>
      <c r="P268" s="579"/>
      <c r="Q268" s="580"/>
      <c r="R268" s="580"/>
      <c r="S268" s="581"/>
      <c r="T268" s="582"/>
      <c r="U268" s="79"/>
      <c r="V268" s="621"/>
      <c r="W268" s="808"/>
      <c r="X268" s="44"/>
      <c r="Y268" s="44"/>
      <c r="Z268" s="44"/>
      <c r="AA268" s="102" t="s">
        <v>942</v>
      </c>
      <c r="AB268" s="777" t="s">
        <v>56</v>
      </c>
      <c r="AC268" s="771">
        <f>+AC267+0.1</f>
        <v>8.7999999999999972</v>
      </c>
      <c r="AD268" s="1154"/>
      <c r="AE268" s="102" t="s">
        <v>942</v>
      </c>
      <c r="AF268" s="777" t="s">
        <v>56</v>
      </c>
      <c r="AG268" s="1059">
        <v>92</v>
      </c>
      <c r="AH268" s="1090">
        <v>4500</v>
      </c>
      <c r="AI268" s="774">
        <f>+AG268*AH269</f>
        <v>5800600</v>
      </c>
    </row>
    <row r="269" spans="1:35" s="45" customFormat="1" ht="38.25">
      <c r="A269" s="584"/>
      <c r="B269" s="844">
        <v>8.9</v>
      </c>
      <c r="C269" s="102" t="s">
        <v>984</v>
      </c>
      <c r="D269" s="777" t="s">
        <v>139</v>
      </c>
      <c r="E269" s="780">
        <v>11</v>
      </c>
      <c r="F269" s="964">
        <v>63050</v>
      </c>
      <c r="G269" s="774">
        <f t="shared" si="71"/>
        <v>322630</v>
      </c>
      <c r="H269" s="576"/>
      <c r="I269" s="575"/>
      <c r="J269" s="575"/>
      <c r="K269" s="575"/>
      <c r="L269" s="577"/>
      <c r="M269" s="578"/>
      <c r="N269" s="585"/>
      <c r="O269" s="95"/>
      <c r="P269" s="579"/>
      <c r="Q269" s="580"/>
      <c r="R269" s="580"/>
      <c r="S269" s="581"/>
      <c r="T269" s="582"/>
      <c r="U269" s="79"/>
      <c r="V269" s="621"/>
      <c r="W269" s="808"/>
      <c r="X269" s="44"/>
      <c r="Y269" s="44"/>
      <c r="Z269" s="44"/>
      <c r="AA269" s="102" t="s">
        <v>984</v>
      </c>
      <c r="AB269" s="777" t="s">
        <v>139</v>
      </c>
      <c r="AC269" s="844">
        <v>8.9</v>
      </c>
      <c r="AD269" s="1164"/>
      <c r="AE269" s="102" t="s">
        <v>984</v>
      </c>
      <c r="AF269" s="777" t="s">
        <v>139</v>
      </c>
      <c r="AG269" s="1059">
        <v>11</v>
      </c>
      <c r="AH269" s="1080">
        <v>63050</v>
      </c>
      <c r="AI269" s="774">
        <f>+AG269*AH270</f>
        <v>322630</v>
      </c>
    </row>
    <row r="270" spans="1:35" s="45" customFormat="1" ht="25.5">
      <c r="A270" s="584"/>
      <c r="B270" s="779">
        <v>8.1</v>
      </c>
      <c r="C270" s="102" t="s">
        <v>946</v>
      </c>
      <c r="D270" s="777" t="s">
        <v>540</v>
      </c>
      <c r="E270" s="780">
        <v>13</v>
      </c>
      <c r="F270" s="891">
        <v>29330</v>
      </c>
      <c r="G270" s="774">
        <f>+E270*F270</f>
        <v>381290</v>
      </c>
      <c r="H270" s="576"/>
      <c r="I270" s="575"/>
      <c r="J270" s="575"/>
      <c r="K270" s="575"/>
      <c r="L270" s="577"/>
      <c r="M270" s="578"/>
      <c r="N270" s="585"/>
      <c r="O270" s="95"/>
      <c r="P270" s="579"/>
      <c r="Q270" s="580"/>
      <c r="R270" s="580"/>
      <c r="S270" s="581"/>
      <c r="T270" s="582"/>
      <c r="U270" s="79"/>
      <c r="V270" s="621"/>
      <c r="W270" s="808"/>
      <c r="X270" s="44"/>
      <c r="Y270" s="44"/>
      <c r="Z270" s="44"/>
      <c r="AA270" s="102" t="s">
        <v>946</v>
      </c>
      <c r="AB270" s="777" t="s">
        <v>540</v>
      </c>
      <c r="AC270" s="779">
        <v>8.1</v>
      </c>
      <c r="AD270" s="1161"/>
      <c r="AE270" s="102" t="s">
        <v>946</v>
      </c>
      <c r="AF270" s="777" t="s">
        <v>540</v>
      </c>
      <c r="AG270" s="1059">
        <v>13</v>
      </c>
      <c r="AH270" s="1090">
        <v>29330</v>
      </c>
      <c r="AI270" s="774">
        <f>+AG270*AH270</f>
        <v>381290</v>
      </c>
    </row>
    <row r="271" spans="1:35" s="45" customFormat="1" ht="29.25" customHeight="1">
      <c r="A271" s="584"/>
      <c r="B271" s="779">
        <v>8.11</v>
      </c>
      <c r="C271" s="782" t="s">
        <v>1102</v>
      </c>
      <c r="D271" s="772" t="s">
        <v>22</v>
      </c>
      <c r="E271" s="587">
        <v>4</v>
      </c>
      <c r="F271" s="891">
        <v>1240272</v>
      </c>
      <c r="G271" s="774">
        <f t="shared" ref="G271:G276" si="72">+E271*F271</f>
        <v>4961088</v>
      </c>
      <c r="H271" s="576"/>
      <c r="I271" s="575"/>
      <c r="J271" s="575"/>
      <c r="K271" s="575"/>
      <c r="L271" s="577"/>
      <c r="M271" s="578"/>
      <c r="N271" s="585"/>
      <c r="O271" s="95"/>
      <c r="P271" s="579"/>
      <c r="Q271" s="580"/>
      <c r="R271" s="580"/>
      <c r="S271" s="581"/>
      <c r="T271" s="582"/>
      <c r="U271" s="79"/>
      <c r="V271" s="621"/>
      <c r="W271" s="808">
        <f>700000+162000+110000</f>
        <v>972000</v>
      </c>
      <c r="X271" s="44">
        <f>+W271*1.16*1.1</f>
        <v>1240272</v>
      </c>
      <c r="Y271" s="44"/>
      <c r="Z271" s="44"/>
      <c r="AA271" s="1062" t="s">
        <v>1102</v>
      </c>
      <c r="AB271" s="772" t="s">
        <v>22</v>
      </c>
      <c r="AC271" s="779">
        <v>8.11</v>
      </c>
      <c r="AD271" s="1161"/>
      <c r="AE271" s="1062" t="s">
        <v>1102</v>
      </c>
      <c r="AF271" s="772" t="s">
        <v>22</v>
      </c>
      <c r="AG271" s="587">
        <v>4</v>
      </c>
      <c r="AH271" s="1090">
        <v>1240272</v>
      </c>
      <c r="AI271" s="774">
        <f t="shared" ref="AI271:AI276" si="73">+AG271*AH271</f>
        <v>4961088</v>
      </c>
    </row>
    <row r="272" spans="1:35" s="45" customFormat="1" ht="25.5">
      <c r="A272" s="584"/>
      <c r="B272" s="779">
        <v>8.1199999999999992</v>
      </c>
      <c r="C272" s="782" t="s">
        <v>1108</v>
      </c>
      <c r="D272" s="777" t="s">
        <v>22</v>
      </c>
      <c r="E272" s="587">
        <v>12</v>
      </c>
      <c r="F272" s="891">
        <v>40312</v>
      </c>
      <c r="G272" s="774">
        <f t="shared" si="72"/>
        <v>483744</v>
      </c>
      <c r="H272" s="576"/>
      <c r="I272" s="575"/>
      <c r="J272" s="575"/>
      <c r="K272" s="575"/>
      <c r="L272" s="577"/>
      <c r="M272" s="578"/>
      <c r="N272" s="585"/>
      <c r="O272" s="95"/>
      <c r="P272" s="579"/>
      <c r="Q272" s="580"/>
      <c r="R272" s="580"/>
      <c r="S272" s="581"/>
      <c r="T272" s="582"/>
      <c r="U272" s="79"/>
      <c r="V272" s="621"/>
      <c r="W272" s="808"/>
      <c r="X272" s="44"/>
      <c r="Y272" s="44"/>
      <c r="Z272" s="44"/>
      <c r="AA272" s="1062" t="s">
        <v>1108</v>
      </c>
      <c r="AB272" s="777" t="s">
        <v>22</v>
      </c>
      <c r="AC272" s="779">
        <v>8.1199999999999992</v>
      </c>
      <c r="AD272" s="1161"/>
      <c r="AE272" s="1062" t="s">
        <v>1108</v>
      </c>
      <c r="AF272" s="777" t="s">
        <v>22</v>
      </c>
      <c r="AG272" s="587">
        <v>12</v>
      </c>
      <c r="AH272" s="1090">
        <v>40312</v>
      </c>
      <c r="AI272" s="774">
        <f t="shared" si="73"/>
        <v>483744</v>
      </c>
    </row>
    <row r="273" spans="1:35" s="45" customFormat="1" ht="38.25">
      <c r="A273" s="584"/>
      <c r="B273" s="779">
        <f>+B272+0.01</f>
        <v>8.129999999999999</v>
      </c>
      <c r="C273" s="102" t="s">
        <v>1107</v>
      </c>
      <c r="D273" s="790" t="s">
        <v>22</v>
      </c>
      <c r="E273" s="587">
        <v>28</v>
      </c>
      <c r="F273" s="891">
        <v>10810</v>
      </c>
      <c r="G273" s="774">
        <f t="shared" si="72"/>
        <v>302680</v>
      </c>
      <c r="H273" s="576"/>
      <c r="I273" s="575"/>
      <c r="J273" s="575"/>
      <c r="K273" s="575"/>
      <c r="L273" s="577"/>
      <c r="M273" s="578"/>
      <c r="N273" s="585"/>
      <c r="O273" s="95"/>
      <c r="P273" s="579"/>
      <c r="Q273" s="580"/>
      <c r="R273" s="580"/>
      <c r="S273" s="581"/>
      <c r="T273" s="582"/>
      <c r="U273" s="79"/>
      <c r="V273" s="621"/>
      <c r="W273" s="890">
        <v>33593</v>
      </c>
      <c r="X273" s="44">
        <f>+W273*1.2</f>
        <v>40311.599999999999</v>
      </c>
      <c r="Y273" s="44"/>
      <c r="Z273" s="44"/>
      <c r="AA273" s="102" t="s">
        <v>1107</v>
      </c>
      <c r="AB273" s="1086" t="s">
        <v>22</v>
      </c>
      <c r="AC273" s="779">
        <f>+AC272+0.01</f>
        <v>8.129999999999999</v>
      </c>
      <c r="AD273" s="1161"/>
      <c r="AE273" s="102" t="s">
        <v>1107</v>
      </c>
      <c r="AF273" s="1086" t="s">
        <v>22</v>
      </c>
      <c r="AG273" s="587">
        <v>28</v>
      </c>
      <c r="AH273" s="1090">
        <v>10810</v>
      </c>
      <c r="AI273" s="774">
        <f t="shared" si="73"/>
        <v>302680</v>
      </c>
    </row>
    <row r="274" spans="1:35" s="45" customFormat="1" ht="38.25">
      <c r="A274" s="584"/>
      <c r="B274" s="779">
        <f t="shared" ref="B274:B277" si="74">+B273+0.01</f>
        <v>8.1399999999999988</v>
      </c>
      <c r="C274" s="102" t="s">
        <v>1103</v>
      </c>
      <c r="D274" s="772" t="s">
        <v>500</v>
      </c>
      <c r="E274" s="587">
        <v>86</v>
      </c>
      <c r="F274" s="893">
        <v>21516</v>
      </c>
      <c r="G274" s="774">
        <f t="shared" si="72"/>
        <v>1850376</v>
      </c>
      <c r="H274" s="576"/>
      <c r="I274" s="575"/>
      <c r="J274" s="575"/>
      <c r="K274" s="575"/>
      <c r="L274" s="577"/>
      <c r="M274" s="578"/>
      <c r="N274" s="585"/>
      <c r="O274" s="95"/>
      <c r="P274" s="579"/>
      <c r="Q274" s="580"/>
      <c r="R274" s="580"/>
      <c r="S274" s="581"/>
      <c r="T274" s="582"/>
      <c r="U274" s="79"/>
      <c r="V274" s="621"/>
      <c r="W274" s="808"/>
      <c r="X274" s="44"/>
      <c r="Y274" s="44"/>
      <c r="Z274" s="44"/>
      <c r="AA274" s="102" t="s">
        <v>1103</v>
      </c>
      <c r="AB274" s="772" t="s">
        <v>500</v>
      </c>
      <c r="AC274" s="779">
        <f>+AC273+0.01</f>
        <v>8.1399999999999988</v>
      </c>
      <c r="AD274" s="1161"/>
      <c r="AE274" s="102" t="s">
        <v>1103</v>
      </c>
      <c r="AF274" s="772" t="s">
        <v>500</v>
      </c>
      <c r="AG274" s="587">
        <v>86</v>
      </c>
      <c r="AH274" s="1091">
        <v>21516</v>
      </c>
      <c r="AI274" s="774">
        <f t="shared" si="73"/>
        <v>1850376</v>
      </c>
    </row>
    <row r="275" spans="1:35" s="45" customFormat="1" ht="63.75">
      <c r="A275" s="584"/>
      <c r="B275" s="779">
        <f t="shared" si="74"/>
        <v>8.1499999999999986</v>
      </c>
      <c r="C275" s="782" t="s">
        <v>1106</v>
      </c>
      <c r="D275" s="777" t="s">
        <v>139</v>
      </c>
      <c r="E275" s="587">
        <v>44</v>
      </c>
      <c r="F275" s="964">
        <v>63050</v>
      </c>
      <c r="G275" s="774">
        <f t="shared" si="72"/>
        <v>2774200</v>
      </c>
      <c r="H275" s="576"/>
      <c r="I275" s="575"/>
      <c r="J275" s="575"/>
      <c r="K275" s="575"/>
      <c r="L275" s="577"/>
      <c r="M275" s="578"/>
      <c r="N275" s="585"/>
      <c r="O275" s="95"/>
      <c r="P275" s="579"/>
      <c r="Q275" s="580"/>
      <c r="R275" s="580"/>
      <c r="S275" s="581"/>
      <c r="T275" s="582"/>
      <c r="U275" s="79"/>
      <c r="V275" s="621"/>
      <c r="W275" s="808"/>
      <c r="X275" s="44"/>
      <c r="Y275" s="44"/>
      <c r="Z275" s="44"/>
      <c r="AA275" s="1062" t="s">
        <v>1106</v>
      </c>
      <c r="AB275" s="777" t="s">
        <v>139</v>
      </c>
      <c r="AC275" s="779">
        <f>+AC274+0.01</f>
        <v>8.1499999999999986</v>
      </c>
      <c r="AD275" s="1161"/>
      <c r="AE275" s="1062" t="s">
        <v>1106</v>
      </c>
      <c r="AF275" s="777" t="s">
        <v>139</v>
      </c>
      <c r="AG275" s="587">
        <v>44</v>
      </c>
      <c r="AH275" s="1080">
        <v>63050</v>
      </c>
      <c r="AI275" s="774">
        <f t="shared" si="73"/>
        <v>2774200</v>
      </c>
    </row>
    <row r="276" spans="1:35" s="45" customFormat="1" ht="25.5">
      <c r="A276" s="584"/>
      <c r="B276" s="779">
        <f t="shared" si="74"/>
        <v>8.1599999999999984</v>
      </c>
      <c r="C276" s="782" t="s">
        <v>166</v>
      </c>
      <c r="D276" s="777" t="s">
        <v>139</v>
      </c>
      <c r="E276" s="587">
        <v>38</v>
      </c>
      <c r="F276" s="891">
        <v>43840</v>
      </c>
      <c r="G276" s="774">
        <f t="shared" si="72"/>
        <v>1665920</v>
      </c>
      <c r="H276" s="576"/>
      <c r="I276" s="575"/>
      <c r="J276" s="575"/>
      <c r="K276" s="575"/>
      <c r="L276" s="577"/>
      <c r="M276" s="578"/>
      <c r="N276" s="585"/>
      <c r="O276" s="95"/>
      <c r="P276" s="579"/>
      <c r="Q276" s="580"/>
      <c r="R276" s="580"/>
      <c r="S276" s="581"/>
      <c r="T276" s="582"/>
      <c r="U276" s="79"/>
      <c r="V276" s="621"/>
      <c r="W276" s="808"/>
      <c r="X276" s="44"/>
      <c r="Y276" s="44"/>
      <c r="Z276" s="44"/>
      <c r="AA276" s="1062" t="s">
        <v>166</v>
      </c>
      <c r="AB276" s="777" t="s">
        <v>139</v>
      </c>
      <c r="AC276" s="779">
        <f>+AC275+0.01</f>
        <v>8.1599999999999984</v>
      </c>
      <c r="AD276" s="1161"/>
      <c r="AE276" s="1062" t="s">
        <v>166</v>
      </c>
      <c r="AF276" s="777" t="s">
        <v>139</v>
      </c>
      <c r="AG276" s="587">
        <v>38</v>
      </c>
      <c r="AH276" s="1090">
        <v>43840</v>
      </c>
      <c r="AI276" s="774">
        <f t="shared" si="73"/>
        <v>1665920</v>
      </c>
    </row>
    <row r="277" spans="1:35" s="45" customFormat="1" ht="38.25">
      <c r="A277" s="584"/>
      <c r="B277" s="779">
        <f t="shared" si="74"/>
        <v>8.1699999999999982</v>
      </c>
      <c r="C277" s="782" t="s">
        <v>1104</v>
      </c>
      <c r="D277" s="846" t="s">
        <v>22</v>
      </c>
      <c r="E277" s="782">
        <v>4</v>
      </c>
      <c r="F277" s="893">
        <v>158050</v>
      </c>
      <c r="G277" s="774">
        <f t="shared" ref="G277" si="75">+E277*F277</f>
        <v>632200</v>
      </c>
      <c r="H277" s="576"/>
      <c r="I277" s="575"/>
      <c r="J277" s="575"/>
      <c r="K277" s="575"/>
      <c r="L277" s="577"/>
      <c r="M277" s="578"/>
      <c r="N277" s="585"/>
      <c r="O277" s="95"/>
      <c r="P277" s="579"/>
      <c r="Q277" s="580"/>
      <c r="R277" s="580"/>
      <c r="S277" s="581"/>
      <c r="T277" s="582"/>
      <c r="U277" s="79"/>
      <c r="V277" s="621"/>
      <c r="W277" s="808">
        <v>26500</v>
      </c>
      <c r="X277" s="894"/>
      <c r="Y277" s="44"/>
      <c r="Z277" s="44"/>
      <c r="AA277" s="1062" t="s">
        <v>1104</v>
      </c>
      <c r="AB277" s="1087" t="s">
        <v>22</v>
      </c>
      <c r="AC277" s="779">
        <f>+AC276+0.01</f>
        <v>8.1699999999999982</v>
      </c>
      <c r="AD277" s="1161"/>
      <c r="AE277" s="1062" t="s">
        <v>1104</v>
      </c>
      <c r="AF277" s="1087" t="s">
        <v>22</v>
      </c>
      <c r="AG277" s="1062">
        <v>4</v>
      </c>
      <c r="AH277" s="1091">
        <v>158050</v>
      </c>
      <c r="AI277" s="774">
        <f>+AG277*AH277</f>
        <v>632200</v>
      </c>
    </row>
    <row r="278" spans="1:35" s="45" customFormat="1" ht="16.5">
      <c r="A278" s="584"/>
      <c r="B278" s="779"/>
      <c r="C278" s="782"/>
      <c r="D278" s="846"/>
      <c r="E278" s="782"/>
      <c r="F278" s="893"/>
      <c r="G278" s="774"/>
      <c r="H278" s="576"/>
      <c r="I278" s="575"/>
      <c r="J278" s="575"/>
      <c r="K278" s="575"/>
      <c r="L278" s="577"/>
      <c r="M278" s="578"/>
      <c r="N278" s="585"/>
      <c r="O278" s="95"/>
      <c r="P278" s="579"/>
      <c r="Q278" s="580"/>
      <c r="R278" s="580"/>
      <c r="S278" s="581"/>
      <c r="T278" s="582"/>
      <c r="U278" s="79"/>
      <c r="V278" s="621"/>
      <c r="W278" s="890">
        <v>158050</v>
      </c>
      <c r="X278" s="44"/>
      <c r="Y278" s="44"/>
      <c r="Z278" s="44"/>
      <c r="AA278" s="1062"/>
      <c r="AB278" s="1087"/>
      <c r="AC278" s="779"/>
      <c r="AD278" s="1161"/>
      <c r="AE278" s="1062"/>
      <c r="AF278" s="1087"/>
      <c r="AG278" s="1062"/>
      <c r="AH278" s="1091"/>
      <c r="AI278" s="774"/>
    </row>
    <row r="279" spans="1:35" s="45" customFormat="1" ht="15.75" thickBot="1">
      <c r="A279" s="584"/>
      <c r="B279" s="592"/>
      <c r="C279" s="114"/>
      <c r="D279" s="115"/>
      <c r="E279" s="116"/>
      <c r="F279" s="117" t="s">
        <v>1100</v>
      </c>
      <c r="G279" s="1109">
        <f>SUM(G266:G278)</f>
        <v>43332528</v>
      </c>
      <c r="H279" s="576"/>
      <c r="I279" s="575"/>
      <c r="J279" s="575"/>
      <c r="K279" s="575"/>
      <c r="L279" s="577"/>
      <c r="M279" s="578"/>
      <c r="N279" s="585"/>
      <c r="O279" s="95"/>
      <c r="P279" s="579"/>
      <c r="Q279" s="580"/>
      <c r="R279" s="580"/>
      <c r="S279" s="581"/>
      <c r="T279" s="582"/>
      <c r="U279" s="79"/>
      <c r="V279" s="621"/>
      <c r="W279" s="808"/>
      <c r="X279" s="44"/>
      <c r="Y279" s="44"/>
      <c r="Z279" s="44"/>
      <c r="AA279" s="1064"/>
      <c r="AB279" s="1065"/>
      <c r="AC279" s="592"/>
      <c r="AD279" s="1166"/>
      <c r="AE279" s="1064"/>
      <c r="AF279" s="1065"/>
      <c r="AG279" s="1066"/>
      <c r="AH279" s="1073" t="s">
        <v>1100</v>
      </c>
      <c r="AI279" s="1117">
        <f>SUM(AI266:AI278)</f>
        <v>43332528</v>
      </c>
    </row>
    <row r="280" spans="1:35" s="45" customFormat="1">
      <c r="A280" s="584"/>
      <c r="B280" s="592"/>
      <c r="C280" s="140"/>
      <c r="D280" s="23"/>
      <c r="E280" s="107"/>
      <c r="F280" s="25"/>
      <c r="G280" s="1110"/>
      <c r="H280" s="576"/>
      <c r="I280" s="575"/>
      <c r="J280" s="575"/>
      <c r="K280" s="575"/>
      <c r="L280" s="577"/>
      <c r="M280" s="578"/>
      <c r="N280" s="585"/>
      <c r="O280" s="95"/>
      <c r="P280" s="579"/>
      <c r="Q280" s="580"/>
      <c r="R280" s="580"/>
      <c r="S280" s="581"/>
      <c r="T280" s="582"/>
      <c r="U280" s="79"/>
      <c r="V280" s="621"/>
      <c r="W280" s="808"/>
      <c r="X280" s="44"/>
      <c r="Y280" s="44"/>
      <c r="Z280" s="44"/>
      <c r="AA280" s="593"/>
      <c r="AB280" s="999"/>
      <c r="AC280" s="592"/>
      <c r="AD280" s="1159"/>
      <c r="AE280" s="593"/>
      <c r="AF280" s="999"/>
      <c r="AG280" s="1000"/>
      <c r="AH280" s="575"/>
      <c r="AI280" s="795"/>
    </row>
    <row r="281" spans="1:35" s="45" customFormat="1" ht="15.75" thickBot="1">
      <c r="A281" s="584"/>
      <c r="B281" s="1026"/>
      <c r="C281" s="871"/>
      <c r="D281" s="873"/>
      <c r="E281" s="874"/>
      <c r="F281" s="947" t="s">
        <v>1024</v>
      </c>
      <c r="G281" s="1108">
        <f>+G279+G264</f>
        <v>81585303</v>
      </c>
      <c r="H281" s="576"/>
      <c r="I281" s="575"/>
      <c r="J281" s="575"/>
      <c r="K281" s="575"/>
      <c r="L281" s="577"/>
      <c r="M281" s="578"/>
      <c r="N281" s="585"/>
      <c r="O281" s="95"/>
      <c r="P281" s="579"/>
      <c r="Q281" s="580"/>
      <c r="R281" s="580"/>
      <c r="S281" s="581"/>
      <c r="T281" s="582"/>
      <c r="U281" s="79"/>
      <c r="V281" s="621"/>
      <c r="W281" s="808"/>
      <c r="X281" s="44"/>
      <c r="Y281" s="44"/>
      <c r="Z281" s="44"/>
      <c r="AA281" s="1074"/>
      <c r="AB281" s="1075"/>
      <c r="AC281" s="1122"/>
      <c r="AD281" s="1167"/>
      <c r="AE281" s="1074"/>
      <c r="AF281" s="1075"/>
      <c r="AG281" s="1076"/>
      <c r="AH281" s="1077" t="s">
        <v>1024</v>
      </c>
      <c r="AI281" s="1115">
        <f>+AI279+AI264</f>
        <v>84641488</v>
      </c>
    </row>
    <row r="282" spans="1:35" s="45" customFormat="1" ht="15.75" thickBot="1">
      <c r="A282" s="584"/>
      <c r="B282" s="592"/>
      <c r="C282" s="593"/>
      <c r="D282" s="827"/>
      <c r="E282" s="594"/>
      <c r="F282" s="575"/>
      <c r="G282" s="792"/>
      <c r="H282" s="576"/>
      <c r="I282" s="575"/>
      <c r="J282" s="575"/>
      <c r="K282" s="575"/>
      <c r="L282" s="577"/>
      <c r="M282" s="578"/>
      <c r="N282" s="585"/>
      <c r="O282" s="95"/>
      <c r="P282" s="579"/>
      <c r="Q282" s="580"/>
      <c r="R282" s="580"/>
      <c r="S282" s="581"/>
      <c r="T282" s="582"/>
      <c r="U282" s="79"/>
      <c r="V282" s="621"/>
      <c r="W282" s="808"/>
      <c r="X282" s="44"/>
      <c r="Y282" s="44"/>
      <c r="Z282" s="44"/>
      <c r="AA282" s="593"/>
      <c r="AB282" s="827"/>
      <c r="AC282" s="592"/>
      <c r="AD282" s="1159"/>
      <c r="AE282" s="593"/>
      <c r="AF282" s="827"/>
      <c r="AG282" s="594"/>
      <c r="AH282" s="575"/>
      <c r="AI282" s="792"/>
    </row>
    <row r="283" spans="1:35" s="45" customFormat="1">
      <c r="A283" s="584"/>
      <c r="B283" s="592">
        <v>9</v>
      </c>
      <c r="C283" s="75" t="s">
        <v>1038</v>
      </c>
      <c r="D283" s="76"/>
      <c r="E283" s="76"/>
      <c r="F283" s="76"/>
      <c r="G283" s="126"/>
      <c r="H283" s="576"/>
      <c r="I283" s="575"/>
      <c r="J283" s="575"/>
      <c r="K283" s="575"/>
      <c r="L283" s="577"/>
      <c r="M283" s="578"/>
      <c r="N283" s="585"/>
      <c r="O283" s="95"/>
      <c r="P283" s="579"/>
      <c r="Q283" s="580"/>
      <c r="R283" s="580"/>
      <c r="S283" s="581"/>
      <c r="T283" s="582"/>
      <c r="U283" s="79"/>
      <c r="V283" s="621"/>
      <c r="W283" s="808"/>
      <c r="X283" s="44"/>
      <c r="Y283" s="44"/>
      <c r="Z283" s="44"/>
      <c r="AA283" s="1060" t="s">
        <v>1038</v>
      </c>
      <c r="AB283" s="1061"/>
      <c r="AC283" s="592">
        <v>9</v>
      </c>
      <c r="AD283" s="1166"/>
      <c r="AE283" s="1060" t="s">
        <v>1038</v>
      </c>
      <c r="AF283" s="1061"/>
      <c r="AG283" s="1061"/>
      <c r="AH283" s="1061"/>
      <c r="AI283" s="1113"/>
    </row>
    <row r="284" spans="1:35" s="45" customFormat="1" ht="38.25">
      <c r="A284" s="584"/>
      <c r="B284" s="592">
        <v>9.1</v>
      </c>
      <c r="C284" s="102" t="s">
        <v>943</v>
      </c>
      <c r="D284" s="772" t="s">
        <v>139</v>
      </c>
      <c r="E284" s="587">
        <v>135</v>
      </c>
      <c r="F284" s="587">
        <v>2610</v>
      </c>
      <c r="G284" s="774">
        <f>+E284*F284</f>
        <v>352350</v>
      </c>
      <c r="H284" s="576"/>
      <c r="I284" s="575"/>
      <c r="J284" s="575"/>
      <c r="K284" s="575"/>
      <c r="L284" s="577"/>
      <c r="M284" s="578"/>
      <c r="N284" s="585"/>
      <c r="O284" s="95"/>
      <c r="P284" s="579"/>
      <c r="Q284" s="580"/>
      <c r="R284" s="580"/>
      <c r="S284" s="581"/>
      <c r="T284" s="582"/>
      <c r="U284" s="79"/>
      <c r="V284" s="621"/>
      <c r="W284" s="808"/>
      <c r="X284" s="44"/>
      <c r="Y284" s="44"/>
      <c r="Z284" s="44"/>
      <c r="AA284" s="102" t="s">
        <v>943</v>
      </c>
      <c r="AB284" s="772" t="s">
        <v>139</v>
      </c>
      <c r="AC284" s="592">
        <v>9.1</v>
      </c>
      <c r="AD284" s="1168"/>
      <c r="AE284" s="102" t="s">
        <v>943</v>
      </c>
      <c r="AF284" s="772" t="s">
        <v>139</v>
      </c>
      <c r="AG284" s="587">
        <v>135</v>
      </c>
      <c r="AH284" s="587">
        <v>2610</v>
      </c>
      <c r="AI284" s="774">
        <f>+AG284*AH284</f>
        <v>352350</v>
      </c>
    </row>
    <row r="285" spans="1:35" s="45" customFormat="1">
      <c r="A285" s="584"/>
      <c r="B285" s="592">
        <v>9.1999999999999993</v>
      </c>
      <c r="C285" s="102" t="s">
        <v>1046</v>
      </c>
      <c r="D285" s="772"/>
      <c r="E285" s="587"/>
      <c r="F285" s="587"/>
      <c r="G285" s="774"/>
      <c r="H285" s="576"/>
      <c r="I285" s="575"/>
      <c r="J285" s="575"/>
      <c r="K285" s="575"/>
      <c r="L285" s="577"/>
      <c r="M285" s="578"/>
      <c r="N285" s="585"/>
      <c r="O285" s="95"/>
      <c r="P285" s="579"/>
      <c r="Q285" s="580"/>
      <c r="R285" s="580"/>
      <c r="S285" s="581"/>
      <c r="T285" s="582"/>
      <c r="U285" s="79"/>
      <c r="V285" s="621"/>
      <c r="W285" s="808"/>
      <c r="X285" s="44"/>
      <c r="Y285" s="44"/>
      <c r="Z285" s="44"/>
      <c r="AA285" s="102" t="s">
        <v>1046</v>
      </c>
      <c r="AB285" s="772"/>
      <c r="AC285" s="592">
        <v>9.1999999999999993</v>
      </c>
      <c r="AD285" s="1168"/>
      <c r="AE285" s="102" t="s">
        <v>1046</v>
      </c>
      <c r="AF285" s="772"/>
      <c r="AG285" s="587"/>
      <c r="AH285" s="587"/>
      <c r="AI285" s="774"/>
    </row>
    <row r="286" spans="1:35" s="45" customFormat="1" ht="38.25">
      <c r="A286" s="584"/>
      <c r="B286" s="592" t="s">
        <v>1048</v>
      </c>
      <c r="C286" s="593" t="s">
        <v>1039</v>
      </c>
      <c r="D286" s="827" t="s">
        <v>56</v>
      </c>
      <c r="E286" s="594">
        <v>240</v>
      </c>
      <c r="F286" s="575">
        <v>34420</v>
      </c>
      <c r="G286" s="774">
        <f t="shared" ref="G286:G336" si="76">+E286*F286</f>
        <v>8260800</v>
      </c>
      <c r="H286" s="576"/>
      <c r="I286" s="575"/>
      <c r="J286" s="575"/>
      <c r="K286" s="575"/>
      <c r="L286" s="577"/>
      <c r="M286" s="578"/>
      <c r="N286" s="585"/>
      <c r="O286" s="95"/>
      <c r="P286" s="579"/>
      <c r="Q286" s="580"/>
      <c r="R286" s="580"/>
      <c r="S286" s="581"/>
      <c r="T286" s="582"/>
      <c r="U286" s="79"/>
      <c r="V286" s="621"/>
      <c r="W286" s="808"/>
      <c r="X286" s="44"/>
      <c r="Y286" s="44"/>
      <c r="Z286" s="44"/>
      <c r="AA286" s="593" t="s">
        <v>1483</v>
      </c>
      <c r="AB286" s="827" t="s">
        <v>56</v>
      </c>
      <c r="AC286" s="592" t="s">
        <v>1048</v>
      </c>
      <c r="AD286" s="1159"/>
      <c r="AE286" s="593" t="s">
        <v>1483</v>
      </c>
      <c r="AF286" s="827" t="s">
        <v>56</v>
      </c>
      <c r="AG286" s="594">
        <v>240</v>
      </c>
      <c r="AH286" s="575">
        <v>81410</v>
      </c>
      <c r="AI286" s="774">
        <f t="shared" ref="AI286:AI334" si="77">+AG286*AH286</f>
        <v>19538400</v>
      </c>
    </row>
    <row r="287" spans="1:35" s="45" customFormat="1" ht="25.5">
      <c r="A287" s="584"/>
      <c r="B287" s="592">
        <v>9.3000000000000007</v>
      </c>
      <c r="C287" s="593" t="s">
        <v>1047</v>
      </c>
      <c r="D287" s="827"/>
      <c r="E287" s="594"/>
      <c r="F287" s="575"/>
      <c r="G287" s="774"/>
      <c r="H287" s="576"/>
      <c r="I287" s="575"/>
      <c r="J287" s="575"/>
      <c r="K287" s="575"/>
      <c r="L287" s="577"/>
      <c r="M287" s="578"/>
      <c r="N287" s="585"/>
      <c r="O287" s="95"/>
      <c r="P287" s="579"/>
      <c r="Q287" s="580"/>
      <c r="R287" s="580"/>
      <c r="S287" s="581"/>
      <c r="T287" s="582"/>
      <c r="U287" s="79"/>
      <c r="V287" s="621"/>
      <c r="W287" s="808"/>
      <c r="X287" s="44"/>
      <c r="Y287" s="44"/>
      <c r="Z287" s="44"/>
      <c r="AA287" s="593" t="s">
        <v>1047</v>
      </c>
      <c r="AB287" s="827"/>
      <c r="AC287" s="592">
        <v>9.3000000000000007</v>
      </c>
      <c r="AD287" s="1159"/>
      <c r="AE287" s="593" t="s">
        <v>1047</v>
      </c>
      <c r="AF287" s="827"/>
      <c r="AG287" s="594"/>
      <c r="AH287" s="575"/>
      <c r="AI287" s="774"/>
    </row>
    <row r="288" spans="1:35" s="45" customFormat="1" ht="76.5">
      <c r="A288" s="584"/>
      <c r="B288" s="592" t="s">
        <v>1049</v>
      </c>
      <c r="C288" s="593" t="s">
        <v>1040</v>
      </c>
      <c r="D288" s="827" t="s">
        <v>139</v>
      </c>
      <c r="E288" s="594">
        <v>2.2999999999999998</v>
      </c>
      <c r="F288" s="1056">
        <v>312309</v>
      </c>
      <c r="G288" s="774">
        <f t="shared" si="76"/>
        <v>718310.7</v>
      </c>
      <c r="H288" s="576"/>
      <c r="I288" s="575"/>
      <c r="J288" s="575"/>
      <c r="K288" s="575"/>
      <c r="L288" s="577"/>
      <c r="M288" s="578"/>
      <c r="N288" s="585"/>
      <c r="O288" s="95"/>
      <c r="P288" s="579"/>
      <c r="Q288" s="580"/>
      <c r="R288" s="580"/>
      <c r="S288" s="581"/>
      <c r="T288" s="582"/>
      <c r="U288" s="79"/>
      <c r="V288" s="621"/>
      <c r="W288" s="808"/>
      <c r="X288" s="44"/>
      <c r="Y288" s="44"/>
      <c r="Z288" s="44"/>
      <c r="AA288" s="593" t="s">
        <v>1040</v>
      </c>
      <c r="AB288" s="827" t="s">
        <v>139</v>
      </c>
      <c r="AC288" s="592" t="s">
        <v>1049</v>
      </c>
      <c r="AD288" s="1159"/>
      <c r="AE288" s="593" t="s">
        <v>1040</v>
      </c>
      <c r="AF288" s="827" t="s">
        <v>139</v>
      </c>
      <c r="AG288" s="594">
        <v>2.2999999999999998</v>
      </c>
      <c r="AH288" s="575">
        <v>312309</v>
      </c>
      <c r="AI288" s="774">
        <f t="shared" si="77"/>
        <v>718310.7</v>
      </c>
    </row>
    <row r="289" spans="1:35" s="45" customFormat="1" ht="51">
      <c r="A289" s="584"/>
      <c r="B289" s="592"/>
      <c r="C289" s="593" t="s">
        <v>1415</v>
      </c>
      <c r="D289" s="827" t="s">
        <v>56</v>
      </c>
      <c r="E289" s="594">
        <v>18</v>
      </c>
      <c r="F289" s="587">
        <v>17220</v>
      </c>
      <c r="G289" s="774">
        <f t="shared" si="76"/>
        <v>309960</v>
      </c>
      <c r="H289" s="576"/>
      <c r="I289" s="575"/>
      <c r="J289" s="575"/>
      <c r="K289" s="575"/>
      <c r="L289" s="577"/>
      <c r="M289" s="578"/>
      <c r="N289" s="585"/>
      <c r="O289" s="95"/>
      <c r="P289" s="579"/>
      <c r="Q289" s="580"/>
      <c r="R289" s="580"/>
      <c r="S289" s="581"/>
      <c r="T289" s="582"/>
      <c r="U289" s="79"/>
      <c r="V289" s="621"/>
      <c r="W289" s="808"/>
      <c r="X289" s="44"/>
      <c r="Y289" s="44"/>
      <c r="Z289" s="44"/>
      <c r="AA289" s="593" t="s">
        <v>1415</v>
      </c>
      <c r="AB289" s="827" t="s">
        <v>56</v>
      </c>
      <c r="AC289" s="592" t="s">
        <v>1050</v>
      </c>
      <c r="AD289" s="1159"/>
      <c r="AE289" s="593" t="s">
        <v>1415</v>
      </c>
      <c r="AF289" s="827" t="s">
        <v>56</v>
      </c>
      <c r="AG289" s="594">
        <v>18</v>
      </c>
      <c r="AH289" s="587">
        <v>17220</v>
      </c>
      <c r="AI289" s="774">
        <f t="shared" si="77"/>
        <v>309960</v>
      </c>
    </row>
    <row r="290" spans="1:35" s="45" customFormat="1" ht="127.5">
      <c r="A290" s="584"/>
      <c r="B290" s="592" t="s">
        <v>1050</v>
      </c>
      <c r="C290" s="593" t="s">
        <v>1414</v>
      </c>
      <c r="D290" s="827" t="s">
        <v>139</v>
      </c>
      <c r="E290" s="594">
        <v>6.5</v>
      </c>
      <c r="F290" s="575">
        <v>467430</v>
      </c>
      <c r="G290" s="774">
        <f t="shared" si="76"/>
        <v>3038295</v>
      </c>
      <c r="H290" s="576"/>
      <c r="I290" s="575"/>
      <c r="J290" s="575"/>
      <c r="K290" s="575"/>
      <c r="L290" s="577"/>
      <c r="M290" s="578"/>
      <c r="N290" s="585"/>
      <c r="O290" s="95"/>
      <c r="P290" s="579"/>
      <c r="Q290" s="580"/>
      <c r="R290" s="580"/>
      <c r="S290" s="581"/>
      <c r="T290" s="582"/>
      <c r="U290" s="79"/>
      <c r="V290" s="621"/>
      <c r="W290" s="808"/>
      <c r="X290" s="1031"/>
      <c r="Y290" s="44"/>
      <c r="Z290" s="44"/>
      <c r="AA290" s="593" t="s">
        <v>1414</v>
      </c>
      <c r="AB290" s="827" t="s">
        <v>139</v>
      </c>
      <c r="AC290" s="592" t="s">
        <v>1051</v>
      </c>
      <c r="AD290" s="1159"/>
      <c r="AE290" s="593" t="s">
        <v>1414</v>
      </c>
      <c r="AF290" s="827" t="s">
        <v>139</v>
      </c>
      <c r="AG290" s="594">
        <v>6.5</v>
      </c>
      <c r="AH290" s="575">
        <v>467430</v>
      </c>
      <c r="AI290" s="774">
        <f t="shared" si="77"/>
        <v>3038295</v>
      </c>
    </row>
    <row r="291" spans="1:35" s="45" customFormat="1" ht="38.25">
      <c r="A291" s="584"/>
      <c r="B291" s="592" t="s">
        <v>1051</v>
      </c>
      <c r="C291" s="593" t="s">
        <v>1416</v>
      </c>
      <c r="D291" s="827" t="s">
        <v>139</v>
      </c>
      <c r="E291" s="594">
        <v>8.6999999999999993</v>
      </c>
      <c r="F291" s="575">
        <v>656039</v>
      </c>
      <c r="G291" s="774">
        <f t="shared" si="76"/>
        <v>5707539.2999999998</v>
      </c>
      <c r="H291" s="576"/>
      <c r="I291" s="575"/>
      <c r="J291" s="575"/>
      <c r="K291" s="575"/>
      <c r="L291" s="577"/>
      <c r="M291" s="578"/>
      <c r="N291" s="585"/>
      <c r="O291" s="95"/>
      <c r="P291" s="579"/>
      <c r="Q291" s="580"/>
      <c r="R291" s="580"/>
      <c r="S291" s="581"/>
      <c r="T291" s="582"/>
      <c r="U291" s="79"/>
      <c r="V291" s="621"/>
      <c r="W291" s="808"/>
      <c r="X291" s="44"/>
      <c r="Y291" s="44"/>
      <c r="Z291" s="44"/>
      <c r="AA291" s="593" t="s">
        <v>1416</v>
      </c>
      <c r="AB291" s="827" t="s">
        <v>139</v>
      </c>
      <c r="AC291" s="592" t="s">
        <v>1052</v>
      </c>
      <c r="AD291" s="1159"/>
      <c r="AE291" s="593" t="s">
        <v>1416</v>
      </c>
      <c r="AF291" s="827" t="s">
        <v>139</v>
      </c>
      <c r="AG291" s="594">
        <v>8.6999999999999993</v>
      </c>
      <c r="AH291" s="575">
        <v>656039</v>
      </c>
      <c r="AI291" s="774">
        <f t="shared" si="77"/>
        <v>5707539.2999999998</v>
      </c>
    </row>
    <row r="292" spans="1:35" s="45" customFormat="1" ht="51">
      <c r="A292" s="584"/>
      <c r="B292" s="592" t="s">
        <v>1052</v>
      </c>
      <c r="C292" s="593" t="s">
        <v>1417</v>
      </c>
      <c r="D292" s="827" t="s">
        <v>139</v>
      </c>
      <c r="E292" s="594">
        <v>7.6</v>
      </c>
      <c r="F292" s="575">
        <f>+F291</f>
        <v>656039</v>
      </c>
      <c r="G292" s="774">
        <f t="shared" si="76"/>
        <v>4985896.3999999994</v>
      </c>
      <c r="H292" s="576"/>
      <c r="I292" s="575"/>
      <c r="J292" s="575"/>
      <c r="K292" s="575"/>
      <c r="L292" s="577"/>
      <c r="M292" s="578"/>
      <c r="N292" s="585"/>
      <c r="O292" s="95"/>
      <c r="P292" s="579"/>
      <c r="Q292" s="580"/>
      <c r="R292" s="580"/>
      <c r="S292" s="581"/>
      <c r="T292" s="582"/>
      <c r="U292" s="79"/>
      <c r="V292" s="621"/>
      <c r="W292" s="808"/>
      <c r="X292" s="44"/>
      <c r="Y292" s="44"/>
      <c r="Z292" s="44"/>
      <c r="AA292" s="593" t="s">
        <v>1417</v>
      </c>
      <c r="AB292" s="827" t="s">
        <v>139</v>
      </c>
      <c r="AC292" s="592" t="s">
        <v>1053</v>
      </c>
      <c r="AD292" s="1159"/>
      <c r="AE292" s="593" t="s">
        <v>1417</v>
      </c>
      <c r="AF292" s="827" t="s">
        <v>139</v>
      </c>
      <c r="AG292" s="594">
        <v>7.6</v>
      </c>
      <c r="AH292" s="575">
        <f>+AH291</f>
        <v>656039</v>
      </c>
      <c r="AI292" s="774">
        <f t="shared" si="77"/>
        <v>4985896.3999999994</v>
      </c>
    </row>
    <row r="293" spans="1:35" s="45" customFormat="1" ht="51">
      <c r="A293" s="584"/>
      <c r="B293" s="592" t="s">
        <v>1053</v>
      </c>
      <c r="C293" s="593" t="s">
        <v>1418</v>
      </c>
      <c r="D293" s="827" t="s">
        <v>139</v>
      </c>
      <c r="E293" s="594">
        <v>2.5</v>
      </c>
      <c r="F293" s="575">
        <v>640640</v>
      </c>
      <c r="G293" s="774">
        <f t="shared" si="76"/>
        <v>1601600</v>
      </c>
      <c r="H293" s="576"/>
      <c r="I293" s="575"/>
      <c r="J293" s="575"/>
      <c r="K293" s="575"/>
      <c r="L293" s="577"/>
      <c r="M293" s="578"/>
      <c r="N293" s="585"/>
      <c r="O293" s="95"/>
      <c r="P293" s="579"/>
      <c r="Q293" s="580"/>
      <c r="R293" s="580"/>
      <c r="S293" s="581"/>
      <c r="T293" s="582"/>
      <c r="U293" s="79"/>
      <c r="V293" s="621"/>
      <c r="W293" s="808"/>
      <c r="X293" s="44"/>
      <c r="Y293" s="44"/>
      <c r="Z293" s="44"/>
      <c r="AA293" s="593" t="s">
        <v>1418</v>
      </c>
      <c r="AB293" s="827" t="s">
        <v>139</v>
      </c>
      <c r="AC293" s="592" t="s">
        <v>1492</v>
      </c>
      <c r="AD293" s="1159"/>
      <c r="AE293" s="593" t="s">
        <v>1418</v>
      </c>
      <c r="AF293" s="827" t="s">
        <v>139</v>
      </c>
      <c r="AG293" s="594">
        <v>2.5</v>
      </c>
      <c r="AH293" s="575">
        <v>640640</v>
      </c>
      <c r="AI293" s="774">
        <f t="shared" si="77"/>
        <v>1601600</v>
      </c>
    </row>
    <row r="294" spans="1:35" s="45" customFormat="1" ht="25.5">
      <c r="A294" s="584"/>
      <c r="B294" s="592">
        <v>9.4</v>
      </c>
      <c r="C294" s="593" t="s">
        <v>1054</v>
      </c>
      <c r="D294" s="827"/>
      <c r="E294" s="594"/>
      <c r="F294" s="575"/>
      <c r="G294" s="774"/>
      <c r="H294" s="576"/>
      <c r="I294" s="575"/>
      <c r="J294" s="575"/>
      <c r="K294" s="575"/>
      <c r="L294" s="577"/>
      <c r="M294" s="578"/>
      <c r="N294" s="585"/>
      <c r="O294" s="95"/>
      <c r="P294" s="579"/>
      <c r="Q294" s="580"/>
      <c r="R294" s="580"/>
      <c r="S294" s="581"/>
      <c r="T294" s="582"/>
      <c r="U294" s="79"/>
      <c r="V294" s="621"/>
      <c r="W294" s="808"/>
      <c r="X294" s="44"/>
      <c r="Y294" s="44"/>
      <c r="Z294" s="44"/>
      <c r="AA294" s="593" t="s">
        <v>1054</v>
      </c>
      <c r="AB294" s="827"/>
      <c r="AC294" s="592">
        <v>9.4</v>
      </c>
      <c r="AD294" s="1159"/>
      <c r="AE294" s="593" t="s">
        <v>1054</v>
      </c>
      <c r="AF294" s="827"/>
      <c r="AG294" s="594"/>
      <c r="AH294" s="575"/>
      <c r="AI294" s="774"/>
    </row>
    <row r="295" spans="1:35" s="45" customFormat="1" ht="51">
      <c r="A295" s="584"/>
      <c r="B295" s="592" t="s">
        <v>1055</v>
      </c>
      <c r="C295" s="102" t="s">
        <v>522</v>
      </c>
      <c r="D295" s="777" t="s">
        <v>142</v>
      </c>
      <c r="E295" s="780">
        <v>1500</v>
      </c>
      <c r="F295" s="587">
        <v>3100</v>
      </c>
      <c r="G295" s="774">
        <f>+E295*F295</f>
        <v>4650000</v>
      </c>
      <c r="H295" s="576"/>
      <c r="I295" s="575"/>
      <c r="J295" s="575"/>
      <c r="K295" s="575"/>
      <c r="L295" s="577"/>
      <c r="M295" s="578"/>
      <c r="N295" s="585"/>
      <c r="O295" s="95"/>
      <c r="P295" s="579"/>
      <c r="Q295" s="580"/>
      <c r="R295" s="580"/>
      <c r="S295" s="581"/>
      <c r="T295" s="582"/>
      <c r="U295" s="79"/>
      <c r="V295" s="621"/>
      <c r="W295" s="808"/>
      <c r="X295" s="44"/>
      <c r="Y295" s="44"/>
      <c r="Z295" s="44"/>
      <c r="AA295" s="102" t="s">
        <v>522</v>
      </c>
      <c r="AB295" s="777" t="s">
        <v>142</v>
      </c>
      <c r="AC295" s="592" t="s">
        <v>1055</v>
      </c>
      <c r="AD295" s="1168"/>
      <c r="AE295" s="102" t="s">
        <v>522</v>
      </c>
      <c r="AF295" s="777" t="s">
        <v>142</v>
      </c>
      <c r="AG295" s="1059">
        <v>1500</v>
      </c>
      <c r="AH295" s="587">
        <v>3100</v>
      </c>
      <c r="AI295" s="774">
        <f>+AG295*AH295</f>
        <v>4650000</v>
      </c>
    </row>
    <row r="296" spans="1:35" s="45" customFormat="1" ht="51">
      <c r="A296" s="584"/>
      <c r="B296" s="592" t="s">
        <v>1056</v>
      </c>
      <c r="C296" s="102" t="s">
        <v>1044</v>
      </c>
      <c r="D296" s="777" t="s">
        <v>142</v>
      </c>
      <c r="E296" s="780">
        <v>2580</v>
      </c>
      <c r="F296" s="587">
        <v>3100</v>
      </c>
      <c r="G296" s="774">
        <f t="shared" ref="G296" si="78">+E296*F296</f>
        <v>7998000</v>
      </c>
      <c r="H296" s="576"/>
      <c r="I296" s="575"/>
      <c r="J296" s="575"/>
      <c r="K296" s="575"/>
      <c r="L296" s="577"/>
      <c r="M296" s="578"/>
      <c r="N296" s="585"/>
      <c r="O296" s="95"/>
      <c r="P296" s="579"/>
      <c r="Q296" s="580"/>
      <c r="R296" s="580"/>
      <c r="S296" s="581"/>
      <c r="T296" s="582"/>
      <c r="U296" s="79"/>
      <c r="V296" s="621"/>
      <c r="W296" s="808"/>
      <c r="X296" s="44"/>
      <c r="Y296" s="44"/>
      <c r="Z296" s="44"/>
      <c r="AA296" s="102" t="s">
        <v>1044</v>
      </c>
      <c r="AB296" s="777" t="s">
        <v>142</v>
      </c>
      <c r="AC296" s="592" t="s">
        <v>1056</v>
      </c>
      <c r="AD296" s="1168"/>
      <c r="AE296" s="102" t="s">
        <v>1044</v>
      </c>
      <c r="AF296" s="777" t="s">
        <v>142</v>
      </c>
      <c r="AG296" s="1059">
        <v>2580</v>
      </c>
      <c r="AH296" s="587">
        <v>3100</v>
      </c>
      <c r="AI296" s="774">
        <f>+AG296*AH296</f>
        <v>7998000</v>
      </c>
    </row>
    <row r="297" spans="1:35" s="45" customFormat="1">
      <c r="A297" s="584"/>
      <c r="B297" s="592">
        <v>9.5</v>
      </c>
      <c r="C297" s="593" t="s">
        <v>64</v>
      </c>
      <c r="D297" s="827"/>
      <c r="E297" s="594"/>
      <c r="F297" s="575"/>
      <c r="G297" s="774"/>
      <c r="H297" s="576"/>
      <c r="I297" s="575"/>
      <c r="J297" s="575"/>
      <c r="K297" s="575"/>
      <c r="L297" s="577"/>
      <c r="M297" s="578"/>
      <c r="N297" s="585"/>
      <c r="O297" s="95"/>
      <c r="P297" s="579"/>
      <c r="Q297" s="580"/>
      <c r="R297" s="580"/>
      <c r="S297" s="581"/>
      <c r="T297" s="582"/>
      <c r="U297" s="79"/>
      <c r="V297" s="621"/>
      <c r="W297" s="808"/>
      <c r="X297" s="44"/>
      <c r="Y297" s="44"/>
      <c r="Z297" s="44"/>
      <c r="AA297" s="593" t="s">
        <v>64</v>
      </c>
      <c r="AB297" s="827"/>
      <c r="AC297" s="592">
        <v>9.5</v>
      </c>
      <c r="AD297" s="1159"/>
      <c r="AE297" s="593" t="s">
        <v>64</v>
      </c>
      <c r="AF297" s="827"/>
      <c r="AG297" s="594"/>
      <c r="AH297" s="575"/>
      <c r="AI297" s="774"/>
    </row>
    <row r="298" spans="1:35" s="45" customFormat="1" ht="153">
      <c r="A298" s="584"/>
      <c r="B298" s="592" t="s">
        <v>1447</v>
      </c>
      <c r="C298" s="1035" t="s">
        <v>1413</v>
      </c>
      <c r="D298" s="974" t="s">
        <v>500</v>
      </c>
      <c r="E298" s="967">
        <v>241</v>
      </c>
      <c r="F298" s="968">
        <v>37320</v>
      </c>
      <c r="G298" s="774">
        <f t="shared" si="76"/>
        <v>8994120</v>
      </c>
      <c r="H298" s="576"/>
      <c r="I298" s="575"/>
      <c r="J298" s="575"/>
      <c r="K298" s="575"/>
      <c r="L298" s="577"/>
      <c r="M298" s="578"/>
      <c r="N298" s="585"/>
      <c r="O298" s="95"/>
      <c r="P298" s="579"/>
      <c r="Q298" s="580"/>
      <c r="R298" s="580"/>
      <c r="S298" s="581"/>
      <c r="T298" s="582"/>
      <c r="U298" s="79"/>
      <c r="V298" s="621"/>
      <c r="W298" s="808"/>
      <c r="X298" s="44"/>
      <c r="Y298" s="44"/>
      <c r="Z298" s="44"/>
      <c r="AA298" s="1035" t="s">
        <v>1413</v>
      </c>
      <c r="AB298" s="974" t="s">
        <v>500</v>
      </c>
      <c r="AC298" s="592" t="s">
        <v>1447</v>
      </c>
      <c r="AD298" s="1159"/>
      <c r="AE298" s="1035" t="s">
        <v>1413</v>
      </c>
      <c r="AF298" s="974" t="s">
        <v>500</v>
      </c>
      <c r="AG298" s="967">
        <v>241</v>
      </c>
      <c r="AH298" s="968">
        <v>37320</v>
      </c>
      <c r="AI298" s="774">
        <f t="shared" si="77"/>
        <v>8994120</v>
      </c>
    </row>
    <row r="299" spans="1:35" s="45" customFormat="1" ht="51">
      <c r="A299" s="584"/>
      <c r="B299" s="592" t="s">
        <v>1448</v>
      </c>
      <c r="C299" s="1035" t="s">
        <v>1440</v>
      </c>
      <c r="D299" s="974"/>
      <c r="E299" s="1048"/>
      <c r="F299" s="968"/>
      <c r="G299" s="990">
        <f t="shared" ref="G299" si="79">+E299*F299</f>
        <v>0</v>
      </c>
      <c r="H299" s="576"/>
      <c r="I299" s="575"/>
      <c r="J299" s="575"/>
      <c r="K299" s="575"/>
      <c r="L299" s="577"/>
      <c r="M299" s="578"/>
      <c r="N299" s="585"/>
      <c r="O299" s="95"/>
      <c r="P299" s="579"/>
      <c r="Q299" s="580"/>
      <c r="R299" s="580"/>
      <c r="S299" s="581"/>
      <c r="T299" s="582"/>
      <c r="U299" s="79"/>
      <c r="V299" s="621"/>
      <c r="W299" s="808"/>
      <c r="X299" s="44"/>
      <c r="Y299" s="44"/>
      <c r="Z299" s="44"/>
      <c r="AA299" s="1035" t="s">
        <v>1484</v>
      </c>
      <c r="AB299" s="974"/>
      <c r="AC299" s="592" t="s">
        <v>1448</v>
      </c>
      <c r="AD299" s="1159"/>
      <c r="AE299" s="1035" t="s">
        <v>1484</v>
      </c>
      <c r="AF299" s="974"/>
      <c r="AG299" s="967"/>
      <c r="AH299" s="968"/>
      <c r="AI299" s="774"/>
    </row>
    <row r="300" spans="1:35" s="45" customFormat="1" ht="38.25">
      <c r="A300" s="584"/>
      <c r="B300" s="592" t="s">
        <v>1449</v>
      </c>
      <c r="C300" s="1035" t="s">
        <v>1441</v>
      </c>
      <c r="D300" s="974" t="s">
        <v>500</v>
      </c>
      <c r="E300" s="1049">
        <v>12.7</v>
      </c>
      <c r="F300" s="1050">
        <v>28670</v>
      </c>
      <c r="G300" s="774">
        <f t="shared" si="76"/>
        <v>364109</v>
      </c>
      <c r="H300" s="576"/>
      <c r="I300" s="575"/>
      <c r="J300" s="575"/>
      <c r="K300" s="575"/>
      <c r="L300" s="577"/>
      <c r="M300" s="578"/>
      <c r="N300" s="585"/>
      <c r="O300" s="95"/>
      <c r="P300" s="579"/>
      <c r="Q300" s="580"/>
      <c r="R300" s="580"/>
      <c r="S300" s="581"/>
      <c r="T300" s="582"/>
      <c r="U300" s="79"/>
      <c r="V300" s="621"/>
      <c r="W300" s="808"/>
      <c r="X300" s="44"/>
      <c r="Y300" s="44"/>
      <c r="Z300" s="44"/>
      <c r="AA300" s="1035" t="s">
        <v>1441</v>
      </c>
      <c r="AB300" s="974" t="s">
        <v>500</v>
      </c>
      <c r="AC300" s="592" t="s">
        <v>1493</v>
      </c>
      <c r="AD300" s="1159"/>
      <c r="AE300" s="1035" t="s">
        <v>1441</v>
      </c>
      <c r="AF300" s="974" t="s">
        <v>500</v>
      </c>
      <c r="AG300" s="967">
        <v>13</v>
      </c>
      <c r="AH300" s="968">
        <v>28670</v>
      </c>
      <c r="AI300" s="774">
        <f>+AG300*AH300</f>
        <v>372710</v>
      </c>
    </row>
    <row r="301" spans="1:35" s="45" customFormat="1" ht="38.25">
      <c r="A301" s="584"/>
      <c r="B301" s="592" t="s">
        <v>1450</v>
      </c>
      <c r="C301" s="1035" t="s">
        <v>1442</v>
      </c>
      <c r="D301" s="974" t="s">
        <v>56</v>
      </c>
      <c r="E301" s="1051">
        <v>192.51</v>
      </c>
      <c r="F301" s="968">
        <v>26250</v>
      </c>
      <c r="G301" s="774">
        <f t="shared" si="76"/>
        <v>5053387.5</v>
      </c>
      <c r="H301" s="576"/>
      <c r="I301" s="575"/>
      <c r="J301" s="575"/>
      <c r="K301" s="575"/>
      <c r="L301" s="577"/>
      <c r="M301" s="578"/>
      <c r="N301" s="585"/>
      <c r="O301" s="95"/>
      <c r="P301" s="579"/>
      <c r="Q301" s="580"/>
      <c r="R301" s="580"/>
      <c r="S301" s="581"/>
      <c r="T301" s="582"/>
      <c r="U301" s="79"/>
      <c r="V301" s="621"/>
      <c r="W301" s="808"/>
      <c r="X301" s="44"/>
      <c r="Y301" s="44"/>
      <c r="Z301" s="44"/>
      <c r="AA301" s="1035" t="s">
        <v>1485</v>
      </c>
      <c r="AB301" s="974" t="s">
        <v>56</v>
      </c>
      <c r="AC301" s="592" t="s">
        <v>1494</v>
      </c>
      <c r="AD301" s="1159"/>
      <c r="AE301" s="1035" t="s">
        <v>1485</v>
      </c>
      <c r="AF301" s="974" t="s">
        <v>56</v>
      </c>
      <c r="AG301" s="967">
        <v>192.5</v>
      </c>
      <c r="AH301" s="968">
        <v>26250</v>
      </c>
      <c r="AI301" s="774">
        <f t="shared" si="77"/>
        <v>5053125</v>
      </c>
    </row>
    <row r="302" spans="1:35" s="45" customFormat="1" ht="38.25">
      <c r="A302" s="584"/>
      <c r="B302" s="592" t="s">
        <v>1451</v>
      </c>
      <c r="C302" s="1035" t="s">
        <v>1443</v>
      </c>
      <c r="D302" s="974" t="s">
        <v>56</v>
      </c>
      <c r="E302" s="1048">
        <v>69</v>
      </c>
      <c r="F302" s="968">
        <v>15000</v>
      </c>
      <c r="G302" s="774">
        <f t="shared" si="76"/>
        <v>1035000</v>
      </c>
      <c r="H302" s="576"/>
      <c r="I302" s="575"/>
      <c r="J302" s="575"/>
      <c r="K302" s="575"/>
      <c r="L302" s="577"/>
      <c r="M302" s="578"/>
      <c r="N302" s="585"/>
      <c r="O302" s="95"/>
      <c r="P302" s="579"/>
      <c r="Q302" s="580"/>
      <c r="R302" s="580"/>
      <c r="S302" s="581"/>
      <c r="T302" s="582"/>
      <c r="U302" s="79"/>
      <c r="V302" s="621"/>
      <c r="W302" s="808"/>
      <c r="X302" s="44"/>
      <c r="Y302" s="44"/>
      <c r="Z302" s="44"/>
      <c r="AA302" s="1035" t="s">
        <v>1486</v>
      </c>
      <c r="AB302" s="974" t="s">
        <v>56</v>
      </c>
      <c r="AC302" s="592" t="s">
        <v>1495</v>
      </c>
      <c r="AD302" s="1159"/>
      <c r="AE302" s="1035" t="s">
        <v>1486</v>
      </c>
      <c r="AF302" s="974" t="s">
        <v>56</v>
      </c>
      <c r="AG302" s="967">
        <v>69</v>
      </c>
      <c r="AH302" s="968">
        <v>15000</v>
      </c>
      <c r="AI302" s="774">
        <f t="shared" si="77"/>
        <v>1035000</v>
      </c>
    </row>
    <row r="303" spans="1:35" s="45" customFormat="1" ht="38.25">
      <c r="A303" s="584"/>
      <c r="B303" s="592" t="s">
        <v>1452</v>
      </c>
      <c r="C303" s="1035" t="s">
        <v>1444</v>
      </c>
      <c r="D303" s="974" t="s">
        <v>56</v>
      </c>
      <c r="E303" s="1048">
        <v>308</v>
      </c>
      <c r="F303" s="968">
        <v>24050</v>
      </c>
      <c r="G303" s="774">
        <f t="shared" si="76"/>
        <v>7407400</v>
      </c>
      <c r="H303" s="576"/>
      <c r="I303" s="575"/>
      <c r="J303" s="575"/>
      <c r="K303" s="575"/>
      <c r="L303" s="577"/>
      <c r="M303" s="578"/>
      <c r="N303" s="585"/>
      <c r="O303" s="95"/>
      <c r="P303" s="579"/>
      <c r="Q303" s="580"/>
      <c r="R303" s="580"/>
      <c r="S303" s="581"/>
      <c r="T303" s="582"/>
      <c r="U303" s="79"/>
      <c r="V303" s="621"/>
      <c r="W303" s="808"/>
      <c r="X303" s="44"/>
      <c r="Y303" s="44"/>
      <c r="Z303" s="44"/>
      <c r="AA303" s="1035" t="s">
        <v>1487</v>
      </c>
      <c r="AB303" s="974" t="s">
        <v>56</v>
      </c>
      <c r="AC303" s="592" t="s">
        <v>1496</v>
      </c>
      <c r="AD303" s="1159"/>
      <c r="AE303" s="1035" t="s">
        <v>1487</v>
      </c>
      <c r="AF303" s="974" t="s">
        <v>56</v>
      </c>
      <c r="AG303" s="967">
        <v>308</v>
      </c>
      <c r="AH303" s="968">
        <v>24050</v>
      </c>
      <c r="AI303" s="774">
        <f t="shared" si="77"/>
        <v>7407400</v>
      </c>
    </row>
    <row r="304" spans="1:35" s="45" customFormat="1" ht="38.25">
      <c r="A304" s="584"/>
      <c r="B304" s="592" t="s">
        <v>1453</v>
      </c>
      <c r="C304" s="1035" t="s">
        <v>1445</v>
      </c>
      <c r="D304" s="974" t="s">
        <v>56</v>
      </c>
      <c r="E304" s="1048">
        <v>414</v>
      </c>
      <c r="F304" s="968">
        <v>53610</v>
      </c>
      <c r="G304" s="774">
        <f t="shared" si="76"/>
        <v>22194540</v>
      </c>
      <c r="H304" s="576"/>
      <c r="I304" s="575"/>
      <c r="J304" s="575"/>
      <c r="K304" s="575"/>
      <c r="L304" s="577"/>
      <c r="M304" s="578"/>
      <c r="N304" s="585"/>
      <c r="O304" s="95"/>
      <c r="P304" s="579"/>
      <c r="Q304" s="580"/>
      <c r="R304" s="580"/>
      <c r="S304" s="581"/>
      <c r="T304" s="582"/>
      <c r="U304" s="79"/>
      <c r="V304" s="621"/>
      <c r="W304" s="808"/>
      <c r="X304" s="44"/>
      <c r="Y304" s="44"/>
      <c r="Z304" s="44"/>
      <c r="AA304" s="1035" t="s">
        <v>1488</v>
      </c>
      <c r="AB304" s="974" t="s">
        <v>56</v>
      </c>
      <c r="AC304" s="592" t="s">
        <v>1497</v>
      </c>
      <c r="AD304" s="1159"/>
      <c r="AE304" s="1035" t="s">
        <v>1488</v>
      </c>
      <c r="AF304" s="974" t="s">
        <v>56</v>
      </c>
      <c r="AG304" s="967">
        <v>414</v>
      </c>
      <c r="AH304" s="968">
        <v>31970</v>
      </c>
      <c r="AI304" s="774">
        <f t="shared" si="77"/>
        <v>13235580</v>
      </c>
    </row>
    <row r="305" spans="1:35" s="45" customFormat="1" ht="38.25">
      <c r="A305" s="584"/>
      <c r="B305" s="592">
        <v>9.6</v>
      </c>
      <c r="C305" s="1035" t="s">
        <v>1446</v>
      </c>
      <c r="D305" s="974" t="s">
        <v>500</v>
      </c>
      <c r="E305" s="1048">
        <v>57.4</v>
      </c>
      <c r="F305" s="968">
        <v>43880</v>
      </c>
      <c r="G305" s="774">
        <f t="shared" si="76"/>
        <v>2518712</v>
      </c>
      <c r="H305" s="576"/>
      <c r="I305" s="575"/>
      <c r="J305" s="575"/>
      <c r="K305" s="575"/>
      <c r="L305" s="577"/>
      <c r="M305" s="578"/>
      <c r="N305" s="585"/>
      <c r="O305" s="95"/>
      <c r="P305" s="579"/>
      <c r="Q305" s="580"/>
      <c r="R305" s="580"/>
      <c r="S305" s="581"/>
      <c r="T305" s="582"/>
      <c r="U305" s="79"/>
      <c r="V305" s="621"/>
      <c r="W305" s="808"/>
      <c r="X305" s="44"/>
      <c r="Y305" s="44"/>
      <c r="Z305" s="44"/>
      <c r="AA305" s="1035" t="s">
        <v>1489</v>
      </c>
      <c r="AB305" s="974" t="s">
        <v>500</v>
      </c>
      <c r="AC305" s="592">
        <v>9.6</v>
      </c>
      <c r="AD305" s="1159"/>
      <c r="AE305" s="1035" t="s">
        <v>1489</v>
      </c>
      <c r="AF305" s="974" t="s">
        <v>500</v>
      </c>
      <c r="AG305" s="967">
        <v>57.4</v>
      </c>
      <c r="AH305" s="968">
        <v>40500</v>
      </c>
      <c r="AI305" s="774">
        <f t="shared" si="77"/>
        <v>2324700</v>
      </c>
    </row>
    <row r="306" spans="1:35" s="45" customFormat="1" ht="63.75">
      <c r="A306" s="584"/>
      <c r="B306" s="592">
        <v>9.6999999999999993</v>
      </c>
      <c r="C306" s="1052" t="s">
        <v>1419</v>
      </c>
      <c r="D306" s="1053" t="s">
        <v>500</v>
      </c>
      <c r="E306" s="1055">
        <v>13</v>
      </c>
      <c r="F306" s="1054">
        <v>34480</v>
      </c>
      <c r="G306" s="867">
        <f t="shared" si="76"/>
        <v>448240</v>
      </c>
      <c r="H306" s="576"/>
      <c r="I306" s="575"/>
      <c r="J306" s="575"/>
      <c r="K306" s="575"/>
      <c r="L306" s="577"/>
      <c r="M306" s="578"/>
      <c r="N306" s="585"/>
      <c r="O306" s="95"/>
      <c r="P306" s="579"/>
      <c r="Q306" s="580"/>
      <c r="R306" s="580"/>
      <c r="S306" s="581"/>
      <c r="T306" s="582"/>
      <c r="U306" s="79"/>
      <c r="V306" s="621"/>
      <c r="W306" s="808"/>
      <c r="X306" s="44"/>
      <c r="Y306" s="44"/>
      <c r="Z306" s="44"/>
      <c r="AA306" s="1035" t="s">
        <v>1419</v>
      </c>
      <c r="AB306" s="974" t="s">
        <v>500</v>
      </c>
      <c r="AC306" s="592">
        <f>+AC305+0.1</f>
        <v>9.6999999999999993</v>
      </c>
      <c r="AD306" s="1159"/>
      <c r="AE306" s="1035" t="s">
        <v>1419</v>
      </c>
      <c r="AF306" s="974" t="s">
        <v>500</v>
      </c>
      <c r="AG306" s="967">
        <v>13</v>
      </c>
      <c r="AH306" s="968">
        <v>34480</v>
      </c>
      <c r="AI306" s="774">
        <f t="shared" si="77"/>
        <v>448240</v>
      </c>
    </row>
    <row r="307" spans="1:35" s="45" customFormat="1" ht="51">
      <c r="A307" s="584"/>
      <c r="B307" s="592">
        <v>9.8000000000000007</v>
      </c>
      <c r="C307" s="1035" t="s">
        <v>1059</v>
      </c>
      <c r="D307" s="974" t="s">
        <v>56</v>
      </c>
      <c r="E307" s="1055">
        <v>94</v>
      </c>
      <c r="F307" s="968">
        <v>29541</v>
      </c>
      <c r="G307" s="774">
        <f t="shared" si="76"/>
        <v>2776854</v>
      </c>
      <c r="H307" s="576"/>
      <c r="I307" s="575"/>
      <c r="J307" s="575"/>
      <c r="K307" s="575"/>
      <c r="L307" s="577"/>
      <c r="M307" s="578"/>
      <c r="N307" s="585"/>
      <c r="O307" s="95"/>
      <c r="P307" s="579"/>
      <c r="Q307" s="580"/>
      <c r="R307" s="580"/>
      <c r="S307" s="581"/>
      <c r="T307" s="582"/>
      <c r="U307" s="79"/>
      <c r="V307" s="621"/>
      <c r="W307" s="808"/>
      <c r="X307" s="44"/>
      <c r="Y307" s="44"/>
      <c r="Z307" s="44"/>
      <c r="AA307" s="1035" t="s">
        <v>1059</v>
      </c>
      <c r="AB307" s="974" t="s">
        <v>56</v>
      </c>
      <c r="AC307" s="592">
        <f t="shared" ref="AC307:AC308" si="80">+AC306+0.1</f>
        <v>9.7999999999999989</v>
      </c>
      <c r="AD307" s="1159"/>
      <c r="AE307" s="1035" t="s">
        <v>1059</v>
      </c>
      <c r="AF307" s="974" t="s">
        <v>56</v>
      </c>
      <c r="AG307" s="967">
        <v>94</v>
      </c>
      <c r="AH307" s="968">
        <v>29541</v>
      </c>
      <c r="AI307" s="774">
        <f t="shared" si="77"/>
        <v>2776854</v>
      </c>
    </row>
    <row r="308" spans="1:35" s="45" customFormat="1">
      <c r="A308" s="584"/>
      <c r="B308" s="592">
        <v>9.9</v>
      </c>
      <c r="C308" s="593" t="s">
        <v>1060</v>
      </c>
      <c r="D308" s="827"/>
      <c r="E308" s="594"/>
      <c r="F308" s="575"/>
      <c r="G308" s="774"/>
      <c r="H308" s="576"/>
      <c r="I308" s="575"/>
      <c r="J308" s="575"/>
      <c r="K308" s="575"/>
      <c r="L308" s="577"/>
      <c r="M308" s="578"/>
      <c r="N308" s="585"/>
      <c r="O308" s="95"/>
      <c r="P308" s="579"/>
      <c r="Q308" s="580"/>
      <c r="R308" s="580"/>
      <c r="S308" s="581"/>
      <c r="T308" s="582"/>
      <c r="U308" s="79"/>
      <c r="V308" s="621"/>
      <c r="W308" s="808"/>
      <c r="X308" s="44"/>
      <c r="Y308" s="44"/>
      <c r="Z308" s="44"/>
      <c r="AA308" s="593" t="s">
        <v>1060</v>
      </c>
      <c r="AB308" s="827"/>
      <c r="AC308" s="592">
        <f t="shared" si="80"/>
        <v>9.8999999999999986</v>
      </c>
      <c r="AD308" s="1159"/>
      <c r="AE308" s="593" t="s">
        <v>1060</v>
      </c>
      <c r="AF308" s="827"/>
      <c r="AG308" s="594"/>
      <c r="AH308" s="575"/>
      <c r="AI308" s="774"/>
    </row>
    <row r="309" spans="1:35" s="45" customFormat="1" ht="63.75">
      <c r="A309" s="584"/>
      <c r="B309" s="884" t="s">
        <v>1089</v>
      </c>
      <c r="C309" s="593" t="s">
        <v>1061</v>
      </c>
      <c r="D309" s="827" t="s">
        <v>56</v>
      </c>
      <c r="E309" s="1055">
        <v>159</v>
      </c>
      <c r="F309" s="575">
        <v>17130</v>
      </c>
      <c r="G309" s="774">
        <f t="shared" si="76"/>
        <v>2723670</v>
      </c>
      <c r="H309" s="576"/>
      <c r="I309" s="575"/>
      <c r="J309" s="575"/>
      <c r="K309" s="575"/>
      <c r="L309" s="577"/>
      <c r="M309" s="578"/>
      <c r="N309" s="585"/>
      <c r="O309" s="95"/>
      <c r="P309" s="579"/>
      <c r="Q309" s="580"/>
      <c r="R309" s="580"/>
      <c r="S309" s="581"/>
      <c r="T309" s="582"/>
      <c r="U309" s="79"/>
      <c r="V309" s="621"/>
      <c r="W309" s="808"/>
      <c r="X309" s="44"/>
      <c r="Y309" s="44"/>
      <c r="Z309" s="44"/>
      <c r="AA309" s="593" t="s">
        <v>1061</v>
      </c>
      <c r="AB309" s="827" t="s">
        <v>56</v>
      </c>
      <c r="AC309" s="592" t="s">
        <v>1089</v>
      </c>
      <c r="AD309" s="1159"/>
      <c r="AE309" s="593" t="s">
        <v>1061</v>
      </c>
      <c r="AF309" s="827" t="s">
        <v>56</v>
      </c>
      <c r="AG309" s="594">
        <v>159</v>
      </c>
      <c r="AH309" s="575">
        <v>17130</v>
      </c>
      <c r="AI309" s="774">
        <f t="shared" si="77"/>
        <v>2723670</v>
      </c>
    </row>
    <row r="310" spans="1:35" s="45" customFormat="1" ht="51">
      <c r="A310" s="584"/>
      <c r="B310" s="884" t="s">
        <v>1090</v>
      </c>
      <c r="C310" s="593" t="s">
        <v>1062</v>
      </c>
      <c r="D310" s="827" t="s">
        <v>56</v>
      </c>
      <c r="E310" s="1055">
        <v>60</v>
      </c>
      <c r="F310" s="575">
        <v>34392</v>
      </c>
      <c r="G310" s="774">
        <f t="shared" si="76"/>
        <v>2063520</v>
      </c>
      <c r="H310" s="576"/>
      <c r="I310" s="575"/>
      <c r="J310" s="575"/>
      <c r="K310" s="575"/>
      <c r="L310" s="577"/>
      <c r="M310" s="578"/>
      <c r="N310" s="585"/>
      <c r="O310" s="95"/>
      <c r="P310" s="579"/>
      <c r="Q310" s="580"/>
      <c r="R310" s="580"/>
      <c r="S310" s="581"/>
      <c r="T310" s="582"/>
      <c r="U310" s="79"/>
      <c r="V310" s="621"/>
      <c r="W310" s="808"/>
      <c r="X310" s="44"/>
      <c r="Y310" s="44"/>
      <c r="Z310" s="44"/>
      <c r="AA310" s="593" t="s">
        <v>1062</v>
      </c>
      <c r="AB310" s="827" t="s">
        <v>56</v>
      </c>
      <c r="AC310" s="592" t="s">
        <v>1090</v>
      </c>
      <c r="AD310" s="1159"/>
      <c r="AE310" s="593" t="s">
        <v>1062</v>
      </c>
      <c r="AF310" s="827" t="s">
        <v>56</v>
      </c>
      <c r="AG310" s="594">
        <v>60</v>
      </c>
      <c r="AH310" s="575">
        <v>34392</v>
      </c>
      <c r="AI310" s="774">
        <f t="shared" si="77"/>
        <v>2063520</v>
      </c>
    </row>
    <row r="311" spans="1:35" s="45" customFormat="1" ht="63.75">
      <c r="A311" s="584"/>
      <c r="B311" s="884">
        <v>9.1</v>
      </c>
      <c r="C311" s="593" t="s">
        <v>1063</v>
      </c>
      <c r="D311" s="827" t="s">
        <v>56</v>
      </c>
      <c r="E311" s="594">
        <v>168</v>
      </c>
      <c r="F311" s="575">
        <v>25070</v>
      </c>
      <c r="G311" s="774">
        <f t="shared" si="76"/>
        <v>4211760</v>
      </c>
      <c r="H311" s="576"/>
      <c r="I311" s="575"/>
      <c r="J311" s="575"/>
      <c r="K311" s="575"/>
      <c r="L311" s="577"/>
      <c r="M311" s="578"/>
      <c r="N311" s="585"/>
      <c r="O311" s="95"/>
      <c r="P311" s="579"/>
      <c r="Q311" s="580"/>
      <c r="R311" s="580"/>
      <c r="S311" s="581"/>
      <c r="T311" s="582"/>
      <c r="U311" s="79"/>
      <c r="V311" s="621"/>
      <c r="W311" s="808"/>
      <c r="X311" s="44"/>
      <c r="Y311" s="44"/>
      <c r="Z311" s="44"/>
      <c r="AA311" s="593" t="s">
        <v>1063</v>
      </c>
      <c r="AB311" s="827" t="s">
        <v>56</v>
      </c>
      <c r="AC311" s="884">
        <v>9.1</v>
      </c>
      <c r="AD311" s="1169"/>
      <c r="AE311" s="593" t="s">
        <v>1063</v>
      </c>
      <c r="AF311" s="827" t="s">
        <v>56</v>
      </c>
      <c r="AG311" s="594">
        <v>168</v>
      </c>
      <c r="AH311" s="575">
        <v>25070</v>
      </c>
      <c r="AI311" s="774">
        <f t="shared" si="77"/>
        <v>4211760</v>
      </c>
    </row>
    <row r="312" spans="1:35" s="45" customFormat="1" ht="51">
      <c r="A312" s="584"/>
      <c r="B312" s="884">
        <v>9.11</v>
      </c>
      <c r="C312" s="593" t="s">
        <v>1064</v>
      </c>
      <c r="D312" s="827" t="s">
        <v>56</v>
      </c>
      <c r="E312" s="594">
        <v>131</v>
      </c>
      <c r="F312" s="575">
        <v>44727</v>
      </c>
      <c r="G312" s="774">
        <f t="shared" si="76"/>
        <v>5859237</v>
      </c>
      <c r="H312" s="576"/>
      <c r="I312" s="575"/>
      <c r="J312" s="575"/>
      <c r="K312" s="575"/>
      <c r="L312" s="577"/>
      <c r="M312" s="578"/>
      <c r="N312" s="585"/>
      <c r="O312" s="95"/>
      <c r="P312" s="579"/>
      <c r="Q312" s="580"/>
      <c r="R312" s="580"/>
      <c r="S312" s="581"/>
      <c r="T312" s="582"/>
      <c r="U312" s="79"/>
      <c r="V312" s="621"/>
      <c r="W312" s="808"/>
      <c r="X312" s="44"/>
      <c r="Y312" s="44"/>
      <c r="Z312" s="44"/>
      <c r="AA312" s="593" t="s">
        <v>1064</v>
      </c>
      <c r="AB312" s="827" t="s">
        <v>56</v>
      </c>
      <c r="AC312" s="592">
        <v>9.11</v>
      </c>
      <c r="AD312" s="1159"/>
      <c r="AE312" s="593" t="s">
        <v>1064</v>
      </c>
      <c r="AF312" s="827" t="s">
        <v>56</v>
      </c>
      <c r="AG312" s="594">
        <v>131</v>
      </c>
      <c r="AH312" s="575">
        <v>44727</v>
      </c>
      <c r="AI312" s="774">
        <f t="shared" si="77"/>
        <v>5859237</v>
      </c>
    </row>
    <row r="313" spans="1:35" s="45" customFormat="1" ht="25.5">
      <c r="A313" s="584"/>
      <c r="B313" s="884">
        <v>9.1199999999999992</v>
      </c>
      <c r="C313" s="593" t="s">
        <v>1065</v>
      </c>
      <c r="D313" s="827" t="s">
        <v>56</v>
      </c>
      <c r="E313" s="1055">
        <v>8</v>
      </c>
      <c r="F313" s="575">
        <v>90513</v>
      </c>
      <c r="G313" s="774">
        <f t="shared" si="76"/>
        <v>724104</v>
      </c>
      <c r="H313" s="576"/>
      <c r="I313" s="575"/>
      <c r="J313" s="575"/>
      <c r="K313" s="575"/>
      <c r="L313" s="577"/>
      <c r="M313" s="578"/>
      <c r="N313" s="585"/>
      <c r="O313" s="95"/>
      <c r="P313" s="579"/>
      <c r="Q313" s="580"/>
      <c r="R313" s="580"/>
      <c r="S313" s="581"/>
      <c r="T313" s="582"/>
      <c r="U313" s="79"/>
      <c r="V313" s="621"/>
      <c r="W313" s="808"/>
      <c r="X313" s="44"/>
      <c r="Y313" s="44"/>
      <c r="Z313" s="44"/>
      <c r="AA313" s="593" t="s">
        <v>1065</v>
      </c>
      <c r="AB313" s="827" t="s">
        <v>56</v>
      </c>
      <c r="AC313" s="592">
        <v>9.1199999999999992</v>
      </c>
      <c r="AD313" s="1159"/>
      <c r="AE313" s="593" t="s">
        <v>1065</v>
      </c>
      <c r="AF313" s="827" t="s">
        <v>56</v>
      </c>
      <c r="AG313" s="594">
        <v>8</v>
      </c>
      <c r="AH313" s="575">
        <v>90513</v>
      </c>
      <c r="AI313" s="774">
        <f t="shared" si="77"/>
        <v>724104</v>
      </c>
    </row>
    <row r="314" spans="1:35" s="45" customFormat="1" ht="25.5">
      <c r="A314" s="584"/>
      <c r="B314" s="884">
        <v>9.1300000000000008</v>
      </c>
      <c r="C314" s="593" t="s">
        <v>1071</v>
      </c>
      <c r="D314" s="827"/>
      <c r="E314" s="594"/>
      <c r="F314" s="575"/>
      <c r="G314" s="774"/>
      <c r="H314" s="576"/>
      <c r="I314" s="575"/>
      <c r="J314" s="575"/>
      <c r="K314" s="575"/>
      <c r="L314" s="577"/>
      <c r="M314" s="578"/>
      <c r="N314" s="585"/>
      <c r="O314" s="95"/>
      <c r="P314" s="579"/>
      <c r="Q314" s="580"/>
      <c r="R314" s="580"/>
      <c r="S314" s="581"/>
      <c r="T314" s="582"/>
      <c r="U314" s="79"/>
      <c r="V314" s="621"/>
      <c r="W314" s="808"/>
      <c r="X314" s="44"/>
      <c r="Y314" s="44"/>
      <c r="Z314" s="44"/>
      <c r="AA314" s="593" t="s">
        <v>1071</v>
      </c>
      <c r="AB314" s="827"/>
      <c r="AC314" s="592" t="s">
        <v>1498</v>
      </c>
      <c r="AD314" s="1159"/>
      <c r="AE314" s="593" t="s">
        <v>1071</v>
      </c>
      <c r="AF314" s="827"/>
      <c r="AG314" s="594"/>
      <c r="AH314" s="575"/>
      <c r="AI314" s="774"/>
    </row>
    <row r="315" spans="1:35" s="45" customFormat="1" ht="76.5">
      <c r="A315" s="584"/>
      <c r="B315" s="884" t="s">
        <v>1454</v>
      </c>
      <c r="C315" s="593" t="s">
        <v>1073</v>
      </c>
      <c r="D315" s="827" t="s">
        <v>22</v>
      </c>
      <c r="E315" s="594">
        <v>1</v>
      </c>
      <c r="F315" s="575">
        <v>618839</v>
      </c>
      <c r="G315" s="774">
        <f t="shared" si="76"/>
        <v>618839</v>
      </c>
      <c r="H315" s="576"/>
      <c r="I315" s="575"/>
      <c r="J315" s="575"/>
      <c r="K315" s="575"/>
      <c r="L315" s="577"/>
      <c r="M315" s="578"/>
      <c r="N315" s="585"/>
      <c r="O315" s="95"/>
      <c r="P315" s="579"/>
      <c r="Q315" s="580"/>
      <c r="R315" s="580"/>
      <c r="S315" s="581"/>
      <c r="T315" s="582"/>
      <c r="U315" s="79"/>
      <c r="V315" s="621"/>
      <c r="W315" s="808"/>
      <c r="X315" s="44"/>
      <c r="Y315" s="44"/>
      <c r="Z315" s="44"/>
      <c r="AA315" s="593" t="s">
        <v>1073</v>
      </c>
      <c r="AB315" s="827" t="s">
        <v>22</v>
      </c>
      <c r="AC315" s="592" t="s">
        <v>1454</v>
      </c>
      <c r="AD315" s="1159"/>
      <c r="AE315" s="593" t="s">
        <v>1073</v>
      </c>
      <c r="AF315" s="827" t="s">
        <v>22</v>
      </c>
      <c r="AG315" s="594">
        <v>1</v>
      </c>
      <c r="AH315" s="575">
        <v>618839</v>
      </c>
      <c r="AI315" s="774">
        <f t="shared" si="77"/>
        <v>618839</v>
      </c>
    </row>
    <row r="316" spans="1:35" s="45" customFormat="1" ht="89.25">
      <c r="A316" s="584"/>
      <c r="B316" s="884" t="s">
        <v>1455</v>
      </c>
      <c r="C316" s="593" t="s">
        <v>1078</v>
      </c>
      <c r="D316" s="827" t="s">
        <v>56</v>
      </c>
      <c r="E316" s="1055">
        <v>22</v>
      </c>
      <c r="F316" s="575">
        <v>138273</v>
      </c>
      <c r="G316" s="774">
        <f t="shared" si="76"/>
        <v>3042006</v>
      </c>
      <c r="H316" s="576"/>
      <c r="I316" s="575"/>
      <c r="J316" s="575"/>
      <c r="K316" s="575"/>
      <c r="L316" s="577"/>
      <c r="M316" s="578"/>
      <c r="N316" s="585"/>
      <c r="O316" s="95"/>
      <c r="P316" s="579"/>
      <c r="Q316" s="580"/>
      <c r="R316" s="580"/>
      <c r="S316" s="581"/>
      <c r="T316" s="582"/>
      <c r="U316" s="79"/>
      <c r="V316" s="621"/>
      <c r="W316" s="808"/>
      <c r="X316" s="44"/>
      <c r="Y316" s="44"/>
      <c r="Z316" s="44"/>
      <c r="AA316" s="593" t="s">
        <v>1078</v>
      </c>
      <c r="AB316" s="827" t="s">
        <v>56</v>
      </c>
      <c r="AC316" s="592" t="s">
        <v>1455</v>
      </c>
      <c r="AD316" s="1159"/>
      <c r="AE316" s="593" t="s">
        <v>1078</v>
      </c>
      <c r="AF316" s="827" t="s">
        <v>56</v>
      </c>
      <c r="AG316" s="594">
        <v>22</v>
      </c>
      <c r="AH316" s="575">
        <v>138273</v>
      </c>
      <c r="AI316" s="774">
        <f t="shared" si="77"/>
        <v>3042006</v>
      </c>
    </row>
    <row r="317" spans="1:35" s="45" customFormat="1" ht="38.25">
      <c r="A317" s="584"/>
      <c r="B317" s="884" t="s">
        <v>1456</v>
      </c>
      <c r="C317" s="593" t="s">
        <v>1079</v>
      </c>
      <c r="D317" s="827" t="s">
        <v>56</v>
      </c>
      <c r="E317" s="1055"/>
      <c r="F317" s="575">
        <v>135688</v>
      </c>
      <c r="G317" s="774">
        <f t="shared" si="76"/>
        <v>0</v>
      </c>
      <c r="H317" s="576"/>
      <c r="I317" s="575"/>
      <c r="J317" s="575"/>
      <c r="K317" s="575"/>
      <c r="L317" s="577"/>
      <c r="M317" s="578"/>
      <c r="N317" s="585"/>
      <c r="O317" s="95"/>
      <c r="P317" s="579"/>
      <c r="Q317" s="580"/>
      <c r="R317" s="580"/>
      <c r="S317" s="581"/>
      <c r="T317" s="582"/>
      <c r="U317" s="79"/>
      <c r="V317" s="621"/>
      <c r="W317" s="808"/>
      <c r="X317" s="44"/>
      <c r="Y317" s="44"/>
      <c r="Z317" s="44"/>
      <c r="AA317" s="593" t="s">
        <v>1080</v>
      </c>
      <c r="AB317" s="827" t="s">
        <v>500</v>
      </c>
      <c r="AC317" s="1123" t="s">
        <v>1456</v>
      </c>
      <c r="AD317" s="1170"/>
      <c r="AE317" s="593" t="s">
        <v>1080</v>
      </c>
      <c r="AF317" s="827" t="s">
        <v>500</v>
      </c>
      <c r="AG317" s="594">
        <v>9</v>
      </c>
      <c r="AH317" s="575">
        <v>144255</v>
      </c>
      <c r="AI317" s="774">
        <f t="shared" si="77"/>
        <v>1298295</v>
      </c>
    </row>
    <row r="318" spans="1:35" s="45" customFormat="1" ht="51">
      <c r="A318" s="584"/>
      <c r="B318" s="884" t="s">
        <v>1457</v>
      </c>
      <c r="C318" s="593" t="s">
        <v>1080</v>
      </c>
      <c r="D318" s="827" t="s">
        <v>500</v>
      </c>
      <c r="E318" s="1055">
        <v>9</v>
      </c>
      <c r="F318" s="575">
        <v>144255</v>
      </c>
      <c r="G318" s="774">
        <f t="shared" si="76"/>
        <v>1298295</v>
      </c>
      <c r="H318" s="576"/>
      <c r="I318" s="575"/>
      <c r="J318" s="575"/>
      <c r="K318" s="575"/>
      <c r="L318" s="577"/>
      <c r="M318" s="578"/>
      <c r="N318" s="585"/>
      <c r="O318" s="95"/>
      <c r="P318" s="579"/>
      <c r="Q318" s="580"/>
      <c r="R318" s="580"/>
      <c r="S318" s="581"/>
      <c r="T318" s="582"/>
      <c r="U318" s="79"/>
      <c r="V318" s="621"/>
      <c r="W318" s="808"/>
      <c r="X318" s="44"/>
      <c r="Y318" s="44"/>
      <c r="Z318" s="44"/>
      <c r="AA318" s="593" t="s">
        <v>1490</v>
      </c>
      <c r="AB318" s="827" t="s">
        <v>22</v>
      </c>
      <c r="AC318" s="1123" t="s">
        <v>1457</v>
      </c>
      <c r="AD318" s="1170"/>
      <c r="AE318" s="593" t="s">
        <v>1490</v>
      </c>
      <c r="AF318" s="827" t="s">
        <v>22</v>
      </c>
      <c r="AG318" s="594">
        <v>1</v>
      </c>
      <c r="AH318" s="575">
        <v>856320</v>
      </c>
      <c r="AI318" s="774">
        <f t="shared" si="77"/>
        <v>856320</v>
      </c>
    </row>
    <row r="319" spans="1:35" s="45" customFormat="1" ht="38.25">
      <c r="A319" s="584"/>
      <c r="B319" s="884"/>
      <c r="C319" s="593" t="s">
        <v>1469</v>
      </c>
      <c r="D319" s="827" t="s">
        <v>22</v>
      </c>
      <c r="E319" s="1048">
        <v>1</v>
      </c>
      <c r="F319" s="575">
        <v>856320</v>
      </c>
      <c r="G319" s="774">
        <f t="shared" si="76"/>
        <v>856320</v>
      </c>
      <c r="H319" s="576"/>
      <c r="I319" s="575"/>
      <c r="J319" s="575"/>
      <c r="K319" s="575"/>
      <c r="L319" s="577"/>
      <c r="M319" s="578"/>
      <c r="N319" s="585"/>
      <c r="O319" s="95"/>
      <c r="P319" s="579"/>
      <c r="Q319" s="580"/>
      <c r="R319" s="580"/>
      <c r="S319" s="581"/>
      <c r="T319" s="582"/>
      <c r="U319" s="79"/>
      <c r="V319" s="621"/>
      <c r="W319" s="808"/>
      <c r="X319" s="44"/>
      <c r="Y319" s="44"/>
      <c r="Z319" s="44"/>
      <c r="AA319" s="593" t="s">
        <v>1491</v>
      </c>
      <c r="AB319" s="827" t="s">
        <v>139</v>
      </c>
      <c r="AC319" s="1123">
        <v>9.14</v>
      </c>
      <c r="AD319" s="1170"/>
      <c r="AE319" s="593" t="s">
        <v>1491</v>
      </c>
      <c r="AF319" s="827" t="s">
        <v>139</v>
      </c>
      <c r="AG319" s="594">
        <v>0.7</v>
      </c>
      <c r="AH319" s="575">
        <v>670050</v>
      </c>
      <c r="AI319" s="774">
        <f t="shared" si="77"/>
        <v>469034.99999999994</v>
      </c>
    </row>
    <row r="320" spans="1:35" s="45" customFormat="1" ht="51">
      <c r="A320" s="584"/>
      <c r="B320" s="884"/>
      <c r="C320" s="593" t="s">
        <v>1470</v>
      </c>
      <c r="D320" s="827" t="s">
        <v>139</v>
      </c>
      <c r="E320" s="1048">
        <v>0.7</v>
      </c>
      <c r="F320" s="575">
        <v>670050</v>
      </c>
      <c r="G320" s="774">
        <f t="shared" si="76"/>
        <v>469034.99999999994</v>
      </c>
      <c r="H320" s="576"/>
      <c r="I320" s="575"/>
      <c r="J320" s="575"/>
      <c r="K320" s="575"/>
      <c r="L320" s="577"/>
      <c r="M320" s="578"/>
      <c r="N320" s="585"/>
      <c r="O320" s="95"/>
      <c r="P320" s="579"/>
      <c r="Q320" s="580"/>
      <c r="R320" s="580"/>
      <c r="S320" s="581"/>
      <c r="T320" s="582"/>
      <c r="U320" s="79"/>
      <c r="V320" s="621"/>
      <c r="W320" s="808"/>
      <c r="X320" s="44"/>
      <c r="Y320" s="44"/>
      <c r="Z320" s="44"/>
      <c r="AA320" s="593" t="s">
        <v>1081</v>
      </c>
      <c r="AB320" s="827" t="s">
        <v>22</v>
      </c>
      <c r="AC320" s="1123">
        <v>9.15</v>
      </c>
      <c r="AD320" s="1170"/>
      <c r="AE320" s="593" t="s">
        <v>1081</v>
      </c>
      <c r="AF320" s="827" t="s">
        <v>22</v>
      </c>
      <c r="AG320" s="594">
        <v>4</v>
      </c>
      <c r="AH320" s="575">
        <v>273344</v>
      </c>
      <c r="AI320" s="774">
        <f t="shared" si="77"/>
        <v>1093376</v>
      </c>
    </row>
    <row r="321" spans="1:35" s="45" customFormat="1" ht="25.5">
      <c r="A321" s="584"/>
      <c r="B321" s="884" t="s">
        <v>1458</v>
      </c>
      <c r="C321" s="593" t="s">
        <v>1081</v>
      </c>
      <c r="D321" s="827" t="s">
        <v>22</v>
      </c>
      <c r="E321" s="594">
        <v>4</v>
      </c>
      <c r="F321" s="575">
        <v>273344</v>
      </c>
      <c r="G321" s="774">
        <f t="shared" si="76"/>
        <v>1093376</v>
      </c>
      <c r="H321" s="576"/>
      <c r="I321" s="575"/>
      <c r="J321" s="575"/>
      <c r="K321" s="575"/>
      <c r="L321" s="577"/>
      <c r="M321" s="578"/>
      <c r="N321" s="585"/>
      <c r="O321" s="95"/>
      <c r="P321" s="579"/>
      <c r="Q321" s="580"/>
      <c r="R321" s="580"/>
      <c r="S321" s="581"/>
      <c r="T321" s="582"/>
      <c r="U321" s="79"/>
      <c r="V321" s="621"/>
      <c r="W321" s="808"/>
      <c r="X321" s="44"/>
      <c r="Y321" s="44"/>
      <c r="Z321" s="44"/>
      <c r="AA321" s="593" t="s">
        <v>1083</v>
      </c>
      <c r="AB321" s="827"/>
      <c r="AC321" s="592">
        <v>9.16</v>
      </c>
      <c r="AD321" s="1159"/>
      <c r="AE321" s="593" t="s">
        <v>1083</v>
      </c>
      <c r="AF321" s="827"/>
      <c r="AG321" s="594"/>
      <c r="AH321" s="575"/>
      <c r="AI321" s="774"/>
    </row>
    <row r="322" spans="1:35" s="45" customFormat="1" ht="76.5">
      <c r="A322" s="105"/>
      <c r="B322" s="884">
        <v>9.14</v>
      </c>
      <c r="C322" s="593" t="s">
        <v>1083</v>
      </c>
      <c r="D322" s="827"/>
      <c r="E322" s="594"/>
      <c r="F322" s="575"/>
      <c r="G322" s="774"/>
      <c r="H322" s="576"/>
      <c r="I322" s="25"/>
      <c r="J322" s="25"/>
      <c r="K322" s="25"/>
      <c r="L322" s="109"/>
      <c r="M322" s="110"/>
      <c r="N322" s="111"/>
      <c r="O322" s="95"/>
      <c r="P322" s="96"/>
      <c r="Q322" s="97"/>
      <c r="R322" s="97"/>
      <c r="S322" s="98"/>
      <c r="T322" s="99"/>
      <c r="U322" s="79"/>
      <c r="V322" s="621"/>
      <c r="W322" s="807"/>
      <c r="X322" s="44"/>
      <c r="Y322" s="44"/>
      <c r="Z322" s="44"/>
      <c r="AA322" s="593" t="s">
        <v>1084</v>
      </c>
      <c r="AB322" s="827" t="s">
        <v>22</v>
      </c>
      <c r="AC322" s="592" t="s">
        <v>1468</v>
      </c>
      <c r="AD322" s="1159"/>
      <c r="AE322" s="593" t="s">
        <v>1084</v>
      </c>
      <c r="AF322" s="827" t="s">
        <v>22</v>
      </c>
      <c r="AG322" s="594">
        <v>7</v>
      </c>
      <c r="AH322" s="575">
        <v>431569</v>
      </c>
      <c r="AI322" s="774">
        <f t="shared" si="77"/>
        <v>3020983</v>
      </c>
    </row>
    <row r="323" spans="1:35" s="45" customFormat="1" ht="26.25" thickBot="1">
      <c r="A323" s="112" t="s">
        <v>46</v>
      </c>
      <c r="B323" s="884" t="s">
        <v>1459</v>
      </c>
      <c r="C323" s="593" t="s">
        <v>1084</v>
      </c>
      <c r="D323" s="827" t="s">
        <v>22</v>
      </c>
      <c r="E323" s="594">
        <v>7</v>
      </c>
      <c r="F323" s="575">
        <v>431569</v>
      </c>
      <c r="G323" s="774">
        <f t="shared" si="76"/>
        <v>3020983</v>
      </c>
      <c r="H323" s="576"/>
      <c r="I323" s="25"/>
      <c r="J323" s="25"/>
      <c r="K323" s="25"/>
      <c r="L323" s="109"/>
      <c r="M323" s="110"/>
      <c r="N323" s="119">
        <v>70604756</v>
      </c>
      <c r="O323" s="95"/>
      <c r="P323" s="120">
        <v>0</v>
      </c>
      <c r="Q323" s="121">
        <v>1148857</v>
      </c>
      <c r="R323" s="121">
        <v>22977151</v>
      </c>
      <c r="S323" s="122">
        <v>46478682</v>
      </c>
      <c r="T323" s="123">
        <v>0</v>
      </c>
      <c r="U323" s="79"/>
      <c r="V323" s="621"/>
      <c r="W323" s="807"/>
      <c r="X323" s="44"/>
      <c r="Y323" s="44"/>
      <c r="Z323" s="44"/>
      <c r="AA323" s="593" t="s">
        <v>1085</v>
      </c>
      <c r="AB323" s="827"/>
      <c r="AC323" s="592">
        <v>9.17</v>
      </c>
      <c r="AD323" s="1159"/>
      <c r="AE323" s="593" t="s">
        <v>1085</v>
      </c>
      <c r="AF323" s="827"/>
      <c r="AG323" s="594"/>
      <c r="AH323" s="575"/>
      <c r="AI323" s="774"/>
    </row>
    <row r="324" spans="1:35" s="45" customFormat="1" ht="76.5">
      <c r="A324" s="124"/>
      <c r="B324" s="884">
        <v>9.15</v>
      </c>
      <c r="C324" s="593" t="s">
        <v>1085</v>
      </c>
      <c r="D324" s="827"/>
      <c r="E324" s="594"/>
      <c r="F324" s="575"/>
      <c r="G324" s="774"/>
      <c r="H324" s="917"/>
      <c r="I324" s="917"/>
      <c r="J324" s="917"/>
      <c r="K324" s="917"/>
      <c r="L324" s="917"/>
      <c r="M324" s="917"/>
      <c r="N324" s="917"/>
      <c r="O324" s="917"/>
      <c r="P324" s="917"/>
      <c r="Q324" s="917"/>
      <c r="R324" s="917"/>
      <c r="S324" s="917"/>
      <c r="T324" s="917"/>
      <c r="U324" s="917"/>
      <c r="V324" s="621"/>
      <c r="W324" s="807"/>
      <c r="X324" s="44"/>
      <c r="Y324" s="44"/>
      <c r="Z324" s="44"/>
      <c r="AA324" s="887" t="s">
        <v>1086</v>
      </c>
      <c r="AB324" s="827" t="s">
        <v>56</v>
      </c>
      <c r="AC324" s="592" t="s">
        <v>1499</v>
      </c>
      <c r="AD324" s="1159"/>
      <c r="AE324" s="887" t="s">
        <v>1086</v>
      </c>
      <c r="AF324" s="827" t="s">
        <v>56</v>
      </c>
      <c r="AG324" s="594">
        <v>135</v>
      </c>
      <c r="AH324" s="575">
        <v>5550</v>
      </c>
      <c r="AI324" s="774">
        <f t="shared" si="77"/>
        <v>749250</v>
      </c>
    </row>
    <row r="325" spans="1:35" s="156" customFormat="1" ht="64.5" thickBot="1">
      <c r="A325" s="144" t="s">
        <v>93</v>
      </c>
      <c r="B325" s="884" t="s">
        <v>1460</v>
      </c>
      <c r="C325" s="887" t="s">
        <v>1086</v>
      </c>
      <c r="D325" s="827" t="s">
        <v>56</v>
      </c>
      <c r="E325" s="1055">
        <v>135</v>
      </c>
      <c r="F325" s="575">
        <v>5550</v>
      </c>
      <c r="G325" s="774">
        <f t="shared" si="76"/>
        <v>749250</v>
      </c>
      <c r="H325" s="794"/>
      <c r="I325" s="148"/>
      <c r="J325" s="148"/>
      <c r="K325" s="148"/>
      <c r="L325" s="149">
        <v>408574527</v>
      </c>
      <c r="M325" s="150">
        <v>307710574</v>
      </c>
      <c r="N325" s="151">
        <v>307710574</v>
      </c>
      <c r="O325" s="152"/>
      <c r="P325" s="153">
        <v>0</v>
      </c>
      <c r="Q325" s="154">
        <v>7490404</v>
      </c>
      <c r="R325" s="154">
        <v>92935290</v>
      </c>
      <c r="S325" s="154">
        <v>207282823</v>
      </c>
      <c r="T325" s="154">
        <v>0</v>
      </c>
      <c r="U325" s="155"/>
      <c r="V325" s="806"/>
      <c r="W325" s="809"/>
      <c r="X325" s="793"/>
      <c r="Y325" s="793"/>
      <c r="Z325" s="793"/>
      <c r="AA325" s="887" t="s">
        <v>1087</v>
      </c>
      <c r="AB325" s="827" t="s">
        <v>56</v>
      </c>
      <c r="AC325" s="592" t="s">
        <v>1500</v>
      </c>
      <c r="AD325" s="1159"/>
      <c r="AE325" s="887" t="s">
        <v>1087</v>
      </c>
      <c r="AF325" s="827" t="s">
        <v>56</v>
      </c>
      <c r="AG325" s="594">
        <v>71</v>
      </c>
      <c r="AH325" s="575">
        <v>10638</v>
      </c>
      <c r="AI325" s="774">
        <f t="shared" si="77"/>
        <v>755298</v>
      </c>
    </row>
    <row r="326" spans="1:35" s="45" customFormat="1" ht="27" customHeight="1">
      <c r="A326" s="66"/>
      <c r="B326" s="884" t="s">
        <v>1461</v>
      </c>
      <c r="C326" s="887" t="s">
        <v>1087</v>
      </c>
      <c r="D326" s="827" t="s">
        <v>56</v>
      </c>
      <c r="E326" s="594">
        <v>71</v>
      </c>
      <c r="F326" s="575">
        <v>10638</v>
      </c>
      <c r="G326" s="774">
        <f t="shared" si="76"/>
        <v>755298</v>
      </c>
      <c r="H326" s="58"/>
      <c r="I326" s="58"/>
      <c r="J326" s="58"/>
      <c r="K326" s="58"/>
      <c r="L326" s="58"/>
      <c r="M326" s="19"/>
      <c r="N326" s="158">
        <v>0</v>
      </c>
      <c r="O326" s="159"/>
      <c r="P326" s="159"/>
      <c r="Q326" s="159"/>
      <c r="R326" s="159"/>
      <c r="S326" s="159"/>
      <c r="T326" s="159"/>
      <c r="U326" s="160"/>
      <c r="V326" s="805"/>
      <c r="W326" s="807"/>
      <c r="X326" s="44"/>
      <c r="Y326" s="44"/>
      <c r="Z326" s="44"/>
      <c r="AA326" s="887" t="s">
        <v>1092</v>
      </c>
      <c r="AB326" s="827"/>
      <c r="AC326" s="592">
        <v>9.18</v>
      </c>
      <c r="AD326" s="1159"/>
      <c r="AE326" s="887" t="s">
        <v>1092</v>
      </c>
      <c r="AF326" s="827"/>
      <c r="AG326" s="594"/>
      <c r="AH326" s="575"/>
      <c r="AI326" s="774"/>
    </row>
    <row r="327" spans="1:35" s="45" customFormat="1" ht="76.5">
      <c r="A327" s="161" t="s">
        <v>95</v>
      </c>
      <c r="B327" s="884" t="s">
        <v>1462</v>
      </c>
      <c r="C327" s="887"/>
      <c r="D327" s="827"/>
      <c r="E327" s="594"/>
      <c r="F327" s="575"/>
      <c r="G327" s="774"/>
      <c r="H327" s="166"/>
      <c r="I327" s="166"/>
      <c r="J327" s="166"/>
      <c r="K327" s="166"/>
      <c r="L327" s="166"/>
      <c r="M327" s="167"/>
      <c r="N327" s="168"/>
      <c r="O327" s="159"/>
      <c r="P327" s="159"/>
      <c r="Q327" s="159"/>
      <c r="R327" s="159"/>
      <c r="S327" s="159"/>
      <c r="T327" s="159"/>
      <c r="U327" s="58"/>
      <c r="V327" s="805"/>
      <c r="W327" s="807"/>
      <c r="X327" s="44"/>
      <c r="Y327" s="44"/>
      <c r="Z327" s="44"/>
      <c r="AA327" s="887" t="s">
        <v>1094</v>
      </c>
      <c r="AB327" s="827" t="s">
        <v>56</v>
      </c>
      <c r="AC327" s="592" t="s">
        <v>1501</v>
      </c>
      <c r="AD327" s="1159"/>
      <c r="AE327" s="887" t="s">
        <v>1094</v>
      </c>
      <c r="AF327" s="827" t="s">
        <v>56</v>
      </c>
      <c r="AG327" s="594"/>
      <c r="AH327" s="575">
        <v>61850</v>
      </c>
      <c r="AI327" s="774">
        <f t="shared" si="77"/>
        <v>0</v>
      </c>
    </row>
    <row r="328" spans="1:35" s="45" customFormat="1" ht="51">
      <c r="A328" s="169" t="s">
        <v>97</v>
      </c>
      <c r="B328" s="884">
        <v>9.16</v>
      </c>
      <c r="C328" s="887" t="s">
        <v>1092</v>
      </c>
      <c r="D328" s="827"/>
      <c r="E328" s="594"/>
      <c r="F328" s="575"/>
      <c r="G328" s="774"/>
      <c r="H328" s="174"/>
      <c r="I328" s="174"/>
      <c r="J328" s="174"/>
      <c r="K328" s="174"/>
      <c r="L328" s="174"/>
      <c r="M328" s="175"/>
      <c r="N328" s="173">
        <v>307710574</v>
      </c>
      <c r="O328" s="176"/>
      <c r="P328" s="176"/>
      <c r="Q328" s="176"/>
      <c r="R328" s="176"/>
      <c r="S328" s="176"/>
      <c r="T328" s="176"/>
      <c r="U328" s="19"/>
      <c r="V328" s="805"/>
      <c r="W328" s="807"/>
      <c r="X328" s="174"/>
      <c r="Y328" s="44"/>
      <c r="Z328" s="44"/>
      <c r="AA328" s="887" t="s">
        <v>1112</v>
      </c>
      <c r="AB328" s="827" t="s">
        <v>56</v>
      </c>
      <c r="AC328" s="592" t="s">
        <v>1502</v>
      </c>
      <c r="AD328" s="1159"/>
      <c r="AE328" s="887" t="s">
        <v>1112</v>
      </c>
      <c r="AF328" s="827" t="s">
        <v>56</v>
      </c>
      <c r="AG328" s="967">
        <v>93</v>
      </c>
      <c r="AH328" s="968">
        <v>38048</v>
      </c>
      <c r="AI328" s="774">
        <f t="shared" si="77"/>
        <v>3538464</v>
      </c>
    </row>
    <row r="329" spans="1:35" s="45" customFormat="1" ht="38.25">
      <c r="A329" s="169" t="s">
        <v>99</v>
      </c>
      <c r="B329" s="884" t="s">
        <v>1468</v>
      </c>
      <c r="C329" s="887" t="s">
        <v>1094</v>
      </c>
      <c r="D329" s="827" t="s">
        <v>56</v>
      </c>
      <c r="E329" s="594"/>
      <c r="F329" s="575">
        <v>61850</v>
      </c>
      <c r="G329" s="774">
        <f t="shared" si="76"/>
        <v>0</v>
      </c>
      <c r="H329" s="182"/>
      <c r="I329" s="182"/>
      <c r="J329" s="182"/>
      <c r="K329" s="182"/>
      <c r="L329" s="182"/>
      <c r="M329" s="183"/>
      <c r="N329" s="181">
        <v>56926456</v>
      </c>
      <c r="O329" s="184"/>
      <c r="P329" s="184"/>
      <c r="Q329" s="184"/>
      <c r="R329" s="184"/>
      <c r="S329" s="184"/>
      <c r="T329" s="184"/>
      <c r="U329" s="19"/>
      <c r="V329" s="805"/>
      <c r="W329" s="807"/>
      <c r="X329" s="182"/>
      <c r="Y329" s="44"/>
      <c r="Z329" s="44"/>
      <c r="AA329" s="102" t="s">
        <v>984</v>
      </c>
      <c r="AB329" s="777" t="s">
        <v>139</v>
      </c>
      <c r="AC329" s="592" t="s">
        <v>1503</v>
      </c>
      <c r="AD329" s="1168"/>
      <c r="AE329" s="102" t="s">
        <v>984</v>
      </c>
      <c r="AF329" s="777" t="s">
        <v>139</v>
      </c>
      <c r="AG329" s="969">
        <f>+AG328*0.2</f>
        <v>18.600000000000001</v>
      </c>
      <c r="AH329" s="1080">
        <v>63050</v>
      </c>
      <c r="AI329" s="774">
        <f t="shared" si="77"/>
        <v>1172730</v>
      </c>
    </row>
    <row r="330" spans="1:35" s="45" customFormat="1" ht="25.5">
      <c r="A330" s="185" t="s">
        <v>101</v>
      </c>
      <c r="B330" s="884" t="s">
        <v>1463</v>
      </c>
      <c r="C330" s="887" t="s">
        <v>1112</v>
      </c>
      <c r="D330" s="827" t="s">
        <v>56</v>
      </c>
      <c r="E330" s="967">
        <v>93</v>
      </c>
      <c r="F330" s="968">
        <v>38048</v>
      </c>
      <c r="G330" s="774">
        <f t="shared" si="76"/>
        <v>3538464</v>
      </c>
      <c r="H330" s="182"/>
      <c r="I330" s="182"/>
      <c r="J330" s="182"/>
      <c r="K330" s="182"/>
      <c r="L330" s="182"/>
      <c r="M330" s="183"/>
      <c r="N330" s="190">
        <v>15385529</v>
      </c>
      <c r="O330" s="184"/>
      <c r="P330" s="184"/>
      <c r="Q330" s="184"/>
      <c r="R330" s="184"/>
      <c r="S330" s="184"/>
      <c r="T330" s="184"/>
      <c r="U330" s="182"/>
      <c r="V330" s="805"/>
      <c r="W330" s="807"/>
      <c r="X330" s="182"/>
      <c r="Y330" s="44"/>
      <c r="Z330" s="44"/>
      <c r="AA330" s="887" t="s">
        <v>1097</v>
      </c>
      <c r="AB330" s="827" t="s">
        <v>56</v>
      </c>
      <c r="AC330" s="592" t="s">
        <v>1504</v>
      </c>
      <c r="AD330" s="1159"/>
      <c r="AE330" s="887" t="s">
        <v>1097</v>
      </c>
      <c r="AF330" s="827" t="s">
        <v>56</v>
      </c>
      <c r="AG330" s="594">
        <v>143.80000000000001</v>
      </c>
      <c r="AH330" s="575">
        <v>7620</v>
      </c>
      <c r="AI330" s="774">
        <f t="shared" si="77"/>
        <v>1095756</v>
      </c>
    </row>
    <row r="331" spans="1:35" s="45" customFormat="1" ht="51">
      <c r="A331" s="185"/>
      <c r="B331" s="884" t="s">
        <v>1464</v>
      </c>
      <c r="C331" s="102" t="s">
        <v>984</v>
      </c>
      <c r="D331" s="777" t="s">
        <v>139</v>
      </c>
      <c r="E331" s="969">
        <f>+E330*0.2</f>
        <v>18.600000000000001</v>
      </c>
      <c r="F331" s="964">
        <v>63050</v>
      </c>
      <c r="G331" s="774">
        <f t="shared" si="76"/>
        <v>1172730</v>
      </c>
      <c r="H331" s="182"/>
      <c r="I331" s="182"/>
      <c r="J331" s="182"/>
      <c r="K331" s="182"/>
      <c r="L331" s="182"/>
      <c r="M331" s="183"/>
      <c r="N331" s="895"/>
      <c r="O331" s="184"/>
      <c r="P331" s="184"/>
      <c r="Q331" s="184"/>
      <c r="R331" s="184"/>
      <c r="S331" s="184"/>
      <c r="T331" s="184"/>
      <c r="U331" s="182"/>
      <c r="V331" s="805"/>
      <c r="W331" s="807"/>
      <c r="X331" s="182"/>
      <c r="Y331" s="44"/>
      <c r="Z331" s="44"/>
      <c r="AA331" s="887" t="s">
        <v>1109</v>
      </c>
      <c r="AB331" s="827"/>
      <c r="AC331" s="592" t="s">
        <v>1505</v>
      </c>
      <c r="AD331" s="1159"/>
      <c r="AE331" s="887" t="s">
        <v>1109</v>
      </c>
      <c r="AF331" s="827"/>
      <c r="AG331" s="594"/>
      <c r="AH331" s="575"/>
      <c r="AI331" s="774"/>
    </row>
    <row r="332" spans="1:35" s="45" customFormat="1" ht="28.5" customHeight="1">
      <c r="A332" s="185" t="s">
        <v>103</v>
      </c>
      <c r="B332" s="884" t="s">
        <v>1465</v>
      </c>
      <c r="C332" s="887" t="s">
        <v>1097</v>
      </c>
      <c r="D332" s="827" t="s">
        <v>56</v>
      </c>
      <c r="E332" s="1058">
        <f>127+16.779</f>
        <v>143.779</v>
      </c>
      <c r="F332" s="1179">
        <v>7787.6832519733152</v>
      </c>
      <c r="G332" s="774">
        <f t="shared" si="76"/>
        <v>1119705.3102854711</v>
      </c>
      <c r="H332" s="182"/>
      <c r="I332" s="182"/>
      <c r="J332" s="182"/>
      <c r="K332" s="182"/>
      <c r="L332" s="182"/>
      <c r="M332" s="183"/>
      <c r="N332" s="190">
        <v>24616846</v>
      </c>
      <c r="O332" s="184"/>
      <c r="P332" s="184"/>
      <c r="Q332" s="184"/>
      <c r="R332" s="184"/>
      <c r="S332" s="184"/>
      <c r="T332" s="184"/>
      <c r="U332" s="182"/>
      <c r="V332" s="805"/>
      <c r="W332" s="807"/>
      <c r="X332" s="182"/>
      <c r="Y332" s="44"/>
      <c r="Z332" s="44"/>
      <c r="AA332" s="897" t="s">
        <v>1111</v>
      </c>
      <c r="AB332" s="827" t="s">
        <v>22</v>
      </c>
      <c r="AC332" s="592">
        <v>9.19</v>
      </c>
      <c r="AD332" s="1159"/>
      <c r="AE332" s="897" t="s">
        <v>1111</v>
      </c>
      <c r="AF332" s="827" t="s">
        <v>22</v>
      </c>
      <c r="AG332" s="594">
        <v>1</v>
      </c>
      <c r="AH332" s="575">
        <f>2739900*1.2</f>
        <v>3287880</v>
      </c>
      <c r="AI332" s="774">
        <f t="shared" si="77"/>
        <v>3287880</v>
      </c>
    </row>
    <row r="333" spans="1:35" s="45" customFormat="1" ht="15.75" thickBot="1">
      <c r="A333" s="185"/>
      <c r="B333" s="884" t="s">
        <v>1466</v>
      </c>
      <c r="C333" s="887" t="s">
        <v>1109</v>
      </c>
      <c r="D333" s="827"/>
      <c r="E333" s="594"/>
      <c r="F333" s="575"/>
      <c r="G333" s="774"/>
      <c r="H333" s="182"/>
      <c r="I333" s="182"/>
      <c r="J333" s="182"/>
      <c r="K333" s="182"/>
      <c r="L333" s="182"/>
      <c r="M333" s="183"/>
      <c r="N333" s="895"/>
      <c r="O333" s="184"/>
      <c r="P333" s="184"/>
      <c r="Q333" s="184"/>
      <c r="R333" s="184"/>
      <c r="S333" s="184"/>
      <c r="T333" s="184"/>
      <c r="U333" s="182"/>
      <c r="V333" s="805"/>
      <c r="W333" s="807"/>
      <c r="X333" s="182"/>
      <c r="Y333" s="44"/>
      <c r="Z333" s="44"/>
      <c r="AA333" s="1074"/>
      <c r="AB333" s="1075"/>
      <c r="AC333" s="1124"/>
      <c r="AD333" s="1124"/>
      <c r="AE333" s="1074"/>
      <c r="AF333" s="1075"/>
      <c r="AG333" s="1076"/>
      <c r="AH333" s="1077" t="s">
        <v>1098</v>
      </c>
      <c r="AI333" s="1115">
        <f>SUM(AI284:AI332)</f>
        <v>127128603.40000001</v>
      </c>
    </row>
    <row r="334" spans="1:35" s="45" customFormat="1" ht="51.75" thickBot="1">
      <c r="A334" s="185"/>
      <c r="B334" s="884" t="s">
        <v>1467</v>
      </c>
      <c r="C334" s="897" t="s">
        <v>1111</v>
      </c>
      <c r="D334" s="827" t="s">
        <v>22</v>
      </c>
      <c r="E334" s="594">
        <v>1</v>
      </c>
      <c r="F334" s="575">
        <f>2739900*1.2</f>
        <v>3287880</v>
      </c>
      <c r="G334" s="774">
        <f t="shared" si="76"/>
        <v>3287880</v>
      </c>
      <c r="H334" s="182"/>
      <c r="I334" s="182"/>
      <c r="J334" s="182"/>
      <c r="K334" s="182"/>
      <c r="L334" s="182"/>
      <c r="M334" s="183"/>
      <c r="N334" s="895"/>
      <c r="O334" s="184"/>
      <c r="P334" s="184"/>
      <c r="Q334" s="184"/>
      <c r="R334" s="184"/>
      <c r="S334" s="184"/>
      <c r="T334" s="184"/>
      <c r="U334" s="182"/>
      <c r="V334" s="805"/>
      <c r="W334" s="807"/>
      <c r="X334" s="896"/>
      <c r="Y334" s="44"/>
      <c r="Z334" s="44"/>
      <c r="AA334" s="887"/>
      <c r="AB334" s="827"/>
      <c r="AC334" s="827"/>
      <c r="AD334" s="1171"/>
      <c r="AE334" s="887"/>
      <c r="AF334" s="827"/>
      <c r="AG334" s="594"/>
      <c r="AH334" s="575"/>
      <c r="AI334" s="792">
        <f t="shared" si="77"/>
        <v>0</v>
      </c>
    </row>
    <row r="335" spans="1:35" s="45" customFormat="1" ht="15.75" customHeight="1" thickBot="1">
      <c r="A335" s="185"/>
      <c r="B335" s="884"/>
      <c r="C335" s="871"/>
      <c r="D335" s="873"/>
      <c r="E335" s="874"/>
      <c r="F335" s="947" t="s">
        <v>1098</v>
      </c>
      <c r="G335" s="1004">
        <f>SUM(G284:G334)</f>
        <v>125019586.21028547</v>
      </c>
      <c r="H335" s="195"/>
      <c r="I335" s="195"/>
      <c r="J335" s="195"/>
      <c r="K335" s="195"/>
      <c r="L335" s="195"/>
      <c r="M335" s="196"/>
      <c r="N335" s="199">
        <v>3938695</v>
      </c>
      <c r="O335" s="197"/>
      <c r="P335" s="197"/>
      <c r="Q335" s="197"/>
      <c r="R335" s="197"/>
      <c r="S335" s="197"/>
      <c r="T335" s="197"/>
      <c r="U335" s="198"/>
      <c r="V335" s="805"/>
      <c r="W335" s="807"/>
      <c r="X335" s="195"/>
      <c r="Y335" s="44"/>
      <c r="Z335" s="44"/>
      <c r="AA335" s="1060" t="s">
        <v>1136</v>
      </c>
      <c r="AB335" s="1061"/>
      <c r="AC335" s="1104">
        <v>10</v>
      </c>
      <c r="AD335" s="1172"/>
      <c r="AE335" s="1060" t="s">
        <v>1136</v>
      </c>
      <c r="AF335" s="1061"/>
      <c r="AG335" s="1061"/>
      <c r="AH335" s="1061"/>
      <c r="AI335" s="1113"/>
    </row>
    <row r="336" spans="1:35" s="45" customFormat="1" ht="15.75" thickBot="1">
      <c r="A336" s="185"/>
      <c r="B336" s="884"/>
      <c r="C336" s="887"/>
      <c r="D336" s="827"/>
      <c r="E336" s="594"/>
      <c r="F336" s="575"/>
      <c r="G336" s="792">
        <f t="shared" si="76"/>
        <v>0</v>
      </c>
      <c r="H336" s="204">
        <v>0</v>
      </c>
      <c r="I336" s="203">
        <v>100867526</v>
      </c>
      <c r="J336" s="204">
        <v>0</v>
      </c>
      <c r="K336" s="204">
        <v>0</v>
      </c>
      <c r="L336" s="204">
        <v>0</v>
      </c>
      <c r="M336" s="205"/>
      <c r="N336" s="206">
        <v>408578100</v>
      </c>
      <c r="O336" s="207"/>
      <c r="P336" s="207"/>
      <c r="Q336" s="207"/>
      <c r="R336" s="207"/>
      <c r="S336" s="207"/>
      <c r="T336" s="207"/>
      <c r="U336" s="16"/>
      <c r="V336" s="805"/>
      <c r="W336" s="807"/>
      <c r="X336" s="208"/>
      <c r="Y336" s="44"/>
      <c r="Z336" s="44"/>
      <c r="AA336" s="1092" t="s">
        <v>1137</v>
      </c>
      <c r="AB336" s="905"/>
      <c r="AC336" s="827">
        <v>10.1</v>
      </c>
      <c r="AD336" s="1173"/>
      <c r="AE336" s="1092" t="s">
        <v>1137</v>
      </c>
      <c r="AF336" s="905"/>
      <c r="AG336" s="905"/>
      <c r="AH336" s="905"/>
      <c r="AI336" s="906"/>
    </row>
    <row r="337" spans="1:35" s="45" customFormat="1" ht="60">
      <c r="A337" s="185"/>
      <c r="B337" s="884"/>
      <c r="C337" s="75" t="s">
        <v>1136</v>
      </c>
      <c r="D337" s="76"/>
      <c r="E337" s="76"/>
      <c r="F337" s="76"/>
      <c r="G337" s="126"/>
      <c r="H337" s="208"/>
      <c r="I337" s="899"/>
      <c r="J337" s="208"/>
      <c r="K337" s="208"/>
      <c r="L337" s="208"/>
      <c r="M337" s="900"/>
      <c r="N337" s="901"/>
      <c r="O337" s="207"/>
      <c r="P337" s="207"/>
      <c r="Q337" s="207"/>
      <c r="R337" s="207"/>
      <c r="S337" s="207"/>
      <c r="T337" s="207"/>
      <c r="U337" s="16"/>
      <c r="V337" s="805"/>
      <c r="W337" s="807"/>
      <c r="X337" s="208"/>
      <c r="Y337" s="44"/>
      <c r="Z337" s="44"/>
      <c r="AA337" s="1093" t="s">
        <v>1115</v>
      </c>
      <c r="AB337" s="914" t="s">
        <v>1138</v>
      </c>
      <c r="AC337" s="827" t="s">
        <v>1142</v>
      </c>
      <c r="AD337" s="1173"/>
      <c r="AE337" s="1093" t="s">
        <v>1115</v>
      </c>
      <c r="AF337" s="914" t="s">
        <v>1138</v>
      </c>
      <c r="AG337" s="930">
        <v>4</v>
      </c>
      <c r="AH337" s="915">
        <v>664280</v>
      </c>
      <c r="AI337" s="795">
        <f>+AH337*AG337</f>
        <v>2657120</v>
      </c>
    </row>
    <row r="338" spans="1:35" s="45" customFormat="1" ht="90">
      <c r="A338" s="185"/>
      <c r="B338" s="884"/>
      <c r="C338" s="911" t="s">
        <v>1137</v>
      </c>
      <c r="D338" s="905"/>
      <c r="E338" s="905"/>
      <c r="F338" s="905"/>
      <c r="G338" s="906"/>
      <c r="H338" s="208"/>
      <c r="I338" s="899"/>
      <c r="J338" s="208"/>
      <c r="K338" s="208"/>
      <c r="L338" s="208"/>
      <c r="M338" s="900"/>
      <c r="N338" s="901"/>
      <c r="O338" s="207"/>
      <c r="P338" s="207"/>
      <c r="Q338" s="207"/>
      <c r="R338" s="207"/>
      <c r="S338" s="207"/>
      <c r="T338" s="207"/>
      <c r="U338" s="16"/>
      <c r="V338" s="805"/>
      <c r="W338" s="807"/>
      <c r="X338" s="208"/>
      <c r="Y338" s="44"/>
      <c r="Z338" s="44"/>
      <c r="AA338" s="907" t="s">
        <v>1116</v>
      </c>
      <c r="AB338" s="912" t="s">
        <v>1138</v>
      </c>
      <c r="AC338" s="827" t="s">
        <v>1143</v>
      </c>
      <c r="AD338" s="1173"/>
      <c r="AE338" s="907" t="s">
        <v>1116</v>
      </c>
      <c r="AF338" s="912" t="s">
        <v>1138</v>
      </c>
      <c r="AG338" s="931">
        <v>8</v>
      </c>
      <c r="AH338" s="922">
        <v>250000</v>
      </c>
      <c r="AI338" s="795">
        <f t="shared" ref="AI338:AI380" si="81">+AH338*AG338</f>
        <v>2000000</v>
      </c>
    </row>
    <row r="339" spans="1:35" s="45" customFormat="1" ht="75">
      <c r="A339" s="185"/>
      <c r="B339" s="884"/>
      <c r="C339" s="1183" t="s">
        <v>1115</v>
      </c>
      <c r="D339" s="914" t="s">
        <v>1138</v>
      </c>
      <c r="E339" s="930">
        <v>4</v>
      </c>
      <c r="F339" s="915">
        <v>664280</v>
      </c>
      <c r="G339" s="795">
        <f>+F339*E339</f>
        <v>2657120</v>
      </c>
      <c r="H339" s="208"/>
      <c r="I339" s="899"/>
      <c r="J339" s="208"/>
      <c r="K339" s="208"/>
      <c r="L339" s="208"/>
      <c r="M339" s="900"/>
      <c r="N339" s="901"/>
      <c r="O339" s="207"/>
      <c r="P339" s="207"/>
      <c r="Q339" s="207"/>
      <c r="R339" s="207"/>
      <c r="S339" s="207"/>
      <c r="T339" s="207"/>
      <c r="U339" s="16"/>
      <c r="V339" s="805"/>
      <c r="W339" s="807"/>
      <c r="X339" s="208"/>
      <c r="Y339" s="44"/>
      <c r="Z339" s="44"/>
      <c r="AA339" s="907" t="s">
        <v>1117</v>
      </c>
      <c r="AB339" s="912" t="s">
        <v>1138</v>
      </c>
      <c r="AC339" s="827" t="s">
        <v>1144</v>
      </c>
      <c r="AD339" s="1173"/>
      <c r="AE339" s="907" t="s">
        <v>1117</v>
      </c>
      <c r="AF339" s="912" t="s">
        <v>1138</v>
      </c>
      <c r="AG339" s="931">
        <v>8</v>
      </c>
      <c r="AH339" s="922">
        <v>45000</v>
      </c>
      <c r="AI339" s="795">
        <f t="shared" si="81"/>
        <v>360000</v>
      </c>
    </row>
    <row r="340" spans="1:35" s="45" customFormat="1" ht="75">
      <c r="A340" s="185"/>
      <c r="B340" s="884"/>
      <c r="C340" s="907" t="s">
        <v>1116</v>
      </c>
      <c r="D340" s="912" t="s">
        <v>1138</v>
      </c>
      <c r="E340" s="931">
        <v>8</v>
      </c>
      <c r="F340" s="922">
        <v>250000</v>
      </c>
      <c r="G340" s="795">
        <f t="shared" ref="G340:G382" si="82">+F340*E340</f>
        <v>2000000</v>
      </c>
      <c r="H340" s="208"/>
      <c r="I340" s="899"/>
      <c r="J340" s="208"/>
      <c r="K340" s="208"/>
      <c r="L340" s="208"/>
      <c r="M340" s="900"/>
      <c r="N340" s="901"/>
      <c r="O340" s="207"/>
      <c r="P340" s="207"/>
      <c r="Q340" s="207"/>
      <c r="R340" s="207"/>
      <c r="S340" s="207"/>
      <c r="T340" s="207"/>
      <c r="U340" s="16"/>
      <c r="V340" s="805"/>
      <c r="W340" s="807"/>
      <c r="X340" s="208"/>
      <c r="Y340" s="44"/>
      <c r="Z340" s="44"/>
      <c r="AA340" s="907" t="s">
        <v>1118</v>
      </c>
      <c r="AB340" s="912" t="s">
        <v>1138</v>
      </c>
      <c r="AC340" s="827" t="s">
        <v>1145</v>
      </c>
      <c r="AD340" s="1173"/>
      <c r="AE340" s="907" t="s">
        <v>1118</v>
      </c>
      <c r="AF340" s="912" t="s">
        <v>1138</v>
      </c>
      <c r="AG340" s="931">
        <v>4</v>
      </c>
      <c r="AH340" s="922">
        <v>40000</v>
      </c>
      <c r="AI340" s="795">
        <f t="shared" si="81"/>
        <v>160000</v>
      </c>
    </row>
    <row r="341" spans="1:35" s="45" customFormat="1" ht="60">
      <c r="A341" s="185"/>
      <c r="B341" s="884"/>
      <c r="C341" s="907" t="s">
        <v>1117</v>
      </c>
      <c r="D341" s="912" t="s">
        <v>1138</v>
      </c>
      <c r="E341" s="931">
        <v>8</v>
      </c>
      <c r="F341" s="922">
        <v>45000</v>
      </c>
      <c r="G341" s="795">
        <f t="shared" si="82"/>
        <v>360000</v>
      </c>
      <c r="H341" s="208"/>
      <c r="I341" s="899"/>
      <c r="J341" s="208"/>
      <c r="K341" s="208"/>
      <c r="L341" s="208"/>
      <c r="M341" s="900"/>
      <c r="N341" s="901"/>
      <c r="O341" s="207"/>
      <c r="P341" s="207"/>
      <c r="Q341" s="207"/>
      <c r="R341" s="207"/>
      <c r="S341" s="207"/>
      <c r="T341" s="207"/>
      <c r="U341" s="16"/>
      <c r="V341" s="805"/>
      <c r="W341" s="807"/>
      <c r="X341" s="208"/>
      <c r="Y341" s="44"/>
      <c r="Z341" s="44"/>
      <c r="AA341" s="907" t="s">
        <v>1119</v>
      </c>
      <c r="AB341" s="912" t="s">
        <v>1138</v>
      </c>
      <c r="AC341" s="827" t="s">
        <v>1146</v>
      </c>
      <c r="AD341" s="1173"/>
      <c r="AE341" s="907" t="s">
        <v>1119</v>
      </c>
      <c r="AF341" s="912" t="s">
        <v>1138</v>
      </c>
      <c r="AG341" s="931">
        <v>4</v>
      </c>
      <c r="AH341" s="922">
        <v>8000</v>
      </c>
      <c r="AI341" s="795">
        <f t="shared" si="81"/>
        <v>32000</v>
      </c>
    </row>
    <row r="342" spans="1:35" s="45" customFormat="1" ht="60">
      <c r="A342" s="185"/>
      <c r="B342" s="827" t="s">
        <v>1145</v>
      </c>
      <c r="C342" s="907" t="s">
        <v>1118</v>
      </c>
      <c r="D342" s="912" t="s">
        <v>1138</v>
      </c>
      <c r="E342" s="931">
        <v>4</v>
      </c>
      <c r="F342" s="922">
        <v>40000</v>
      </c>
      <c r="G342" s="795">
        <f t="shared" si="82"/>
        <v>160000</v>
      </c>
      <c r="H342" s="208"/>
      <c r="I342" s="899"/>
      <c r="J342" s="208"/>
      <c r="K342" s="208"/>
      <c r="L342" s="208"/>
      <c r="M342" s="900"/>
      <c r="N342" s="901"/>
      <c r="O342" s="207"/>
      <c r="P342" s="207"/>
      <c r="Q342" s="207"/>
      <c r="R342" s="207"/>
      <c r="S342" s="207"/>
      <c r="T342" s="207"/>
      <c r="U342" s="16"/>
      <c r="V342" s="805"/>
      <c r="W342" s="807"/>
      <c r="X342" s="208"/>
      <c r="Y342" s="44"/>
      <c r="Z342" s="44"/>
      <c r="AA342" s="908" t="s">
        <v>1120</v>
      </c>
      <c r="AB342" s="912" t="s">
        <v>1138</v>
      </c>
      <c r="AC342" s="827" t="s">
        <v>1147</v>
      </c>
      <c r="AD342" s="1173"/>
      <c r="AE342" s="908" t="s">
        <v>1120</v>
      </c>
      <c r="AF342" s="912" t="s">
        <v>1138</v>
      </c>
      <c r="AG342" s="931">
        <v>28</v>
      </c>
      <c r="AH342" s="922">
        <v>500</v>
      </c>
      <c r="AI342" s="795">
        <f t="shared" si="81"/>
        <v>14000</v>
      </c>
    </row>
    <row r="343" spans="1:35" s="45" customFormat="1" ht="45">
      <c r="A343" s="185"/>
      <c r="B343" s="827" t="s">
        <v>1146</v>
      </c>
      <c r="C343" s="907" t="s">
        <v>1119</v>
      </c>
      <c r="D343" s="912" t="s">
        <v>1138</v>
      </c>
      <c r="E343" s="931">
        <v>4</v>
      </c>
      <c r="F343" s="922">
        <v>8000</v>
      </c>
      <c r="G343" s="795">
        <f t="shared" si="82"/>
        <v>32000</v>
      </c>
      <c r="H343" s="208"/>
      <c r="I343" s="899"/>
      <c r="J343" s="208"/>
      <c r="K343" s="208"/>
      <c r="L343" s="208"/>
      <c r="M343" s="900"/>
      <c r="N343" s="901"/>
      <c r="O343" s="207"/>
      <c r="P343" s="207"/>
      <c r="Q343" s="207"/>
      <c r="R343" s="207"/>
      <c r="S343" s="207"/>
      <c r="T343" s="207"/>
      <c r="U343" s="16"/>
      <c r="V343" s="805"/>
      <c r="W343" s="807"/>
      <c r="X343" s="208"/>
      <c r="Y343" s="44"/>
      <c r="Z343" s="44"/>
      <c r="AA343" s="908" t="s">
        <v>1121</v>
      </c>
      <c r="AB343" s="912" t="s">
        <v>1138</v>
      </c>
      <c r="AC343" s="827" t="s">
        <v>1148</v>
      </c>
      <c r="AD343" s="1173"/>
      <c r="AE343" s="908" t="s">
        <v>1121</v>
      </c>
      <c r="AF343" s="912" t="s">
        <v>1138</v>
      </c>
      <c r="AG343" s="931">
        <v>16</v>
      </c>
      <c r="AH343" s="922">
        <v>2000</v>
      </c>
      <c r="AI343" s="795">
        <f t="shared" si="81"/>
        <v>32000</v>
      </c>
    </row>
    <row r="344" spans="1:35" s="45" customFormat="1" ht="90">
      <c r="A344" s="185"/>
      <c r="B344" s="827" t="s">
        <v>1147</v>
      </c>
      <c r="C344" s="908" t="s">
        <v>1120</v>
      </c>
      <c r="D344" s="912" t="s">
        <v>1138</v>
      </c>
      <c r="E344" s="931">
        <v>28</v>
      </c>
      <c r="F344" s="922">
        <v>500</v>
      </c>
      <c r="G344" s="795">
        <f t="shared" si="82"/>
        <v>14000</v>
      </c>
      <c r="H344" s="208"/>
      <c r="I344" s="899"/>
      <c r="J344" s="208"/>
      <c r="K344" s="208"/>
      <c r="L344" s="208"/>
      <c r="M344" s="900"/>
      <c r="N344" s="901"/>
      <c r="O344" s="207"/>
      <c r="P344" s="207"/>
      <c r="Q344" s="207"/>
      <c r="R344" s="207"/>
      <c r="S344" s="207"/>
      <c r="T344" s="207"/>
      <c r="U344" s="16"/>
      <c r="V344" s="805"/>
      <c r="W344" s="807"/>
      <c r="X344" s="208"/>
      <c r="Y344" s="44"/>
      <c r="Z344" s="44"/>
      <c r="AA344" s="908" t="s">
        <v>1122</v>
      </c>
      <c r="AB344" s="912" t="s">
        <v>1138</v>
      </c>
      <c r="AC344" s="827" t="s">
        <v>1149</v>
      </c>
      <c r="AD344" s="1173"/>
      <c r="AE344" s="908" t="s">
        <v>1122</v>
      </c>
      <c r="AF344" s="912" t="s">
        <v>1138</v>
      </c>
      <c r="AG344" s="931">
        <v>6</v>
      </c>
      <c r="AH344" s="922">
        <v>4800</v>
      </c>
      <c r="AI344" s="795">
        <f t="shared" si="81"/>
        <v>28800</v>
      </c>
    </row>
    <row r="345" spans="1:35" s="45" customFormat="1" ht="45">
      <c r="A345" s="185"/>
      <c r="B345" s="827" t="s">
        <v>1148</v>
      </c>
      <c r="C345" s="908" t="s">
        <v>1121</v>
      </c>
      <c r="D345" s="912" t="s">
        <v>1138</v>
      </c>
      <c r="E345" s="931">
        <v>16</v>
      </c>
      <c r="F345" s="922">
        <v>2000</v>
      </c>
      <c r="G345" s="795">
        <f t="shared" si="82"/>
        <v>32000</v>
      </c>
      <c r="H345" s="208"/>
      <c r="I345" s="899"/>
      <c r="J345" s="208"/>
      <c r="K345" s="208"/>
      <c r="L345" s="208"/>
      <c r="M345" s="900"/>
      <c r="N345" s="901"/>
      <c r="O345" s="207"/>
      <c r="P345" s="207"/>
      <c r="Q345" s="207"/>
      <c r="R345" s="207"/>
      <c r="S345" s="207"/>
      <c r="T345" s="207"/>
      <c r="U345" s="16"/>
      <c r="V345" s="805"/>
      <c r="W345" s="807"/>
      <c r="X345" s="208"/>
      <c r="Y345" s="44"/>
      <c r="Z345" s="44"/>
      <c r="AA345" s="908" t="s">
        <v>1123</v>
      </c>
      <c r="AB345" s="912" t="s">
        <v>1138</v>
      </c>
      <c r="AC345" s="827" t="s">
        <v>1150</v>
      </c>
      <c r="AD345" s="1173"/>
      <c r="AE345" s="908" t="s">
        <v>1123</v>
      </c>
      <c r="AF345" s="912" t="s">
        <v>1138</v>
      </c>
      <c r="AG345" s="931">
        <v>5</v>
      </c>
      <c r="AH345" s="922">
        <v>15000</v>
      </c>
      <c r="AI345" s="795">
        <f t="shared" si="81"/>
        <v>75000</v>
      </c>
    </row>
    <row r="346" spans="1:35" s="45" customFormat="1" ht="90">
      <c r="A346" s="185"/>
      <c r="B346" s="827" t="s">
        <v>1149</v>
      </c>
      <c r="C346" s="908" t="s">
        <v>1122</v>
      </c>
      <c r="D346" s="912" t="s">
        <v>1138</v>
      </c>
      <c r="E346" s="931">
        <v>6</v>
      </c>
      <c r="F346" s="922">
        <v>4800</v>
      </c>
      <c r="G346" s="795">
        <f t="shared" si="82"/>
        <v>28800</v>
      </c>
      <c r="H346" s="208"/>
      <c r="I346" s="899"/>
      <c r="J346" s="208"/>
      <c r="K346" s="208"/>
      <c r="L346" s="208"/>
      <c r="M346" s="900"/>
      <c r="N346" s="901"/>
      <c r="O346" s="207"/>
      <c r="P346" s="207"/>
      <c r="Q346" s="207"/>
      <c r="R346" s="207"/>
      <c r="S346" s="207"/>
      <c r="T346" s="207"/>
      <c r="U346" s="16"/>
      <c r="V346" s="805"/>
      <c r="W346" s="807"/>
      <c r="X346" s="208"/>
      <c r="Y346" s="44"/>
      <c r="Z346" s="44"/>
      <c r="AA346" s="908" t="s">
        <v>1124</v>
      </c>
      <c r="AB346" s="912" t="s">
        <v>1138</v>
      </c>
      <c r="AC346" s="827" t="s">
        <v>1151</v>
      </c>
      <c r="AD346" s="1173"/>
      <c r="AE346" s="908" t="s">
        <v>1124</v>
      </c>
      <c r="AF346" s="912" t="s">
        <v>1138</v>
      </c>
      <c r="AG346" s="931">
        <v>5</v>
      </c>
      <c r="AH346" s="922">
        <v>1000</v>
      </c>
      <c r="AI346" s="795">
        <f t="shared" si="81"/>
        <v>5000</v>
      </c>
    </row>
    <row r="347" spans="1:35" s="45" customFormat="1" ht="45">
      <c r="A347" s="185"/>
      <c r="B347" s="827" t="s">
        <v>1150</v>
      </c>
      <c r="C347" s="908" t="s">
        <v>1123</v>
      </c>
      <c r="D347" s="912" t="s">
        <v>1138</v>
      </c>
      <c r="E347" s="931">
        <v>5</v>
      </c>
      <c r="F347" s="922">
        <v>15000</v>
      </c>
      <c r="G347" s="795">
        <f t="shared" si="82"/>
        <v>75000</v>
      </c>
      <c r="H347" s="208"/>
      <c r="I347" s="899"/>
      <c r="J347" s="208"/>
      <c r="K347" s="208"/>
      <c r="L347" s="208"/>
      <c r="M347" s="900"/>
      <c r="N347" s="901"/>
      <c r="O347" s="207"/>
      <c r="P347" s="207"/>
      <c r="Q347" s="207"/>
      <c r="R347" s="207"/>
      <c r="S347" s="207"/>
      <c r="T347" s="207"/>
      <c r="U347" s="16"/>
      <c r="V347" s="805"/>
      <c r="W347" s="807"/>
      <c r="X347" s="208"/>
      <c r="Y347" s="44"/>
      <c r="Z347" s="44"/>
      <c r="AA347" s="907" t="s">
        <v>1125</v>
      </c>
      <c r="AB347" s="912" t="s">
        <v>1138</v>
      </c>
      <c r="AC347" s="827" t="s">
        <v>1152</v>
      </c>
      <c r="AD347" s="1173"/>
      <c r="AE347" s="907" t="s">
        <v>1125</v>
      </c>
      <c r="AF347" s="912" t="s">
        <v>1138</v>
      </c>
      <c r="AG347" s="931">
        <v>10</v>
      </c>
      <c r="AH347" s="922">
        <v>20000</v>
      </c>
      <c r="AI347" s="795">
        <f t="shared" si="81"/>
        <v>200000</v>
      </c>
    </row>
    <row r="348" spans="1:35" s="45" customFormat="1" ht="60">
      <c r="A348" s="185"/>
      <c r="B348" s="827" t="s">
        <v>1151</v>
      </c>
      <c r="C348" s="908" t="s">
        <v>1124</v>
      </c>
      <c r="D348" s="912" t="s">
        <v>1138</v>
      </c>
      <c r="E348" s="931">
        <v>5</v>
      </c>
      <c r="F348" s="922">
        <v>1000</v>
      </c>
      <c r="G348" s="795">
        <f t="shared" si="82"/>
        <v>5000</v>
      </c>
      <c r="H348" s="208"/>
      <c r="I348" s="899"/>
      <c r="J348" s="208"/>
      <c r="K348" s="208"/>
      <c r="L348" s="208"/>
      <c r="M348" s="900"/>
      <c r="N348" s="901"/>
      <c r="O348" s="207"/>
      <c r="P348" s="207"/>
      <c r="Q348" s="207"/>
      <c r="R348" s="207"/>
      <c r="S348" s="207"/>
      <c r="T348" s="207"/>
      <c r="U348" s="16"/>
      <c r="V348" s="805"/>
      <c r="W348" s="807"/>
      <c r="X348" s="208"/>
      <c r="Y348" s="44"/>
      <c r="Z348" s="44"/>
      <c r="AA348" s="907" t="s">
        <v>1126</v>
      </c>
      <c r="AB348" s="912" t="s">
        <v>1138</v>
      </c>
      <c r="AC348" s="827" t="s">
        <v>1153</v>
      </c>
      <c r="AD348" s="1173"/>
      <c r="AE348" s="907" t="s">
        <v>1126</v>
      </c>
      <c r="AF348" s="912" t="s">
        <v>1138</v>
      </c>
      <c r="AG348" s="931">
        <v>4</v>
      </c>
      <c r="AH348" s="922">
        <v>25000</v>
      </c>
      <c r="AI348" s="795">
        <f t="shared" si="81"/>
        <v>100000</v>
      </c>
    </row>
    <row r="349" spans="1:35" s="45" customFormat="1" ht="45">
      <c r="A349" s="185"/>
      <c r="B349" s="827" t="s">
        <v>1152</v>
      </c>
      <c r="C349" s="907" t="s">
        <v>1125</v>
      </c>
      <c r="D349" s="912" t="s">
        <v>1138</v>
      </c>
      <c r="E349" s="931">
        <v>10</v>
      </c>
      <c r="F349" s="922">
        <v>20000</v>
      </c>
      <c r="G349" s="795">
        <f t="shared" si="82"/>
        <v>200000</v>
      </c>
      <c r="H349" s="208"/>
      <c r="I349" s="899"/>
      <c r="J349" s="208"/>
      <c r="K349" s="208"/>
      <c r="L349" s="208"/>
      <c r="M349" s="900"/>
      <c r="N349" s="901"/>
      <c r="O349" s="207"/>
      <c r="P349" s="207"/>
      <c r="Q349" s="207"/>
      <c r="R349" s="207"/>
      <c r="S349" s="207"/>
      <c r="T349" s="207"/>
      <c r="U349" s="16"/>
      <c r="V349" s="805"/>
      <c r="W349" s="807"/>
      <c r="X349" s="208"/>
      <c r="Y349" s="44"/>
      <c r="Z349" s="44"/>
      <c r="AA349" s="907" t="s">
        <v>1127</v>
      </c>
      <c r="AB349" s="912" t="s">
        <v>1138</v>
      </c>
      <c r="AC349" s="827" t="s">
        <v>1154</v>
      </c>
      <c r="AD349" s="1173"/>
      <c r="AE349" s="907" t="s">
        <v>1127</v>
      </c>
      <c r="AF349" s="912" t="s">
        <v>1138</v>
      </c>
      <c r="AG349" s="931">
        <v>4</v>
      </c>
      <c r="AH349" s="922">
        <v>17780</v>
      </c>
      <c r="AI349" s="795">
        <f t="shared" si="81"/>
        <v>71120</v>
      </c>
    </row>
    <row r="350" spans="1:35" s="45" customFormat="1" ht="30">
      <c r="A350" s="185"/>
      <c r="B350" s="827" t="s">
        <v>1153</v>
      </c>
      <c r="C350" s="907" t="s">
        <v>1126</v>
      </c>
      <c r="D350" s="912" t="s">
        <v>1138</v>
      </c>
      <c r="E350" s="931">
        <v>4</v>
      </c>
      <c r="F350" s="922">
        <v>25000</v>
      </c>
      <c r="G350" s="795">
        <f t="shared" si="82"/>
        <v>100000</v>
      </c>
      <c r="H350" s="208"/>
      <c r="I350" s="899"/>
      <c r="J350" s="208"/>
      <c r="K350" s="208"/>
      <c r="L350" s="208"/>
      <c r="M350" s="900"/>
      <c r="N350" s="901"/>
      <c r="O350" s="207"/>
      <c r="P350" s="207"/>
      <c r="Q350" s="207"/>
      <c r="R350" s="207"/>
      <c r="S350" s="207"/>
      <c r="T350" s="207"/>
      <c r="U350" s="16"/>
      <c r="V350" s="805"/>
      <c r="W350" s="807"/>
      <c r="X350" s="208"/>
      <c r="Y350" s="44"/>
      <c r="Z350" s="44"/>
      <c r="AA350" s="907" t="s">
        <v>1128</v>
      </c>
      <c r="AB350" s="912" t="s">
        <v>1139</v>
      </c>
      <c r="AC350" s="827" t="s">
        <v>1155</v>
      </c>
      <c r="AD350" s="1173"/>
      <c r="AE350" s="907" t="s">
        <v>1128</v>
      </c>
      <c r="AF350" s="912" t="s">
        <v>1139</v>
      </c>
      <c r="AG350" s="931">
        <v>605</v>
      </c>
      <c r="AH350" s="922">
        <v>2643</v>
      </c>
      <c r="AI350" s="795">
        <f t="shared" si="81"/>
        <v>1599015</v>
      </c>
    </row>
    <row r="351" spans="1:35" s="45" customFormat="1" ht="45">
      <c r="A351" s="185"/>
      <c r="B351" s="827" t="s">
        <v>1154</v>
      </c>
      <c r="C351" s="907" t="s">
        <v>1127</v>
      </c>
      <c r="D351" s="912" t="s">
        <v>1138</v>
      </c>
      <c r="E351" s="931">
        <v>4</v>
      </c>
      <c r="F351" s="922">
        <v>17780</v>
      </c>
      <c r="G351" s="795">
        <f t="shared" si="82"/>
        <v>71120</v>
      </c>
      <c r="H351" s="208"/>
      <c r="I351" s="899"/>
      <c r="J351" s="208"/>
      <c r="K351" s="208"/>
      <c r="L351" s="208"/>
      <c r="M351" s="900"/>
      <c r="N351" s="901"/>
      <c r="O351" s="207"/>
      <c r="P351" s="207"/>
      <c r="Q351" s="207"/>
      <c r="R351" s="207"/>
      <c r="S351" s="207"/>
      <c r="T351" s="207"/>
      <c r="U351" s="16"/>
      <c r="V351" s="805"/>
      <c r="W351" s="807"/>
      <c r="X351" s="208"/>
      <c r="Y351" s="44"/>
      <c r="Z351" s="44"/>
      <c r="AA351" s="907" t="s">
        <v>1129</v>
      </c>
      <c r="AB351" s="912" t="s">
        <v>1138</v>
      </c>
      <c r="AC351" s="827" t="s">
        <v>1156</v>
      </c>
      <c r="AD351" s="1173"/>
      <c r="AE351" s="907" t="s">
        <v>1129</v>
      </c>
      <c r="AF351" s="912" t="s">
        <v>1138</v>
      </c>
      <c r="AG351" s="931">
        <v>3</v>
      </c>
      <c r="AH351" s="922">
        <v>17000</v>
      </c>
      <c r="AI351" s="795">
        <f t="shared" si="81"/>
        <v>51000</v>
      </c>
    </row>
    <row r="352" spans="1:35" s="45" customFormat="1" ht="105">
      <c r="A352" s="185"/>
      <c r="B352" s="827" t="s">
        <v>1155</v>
      </c>
      <c r="C352" s="1184" t="s">
        <v>1128</v>
      </c>
      <c r="D352" s="1185" t="s">
        <v>1139</v>
      </c>
      <c r="E352" s="1186">
        <v>605</v>
      </c>
      <c r="F352" s="1187">
        <v>2643</v>
      </c>
      <c r="G352" s="1188">
        <f t="shared" si="82"/>
        <v>1599015</v>
      </c>
      <c r="H352" s="208"/>
      <c r="I352" s="899"/>
      <c r="J352" s="208"/>
      <c r="K352" s="208"/>
      <c r="L352" s="208"/>
      <c r="M352" s="900"/>
      <c r="N352" s="901"/>
      <c r="O352" s="207"/>
      <c r="P352" s="207"/>
      <c r="Q352" s="207"/>
      <c r="R352" s="207"/>
      <c r="S352" s="207"/>
      <c r="T352" s="207"/>
      <c r="U352" s="16"/>
      <c r="V352" s="805"/>
      <c r="W352" s="807"/>
      <c r="X352" s="208"/>
      <c r="Y352" s="44"/>
      <c r="Z352" s="44"/>
      <c r="AA352" s="907" t="s">
        <v>1130</v>
      </c>
      <c r="AB352" s="912" t="s">
        <v>1138</v>
      </c>
      <c r="AC352" s="827" t="s">
        <v>1157</v>
      </c>
      <c r="AD352" s="1173"/>
      <c r="AE352" s="907" t="s">
        <v>1130</v>
      </c>
      <c r="AF352" s="912" t="s">
        <v>1138</v>
      </c>
      <c r="AG352" s="931">
        <v>12</v>
      </c>
      <c r="AH352" s="922">
        <v>14500</v>
      </c>
      <c r="AI352" s="795">
        <f t="shared" si="81"/>
        <v>174000</v>
      </c>
    </row>
    <row r="353" spans="1:35" s="45" customFormat="1" ht="60">
      <c r="A353" s="185"/>
      <c r="B353" s="827" t="s">
        <v>1156</v>
      </c>
      <c r="C353" s="1184" t="s">
        <v>1129</v>
      </c>
      <c r="D353" s="1185" t="s">
        <v>1138</v>
      </c>
      <c r="E353" s="1186">
        <v>3</v>
      </c>
      <c r="F353" s="1187">
        <v>17000</v>
      </c>
      <c r="G353" s="1188">
        <f t="shared" si="82"/>
        <v>51000</v>
      </c>
      <c r="H353" s="208"/>
      <c r="I353" s="899"/>
      <c r="J353" s="208"/>
      <c r="K353" s="208"/>
      <c r="L353" s="208"/>
      <c r="M353" s="900"/>
      <c r="N353" s="901"/>
      <c r="O353" s="207"/>
      <c r="P353" s="207"/>
      <c r="Q353" s="207"/>
      <c r="R353" s="207"/>
      <c r="S353" s="207"/>
      <c r="T353" s="207"/>
      <c r="U353" s="16"/>
      <c r="V353" s="805"/>
      <c r="W353" s="807"/>
      <c r="X353" s="208"/>
      <c r="Y353" s="44"/>
      <c r="Z353" s="44"/>
      <c r="AA353" s="907" t="s">
        <v>1131</v>
      </c>
      <c r="AB353" s="912" t="s">
        <v>1138</v>
      </c>
      <c r="AC353" s="827" t="s">
        <v>1158</v>
      </c>
      <c r="AD353" s="1173"/>
      <c r="AE353" s="907" t="s">
        <v>1131</v>
      </c>
      <c r="AF353" s="912" t="s">
        <v>1138</v>
      </c>
      <c r="AG353" s="931">
        <v>3</v>
      </c>
      <c r="AH353" s="922">
        <v>2000</v>
      </c>
      <c r="AI353" s="795">
        <f t="shared" si="81"/>
        <v>6000</v>
      </c>
    </row>
    <row r="354" spans="1:35" s="45" customFormat="1" ht="45">
      <c r="A354" s="185"/>
      <c r="B354" s="827" t="s">
        <v>1157</v>
      </c>
      <c r="C354" s="907" t="s">
        <v>1130</v>
      </c>
      <c r="D354" s="912" t="s">
        <v>1138</v>
      </c>
      <c r="E354" s="931">
        <v>12</v>
      </c>
      <c r="F354" s="922">
        <v>14500</v>
      </c>
      <c r="G354" s="795">
        <f t="shared" si="82"/>
        <v>174000</v>
      </c>
      <c r="H354" s="208"/>
      <c r="I354" s="899"/>
      <c r="J354" s="208"/>
      <c r="K354" s="208"/>
      <c r="L354" s="208"/>
      <c r="M354" s="900"/>
      <c r="N354" s="901"/>
      <c r="O354" s="207"/>
      <c r="P354" s="207"/>
      <c r="Q354" s="207"/>
      <c r="R354" s="207"/>
      <c r="S354" s="207"/>
      <c r="T354" s="207"/>
      <c r="U354" s="16"/>
      <c r="V354" s="805"/>
      <c r="W354" s="807"/>
      <c r="X354" s="208"/>
      <c r="Y354" s="44"/>
      <c r="Z354" s="44"/>
      <c r="AA354" s="907" t="s">
        <v>1132</v>
      </c>
      <c r="AB354" s="912" t="s">
        <v>1140</v>
      </c>
      <c r="AC354" s="827" t="s">
        <v>1159</v>
      </c>
      <c r="AD354" s="1173"/>
      <c r="AE354" s="907" t="s">
        <v>1132</v>
      </c>
      <c r="AF354" s="912" t="s">
        <v>1140</v>
      </c>
      <c r="AG354" s="931">
        <v>5</v>
      </c>
      <c r="AH354" s="922">
        <v>4500</v>
      </c>
      <c r="AI354" s="795">
        <f t="shared" si="81"/>
        <v>22500</v>
      </c>
    </row>
    <row r="355" spans="1:35" s="45" customFormat="1" ht="45">
      <c r="A355" s="185"/>
      <c r="B355" s="827" t="s">
        <v>1158</v>
      </c>
      <c r="C355" s="907" t="s">
        <v>1131</v>
      </c>
      <c r="D355" s="912" t="s">
        <v>1138</v>
      </c>
      <c r="E355" s="931">
        <v>3</v>
      </c>
      <c r="F355" s="922">
        <v>2000</v>
      </c>
      <c r="G355" s="795">
        <f t="shared" si="82"/>
        <v>6000</v>
      </c>
      <c r="H355" s="208"/>
      <c r="I355" s="899"/>
      <c r="J355" s="208"/>
      <c r="K355" s="208"/>
      <c r="L355" s="208"/>
      <c r="M355" s="900"/>
      <c r="N355" s="901"/>
      <c r="O355" s="207"/>
      <c r="P355" s="207"/>
      <c r="Q355" s="207"/>
      <c r="R355" s="207"/>
      <c r="S355" s="207"/>
      <c r="T355" s="207"/>
      <c r="U355" s="16"/>
      <c r="V355" s="805"/>
      <c r="W355" s="807"/>
      <c r="X355" s="208"/>
      <c r="Y355" s="44"/>
      <c r="Z355" s="44"/>
      <c r="AA355" s="907" t="s">
        <v>1133</v>
      </c>
      <c r="AB355" s="912" t="s">
        <v>1138</v>
      </c>
      <c r="AC355" s="827" t="s">
        <v>1160</v>
      </c>
      <c r="AD355" s="1173"/>
      <c r="AE355" s="907" t="s">
        <v>1133</v>
      </c>
      <c r="AF355" s="912" t="s">
        <v>1138</v>
      </c>
      <c r="AG355" s="931">
        <v>3</v>
      </c>
      <c r="AH355" s="922">
        <v>35000</v>
      </c>
      <c r="AI355" s="795">
        <f t="shared" si="81"/>
        <v>105000</v>
      </c>
    </row>
    <row r="356" spans="1:35" s="45" customFormat="1" ht="60">
      <c r="A356" s="185"/>
      <c r="B356" s="827" t="s">
        <v>1159</v>
      </c>
      <c r="C356" s="907" t="s">
        <v>1132</v>
      </c>
      <c r="D356" s="912" t="s">
        <v>1140</v>
      </c>
      <c r="E356" s="931">
        <v>5</v>
      </c>
      <c r="F356" s="922">
        <v>4500</v>
      </c>
      <c r="G356" s="795">
        <f t="shared" si="82"/>
        <v>22500</v>
      </c>
      <c r="H356" s="208"/>
      <c r="I356" s="899"/>
      <c r="J356" s="208"/>
      <c r="K356" s="208"/>
      <c r="L356" s="208"/>
      <c r="M356" s="900"/>
      <c r="N356" s="901"/>
      <c r="O356" s="207"/>
      <c r="P356" s="207"/>
      <c r="Q356" s="207"/>
      <c r="R356" s="207"/>
      <c r="S356" s="207"/>
      <c r="T356" s="207"/>
      <c r="U356" s="16"/>
      <c r="V356" s="805"/>
      <c r="W356" s="807"/>
      <c r="X356" s="208"/>
      <c r="Y356" s="44"/>
      <c r="Z356" s="44"/>
      <c r="AA356" s="907" t="s">
        <v>1134</v>
      </c>
      <c r="AB356" s="912" t="s">
        <v>1138</v>
      </c>
      <c r="AC356" s="827" t="s">
        <v>1161</v>
      </c>
      <c r="AD356" s="1173"/>
      <c r="AE356" s="907" t="s">
        <v>1134</v>
      </c>
      <c r="AF356" s="912" t="s">
        <v>1138</v>
      </c>
      <c r="AG356" s="931">
        <v>3</v>
      </c>
      <c r="AH356" s="922">
        <v>20000</v>
      </c>
      <c r="AI356" s="795">
        <f t="shared" si="81"/>
        <v>60000</v>
      </c>
    </row>
    <row r="357" spans="1:35" s="45" customFormat="1" ht="90">
      <c r="A357" s="185"/>
      <c r="B357" s="827" t="s">
        <v>1160</v>
      </c>
      <c r="C357" s="907" t="s">
        <v>1133</v>
      </c>
      <c r="D357" s="912" t="s">
        <v>1138</v>
      </c>
      <c r="E357" s="931">
        <v>3</v>
      </c>
      <c r="F357" s="922">
        <v>35000</v>
      </c>
      <c r="G357" s="795">
        <f t="shared" si="82"/>
        <v>105000</v>
      </c>
      <c r="H357" s="208"/>
      <c r="I357" s="899"/>
      <c r="J357" s="208"/>
      <c r="K357" s="208"/>
      <c r="L357" s="208"/>
      <c r="M357" s="900"/>
      <c r="N357" s="901"/>
      <c r="O357" s="207"/>
      <c r="P357" s="207"/>
      <c r="Q357" s="207"/>
      <c r="R357" s="207"/>
      <c r="S357" s="207"/>
      <c r="T357" s="207"/>
      <c r="U357" s="16"/>
      <c r="V357" s="805"/>
      <c r="W357" s="807"/>
      <c r="X357" s="208"/>
      <c r="Y357" s="44"/>
      <c r="Z357" s="44"/>
      <c r="AA357" s="907" t="s">
        <v>1135</v>
      </c>
      <c r="AB357" s="912" t="s">
        <v>1141</v>
      </c>
      <c r="AC357" s="827" t="s">
        <v>1162</v>
      </c>
      <c r="AD357" s="1173"/>
      <c r="AE357" s="907" t="s">
        <v>1135</v>
      </c>
      <c r="AF357" s="912" t="s">
        <v>1141</v>
      </c>
      <c r="AG357" s="931">
        <v>45</v>
      </c>
      <c r="AH357" s="922">
        <v>4833</v>
      </c>
      <c r="AI357" s="795">
        <f t="shared" si="81"/>
        <v>217485</v>
      </c>
    </row>
    <row r="358" spans="1:35" s="45" customFormat="1" ht="75">
      <c r="A358" s="185"/>
      <c r="B358" s="827" t="s">
        <v>1161</v>
      </c>
      <c r="C358" s="907" t="s">
        <v>1134</v>
      </c>
      <c r="D358" s="912" t="s">
        <v>1138</v>
      </c>
      <c r="E358" s="931">
        <v>3</v>
      </c>
      <c r="F358" s="922">
        <v>20000</v>
      </c>
      <c r="G358" s="795">
        <f t="shared" si="82"/>
        <v>60000</v>
      </c>
      <c r="H358" s="208"/>
      <c r="I358" s="899"/>
      <c r="J358" s="208"/>
      <c r="K358" s="208"/>
      <c r="L358" s="208"/>
      <c r="M358" s="900"/>
      <c r="N358" s="901"/>
      <c r="O358" s="207"/>
      <c r="P358" s="207"/>
      <c r="Q358" s="207"/>
      <c r="R358" s="207"/>
      <c r="S358" s="207"/>
      <c r="T358" s="207"/>
      <c r="U358" s="16"/>
      <c r="V358" s="805"/>
      <c r="W358" s="807"/>
      <c r="X358" s="208"/>
      <c r="Y358" s="44"/>
      <c r="Z358" s="44"/>
      <c r="AA358" s="909" t="s">
        <v>1178</v>
      </c>
      <c r="AB358" s="827"/>
      <c r="AC358" s="827">
        <v>10.199999999999999</v>
      </c>
      <c r="AD358" s="1173"/>
      <c r="AE358" s="909" t="s">
        <v>1178</v>
      </c>
      <c r="AF358" s="827"/>
      <c r="AG358" s="594"/>
      <c r="AH358" s="575"/>
      <c r="AI358" s="792"/>
    </row>
    <row r="359" spans="1:35" s="45" customFormat="1" ht="75">
      <c r="A359" s="185"/>
      <c r="B359" s="827" t="s">
        <v>1162</v>
      </c>
      <c r="C359" s="907" t="s">
        <v>1135</v>
      </c>
      <c r="D359" s="912" t="s">
        <v>1141</v>
      </c>
      <c r="E359" s="931">
        <v>45</v>
      </c>
      <c r="F359" s="922">
        <v>4833</v>
      </c>
      <c r="G359" s="795">
        <f t="shared" si="82"/>
        <v>217485</v>
      </c>
      <c r="H359" s="208"/>
      <c r="I359" s="899"/>
      <c r="J359" s="208"/>
      <c r="K359" s="208"/>
      <c r="L359" s="208"/>
      <c r="M359" s="900"/>
      <c r="N359" s="901"/>
      <c r="O359" s="207"/>
      <c r="P359" s="207"/>
      <c r="Q359" s="207"/>
      <c r="R359" s="207"/>
      <c r="S359" s="207"/>
      <c r="T359" s="207"/>
      <c r="U359" s="16"/>
      <c r="V359" s="805"/>
      <c r="W359" s="807"/>
      <c r="X359" s="208"/>
      <c r="Y359" s="44"/>
      <c r="Z359" s="44"/>
      <c r="AA359" s="907" t="s">
        <v>1163</v>
      </c>
      <c r="AB359" s="921" t="s">
        <v>1207</v>
      </c>
      <c r="AC359" s="827" t="s">
        <v>1179</v>
      </c>
      <c r="AD359" s="1173"/>
      <c r="AE359" s="907" t="s">
        <v>1163</v>
      </c>
      <c r="AF359" s="921" t="s">
        <v>1207</v>
      </c>
      <c r="AG359" s="921">
        <v>1</v>
      </c>
      <c r="AH359" s="922">
        <v>160000</v>
      </c>
      <c r="AI359" s="795">
        <f t="shared" si="81"/>
        <v>160000</v>
      </c>
    </row>
    <row r="360" spans="1:35" s="45" customFormat="1" ht="75">
      <c r="A360" s="185"/>
      <c r="B360" s="827">
        <v>10.199999999999999</v>
      </c>
      <c r="C360" s="909" t="s">
        <v>1178</v>
      </c>
      <c r="D360" s="827"/>
      <c r="E360" s="594"/>
      <c r="F360" s="575"/>
      <c r="G360" s="792"/>
      <c r="H360" s="208"/>
      <c r="I360" s="899"/>
      <c r="J360" s="208"/>
      <c r="K360" s="208"/>
      <c r="L360" s="208"/>
      <c r="M360" s="900"/>
      <c r="N360" s="901"/>
      <c r="O360" s="207"/>
      <c r="P360" s="207"/>
      <c r="Q360" s="207"/>
      <c r="R360" s="207"/>
      <c r="S360" s="207"/>
      <c r="T360" s="207"/>
      <c r="U360" s="16"/>
      <c r="V360" s="805"/>
      <c r="W360" s="807"/>
      <c r="X360" s="208"/>
      <c r="Y360" s="44"/>
      <c r="Z360" s="44"/>
      <c r="AA360" s="907" t="s">
        <v>1164</v>
      </c>
      <c r="AB360" s="921" t="s">
        <v>1207</v>
      </c>
      <c r="AC360" s="827" t="s">
        <v>1180</v>
      </c>
      <c r="AD360" s="1173"/>
      <c r="AE360" s="907" t="s">
        <v>1164</v>
      </c>
      <c r="AF360" s="921" t="s">
        <v>1207</v>
      </c>
      <c r="AG360" s="921">
        <v>2</v>
      </c>
      <c r="AH360" s="922">
        <v>115000</v>
      </c>
      <c r="AI360" s="795">
        <f t="shared" si="81"/>
        <v>230000</v>
      </c>
    </row>
    <row r="361" spans="1:35" s="45" customFormat="1" ht="30">
      <c r="A361" s="185"/>
      <c r="B361" s="827" t="s">
        <v>1179</v>
      </c>
      <c r="C361" s="907" t="s">
        <v>1163</v>
      </c>
      <c r="D361" s="921" t="s">
        <v>1207</v>
      </c>
      <c r="E361" s="921">
        <v>1</v>
      </c>
      <c r="F361" s="922">
        <v>160000</v>
      </c>
      <c r="G361" s="795">
        <f t="shared" si="82"/>
        <v>160000</v>
      </c>
      <c r="H361" s="208"/>
      <c r="I361" s="899"/>
      <c r="J361" s="208"/>
      <c r="K361" s="208"/>
      <c r="L361" s="208"/>
      <c r="M361" s="900"/>
      <c r="N361" s="901"/>
      <c r="O361" s="207"/>
      <c r="P361" s="207"/>
      <c r="Q361" s="207"/>
      <c r="R361" s="207"/>
      <c r="S361" s="207"/>
      <c r="T361" s="207"/>
      <c r="U361" s="16"/>
      <c r="V361" s="805"/>
      <c r="W361" s="807"/>
      <c r="X361" s="208"/>
      <c r="Y361" s="44"/>
      <c r="Z361" s="44"/>
      <c r="AA361" s="907" t="s">
        <v>1165</v>
      </c>
      <c r="AB361" s="921" t="s">
        <v>1207</v>
      </c>
      <c r="AC361" s="827" t="s">
        <v>1181</v>
      </c>
      <c r="AD361" s="1173"/>
      <c r="AE361" s="907" t="s">
        <v>1165</v>
      </c>
      <c r="AF361" s="921" t="s">
        <v>1207</v>
      </c>
      <c r="AG361" s="921">
        <v>2</v>
      </c>
      <c r="AH361" s="922">
        <v>213620</v>
      </c>
      <c r="AI361" s="795">
        <f t="shared" si="81"/>
        <v>427240</v>
      </c>
    </row>
    <row r="362" spans="1:35" s="45" customFormat="1" ht="45">
      <c r="A362" s="185"/>
      <c r="B362" s="827" t="s">
        <v>1180</v>
      </c>
      <c r="C362" s="907" t="s">
        <v>1164</v>
      </c>
      <c r="D362" s="921" t="s">
        <v>1207</v>
      </c>
      <c r="E362" s="921">
        <v>2</v>
      </c>
      <c r="F362" s="922">
        <v>115000</v>
      </c>
      <c r="G362" s="795">
        <f t="shared" si="82"/>
        <v>230000</v>
      </c>
      <c r="H362" s="208"/>
      <c r="I362" s="899"/>
      <c r="J362" s="208"/>
      <c r="K362" s="208"/>
      <c r="L362" s="208"/>
      <c r="M362" s="900"/>
      <c r="N362" s="901"/>
      <c r="O362" s="207"/>
      <c r="P362" s="207"/>
      <c r="Q362" s="207"/>
      <c r="R362" s="207"/>
      <c r="S362" s="207"/>
      <c r="T362" s="207"/>
      <c r="U362" s="16"/>
      <c r="V362" s="805"/>
      <c r="W362" s="807"/>
      <c r="X362" s="208"/>
      <c r="Y362" s="44"/>
      <c r="Z362" s="44"/>
      <c r="AA362" s="907" t="s">
        <v>1166</v>
      </c>
      <c r="AB362" s="921" t="s">
        <v>1207</v>
      </c>
      <c r="AC362" s="827" t="s">
        <v>1182</v>
      </c>
      <c r="AD362" s="1173"/>
      <c r="AE362" s="907" t="s">
        <v>1166</v>
      </c>
      <c r="AF362" s="921" t="s">
        <v>1207</v>
      </c>
      <c r="AG362" s="921">
        <v>2</v>
      </c>
      <c r="AH362" s="922">
        <v>15200</v>
      </c>
      <c r="AI362" s="795">
        <f t="shared" si="81"/>
        <v>30400</v>
      </c>
    </row>
    <row r="363" spans="1:35" s="45" customFormat="1" ht="45">
      <c r="A363" s="185"/>
      <c r="B363" s="827" t="s">
        <v>1181</v>
      </c>
      <c r="C363" s="907" t="s">
        <v>1165</v>
      </c>
      <c r="D363" s="921" t="s">
        <v>1207</v>
      </c>
      <c r="E363" s="921">
        <v>2</v>
      </c>
      <c r="F363" s="922">
        <v>213620</v>
      </c>
      <c r="G363" s="795">
        <f t="shared" si="82"/>
        <v>427240</v>
      </c>
      <c r="H363" s="208"/>
      <c r="I363" s="899"/>
      <c r="J363" s="208"/>
      <c r="K363" s="208"/>
      <c r="L363" s="208"/>
      <c r="M363" s="900"/>
      <c r="N363" s="901"/>
      <c r="O363" s="207"/>
      <c r="P363" s="207"/>
      <c r="Q363" s="207"/>
      <c r="R363" s="207"/>
      <c r="S363" s="207"/>
      <c r="T363" s="207"/>
      <c r="U363" s="16"/>
      <c r="V363" s="805"/>
      <c r="W363" s="807"/>
      <c r="X363" s="208"/>
      <c r="Y363" s="44"/>
      <c r="Z363" s="44"/>
      <c r="AA363" s="907" t="s">
        <v>1167</v>
      </c>
      <c r="AB363" s="921" t="s">
        <v>1207</v>
      </c>
      <c r="AC363" s="827" t="s">
        <v>1183</v>
      </c>
      <c r="AD363" s="1173"/>
      <c r="AE363" s="907" t="s">
        <v>1167</v>
      </c>
      <c r="AF363" s="921" t="s">
        <v>1207</v>
      </c>
      <c r="AG363" s="921">
        <v>2</v>
      </c>
      <c r="AH363" s="922">
        <v>16500</v>
      </c>
      <c r="AI363" s="795">
        <f t="shared" si="81"/>
        <v>33000</v>
      </c>
    </row>
    <row r="364" spans="1:35" s="45" customFormat="1" ht="75">
      <c r="A364" s="185"/>
      <c r="B364" s="827" t="s">
        <v>1182</v>
      </c>
      <c r="C364" s="907" t="s">
        <v>1166</v>
      </c>
      <c r="D364" s="921" t="s">
        <v>1207</v>
      </c>
      <c r="E364" s="921">
        <v>2</v>
      </c>
      <c r="F364" s="922">
        <v>15200</v>
      </c>
      <c r="G364" s="795">
        <f t="shared" si="82"/>
        <v>30400</v>
      </c>
      <c r="H364" s="208"/>
      <c r="I364" s="899"/>
      <c r="J364" s="208"/>
      <c r="K364" s="208"/>
      <c r="L364" s="208"/>
      <c r="M364" s="900"/>
      <c r="N364" s="901"/>
      <c r="O364" s="207"/>
      <c r="P364" s="207"/>
      <c r="Q364" s="207"/>
      <c r="R364" s="207"/>
      <c r="S364" s="207"/>
      <c r="T364" s="207"/>
      <c r="U364" s="16"/>
      <c r="V364" s="805"/>
      <c r="W364" s="807"/>
      <c r="X364" s="208"/>
      <c r="Y364" s="44"/>
      <c r="Z364" s="44"/>
      <c r="AA364" s="907" t="s">
        <v>1168</v>
      </c>
      <c r="AB364" s="921" t="s">
        <v>1207</v>
      </c>
      <c r="AC364" s="827" t="s">
        <v>1184</v>
      </c>
      <c r="AD364" s="1173"/>
      <c r="AE364" s="907" t="s">
        <v>1168</v>
      </c>
      <c r="AF364" s="921" t="s">
        <v>1207</v>
      </c>
      <c r="AG364" s="921">
        <v>2</v>
      </c>
      <c r="AH364" s="922">
        <v>22000</v>
      </c>
      <c r="AI364" s="795">
        <f t="shared" si="81"/>
        <v>44000</v>
      </c>
    </row>
    <row r="365" spans="1:35" s="45" customFormat="1" ht="60">
      <c r="A365" s="185"/>
      <c r="B365" s="827" t="s">
        <v>1183</v>
      </c>
      <c r="C365" s="907" t="s">
        <v>1167</v>
      </c>
      <c r="D365" s="921" t="s">
        <v>1207</v>
      </c>
      <c r="E365" s="921">
        <v>2</v>
      </c>
      <c r="F365" s="922">
        <v>16500</v>
      </c>
      <c r="G365" s="795">
        <f t="shared" si="82"/>
        <v>33000</v>
      </c>
      <c r="H365" s="208"/>
      <c r="I365" s="899"/>
      <c r="J365" s="208"/>
      <c r="K365" s="208"/>
      <c r="L365" s="208"/>
      <c r="M365" s="900"/>
      <c r="N365" s="901"/>
      <c r="O365" s="207"/>
      <c r="P365" s="207"/>
      <c r="Q365" s="207"/>
      <c r="R365" s="207"/>
      <c r="S365" s="207"/>
      <c r="T365" s="207"/>
      <c r="U365" s="16"/>
      <c r="V365" s="805"/>
      <c r="W365" s="807"/>
      <c r="X365" s="208"/>
      <c r="Y365" s="44"/>
      <c r="Z365" s="44"/>
      <c r="AA365" s="907" t="s">
        <v>1169</v>
      </c>
      <c r="AB365" s="921" t="s">
        <v>1207</v>
      </c>
      <c r="AC365" s="827" t="s">
        <v>1185</v>
      </c>
      <c r="AD365" s="1173"/>
      <c r="AE365" s="907" t="s">
        <v>1169</v>
      </c>
      <c r="AF365" s="921" t="s">
        <v>1207</v>
      </c>
      <c r="AG365" s="921">
        <v>5</v>
      </c>
      <c r="AH365" s="922">
        <v>500</v>
      </c>
      <c r="AI365" s="795">
        <f t="shared" si="81"/>
        <v>2500</v>
      </c>
    </row>
    <row r="366" spans="1:35" s="45" customFormat="1" ht="45">
      <c r="A366" s="185"/>
      <c r="B366" s="827" t="s">
        <v>1184</v>
      </c>
      <c r="C366" s="907" t="s">
        <v>1168</v>
      </c>
      <c r="D366" s="921" t="s">
        <v>1207</v>
      </c>
      <c r="E366" s="921">
        <v>2</v>
      </c>
      <c r="F366" s="922">
        <v>22000</v>
      </c>
      <c r="G366" s="795">
        <f t="shared" si="82"/>
        <v>44000</v>
      </c>
      <c r="H366" s="208"/>
      <c r="I366" s="899"/>
      <c r="J366" s="208"/>
      <c r="K366" s="208"/>
      <c r="L366" s="208"/>
      <c r="M366" s="900"/>
      <c r="N366" s="901"/>
      <c r="O366" s="207"/>
      <c r="P366" s="207"/>
      <c r="Q366" s="207"/>
      <c r="R366" s="207"/>
      <c r="S366" s="207"/>
      <c r="T366" s="207"/>
      <c r="U366" s="16"/>
      <c r="V366" s="805"/>
      <c r="W366" s="807"/>
      <c r="X366" s="208"/>
      <c r="Y366" s="44"/>
      <c r="Z366" s="44"/>
      <c r="AA366" s="907" t="s">
        <v>1170</v>
      </c>
      <c r="AB366" s="921" t="s">
        <v>1207</v>
      </c>
      <c r="AC366" s="827" t="s">
        <v>1186</v>
      </c>
      <c r="AD366" s="1173"/>
      <c r="AE366" s="907" t="s">
        <v>1170</v>
      </c>
      <c r="AF366" s="921" t="s">
        <v>1207</v>
      </c>
      <c r="AG366" s="921">
        <v>2</v>
      </c>
      <c r="AH366" s="922">
        <v>2500</v>
      </c>
      <c r="AI366" s="795">
        <f t="shared" si="81"/>
        <v>5000</v>
      </c>
    </row>
    <row r="367" spans="1:35" s="45" customFormat="1" ht="45">
      <c r="A367" s="185"/>
      <c r="B367" s="827" t="s">
        <v>1185</v>
      </c>
      <c r="C367" s="907" t="s">
        <v>1169</v>
      </c>
      <c r="D367" s="921" t="s">
        <v>1207</v>
      </c>
      <c r="E367" s="921">
        <v>5</v>
      </c>
      <c r="F367" s="922">
        <v>500</v>
      </c>
      <c r="G367" s="795">
        <f t="shared" si="82"/>
        <v>2500</v>
      </c>
      <c r="H367" s="208"/>
      <c r="I367" s="899"/>
      <c r="J367" s="208"/>
      <c r="K367" s="208"/>
      <c r="L367" s="208"/>
      <c r="M367" s="900"/>
      <c r="N367" s="901"/>
      <c r="O367" s="207"/>
      <c r="P367" s="207"/>
      <c r="Q367" s="207"/>
      <c r="R367" s="207"/>
      <c r="S367" s="207"/>
      <c r="T367" s="207"/>
      <c r="U367" s="16"/>
      <c r="V367" s="805"/>
      <c r="W367" s="807"/>
      <c r="X367" s="208"/>
      <c r="Y367" s="44"/>
      <c r="Z367" s="44"/>
      <c r="AA367" s="907" t="s">
        <v>1171</v>
      </c>
      <c r="AB367" s="921" t="s">
        <v>1208</v>
      </c>
      <c r="AC367" s="827" t="s">
        <v>1187</v>
      </c>
      <c r="AD367" s="1173"/>
      <c r="AE367" s="907" t="s">
        <v>1171</v>
      </c>
      <c r="AF367" s="921" t="s">
        <v>1208</v>
      </c>
      <c r="AG367" s="921">
        <v>5</v>
      </c>
      <c r="AH367" s="922">
        <v>6000</v>
      </c>
      <c r="AI367" s="795">
        <f t="shared" si="81"/>
        <v>30000</v>
      </c>
    </row>
    <row r="368" spans="1:35" s="45" customFormat="1" ht="45">
      <c r="A368" s="185"/>
      <c r="B368" s="827" t="s">
        <v>1186</v>
      </c>
      <c r="C368" s="907" t="s">
        <v>1170</v>
      </c>
      <c r="D368" s="921" t="s">
        <v>1207</v>
      </c>
      <c r="E368" s="921">
        <v>2</v>
      </c>
      <c r="F368" s="922">
        <v>2500</v>
      </c>
      <c r="G368" s="795">
        <f t="shared" si="82"/>
        <v>5000</v>
      </c>
      <c r="H368" s="208"/>
      <c r="I368" s="899"/>
      <c r="J368" s="208"/>
      <c r="K368" s="208"/>
      <c r="L368" s="208"/>
      <c r="M368" s="900"/>
      <c r="N368" s="901"/>
      <c r="O368" s="207"/>
      <c r="P368" s="207"/>
      <c r="Q368" s="207"/>
      <c r="R368" s="207"/>
      <c r="S368" s="207"/>
      <c r="T368" s="207"/>
      <c r="U368" s="16"/>
      <c r="V368" s="805"/>
      <c r="W368" s="807"/>
      <c r="X368" s="208"/>
      <c r="Y368" s="44"/>
      <c r="Z368" s="44"/>
      <c r="AA368" s="907" t="s">
        <v>1172</v>
      </c>
      <c r="AB368" s="921" t="s">
        <v>1207</v>
      </c>
      <c r="AC368" s="827" t="s">
        <v>1188</v>
      </c>
      <c r="AD368" s="1173"/>
      <c r="AE368" s="907" t="s">
        <v>1172</v>
      </c>
      <c r="AF368" s="921" t="s">
        <v>1207</v>
      </c>
      <c r="AG368" s="921">
        <v>2</v>
      </c>
      <c r="AH368" s="922">
        <v>2000</v>
      </c>
      <c r="AI368" s="795">
        <f t="shared" si="81"/>
        <v>4000</v>
      </c>
    </row>
    <row r="369" spans="1:35" s="45" customFormat="1" ht="60">
      <c r="A369" s="185"/>
      <c r="B369" s="827" t="s">
        <v>1187</v>
      </c>
      <c r="C369" s="907" t="s">
        <v>1171</v>
      </c>
      <c r="D369" s="921" t="s">
        <v>1208</v>
      </c>
      <c r="E369" s="921">
        <v>5</v>
      </c>
      <c r="F369" s="922">
        <v>6000</v>
      </c>
      <c r="G369" s="795">
        <f t="shared" si="82"/>
        <v>30000</v>
      </c>
      <c r="H369" s="208"/>
      <c r="I369" s="899"/>
      <c r="J369" s="208"/>
      <c r="K369" s="208"/>
      <c r="L369" s="208"/>
      <c r="M369" s="900"/>
      <c r="N369" s="901"/>
      <c r="O369" s="207"/>
      <c r="P369" s="207"/>
      <c r="Q369" s="207"/>
      <c r="R369" s="207"/>
      <c r="S369" s="207"/>
      <c r="T369" s="207"/>
      <c r="U369" s="16"/>
      <c r="V369" s="805"/>
      <c r="W369" s="807"/>
      <c r="X369" s="208"/>
      <c r="Y369" s="44"/>
      <c r="Z369" s="44"/>
      <c r="AA369" s="907" t="s">
        <v>1173</v>
      </c>
      <c r="AB369" s="921" t="s">
        <v>1207</v>
      </c>
      <c r="AC369" s="827" t="s">
        <v>1189</v>
      </c>
      <c r="AD369" s="1173"/>
      <c r="AE369" s="907" t="s">
        <v>1173</v>
      </c>
      <c r="AF369" s="921" t="s">
        <v>1207</v>
      </c>
      <c r="AG369" s="921">
        <v>2</v>
      </c>
      <c r="AH369" s="922">
        <v>15000</v>
      </c>
      <c r="AI369" s="795">
        <f t="shared" si="81"/>
        <v>30000</v>
      </c>
    </row>
    <row r="370" spans="1:35" s="45" customFormat="1" ht="60">
      <c r="A370" s="185"/>
      <c r="B370" s="827" t="s">
        <v>1188</v>
      </c>
      <c r="C370" s="907" t="s">
        <v>1172</v>
      </c>
      <c r="D370" s="921" t="s">
        <v>1207</v>
      </c>
      <c r="E370" s="921">
        <v>2</v>
      </c>
      <c r="F370" s="922">
        <v>2000</v>
      </c>
      <c r="G370" s="795">
        <f t="shared" si="82"/>
        <v>4000</v>
      </c>
      <c r="H370" s="208"/>
      <c r="I370" s="899"/>
      <c r="J370" s="208"/>
      <c r="K370" s="208"/>
      <c r="L370" s="208"/>
      <c r="M370" s="900"/>
      <c r="N370" s="901"/>
      <c r="O370" s="207"/>
      <c r="P370" s="207"/>
      <c r="Q370" s="207"/>
      <c r="R370" s="207"/>
      <c r="S370" s="207"/>
      <c r="T370" s="207"/>
      <c r="U370" s="16"/>
      <c r="V370" s="805"/>
      <c r="W370" s="807"/>
      <c r="X370" s="208"/>
      <c r="Y370" s="44"/>
      <c r="Z370" s="44"/>
      <c r="AA370" s="907" t="s">
        <v>1174</v>
      </c>
      <c r="AB370" s="921" t="s">
        <v>1207</v>
      </c>
      <c r="AC370" s="827" t="s">
        <v>1190</v>
      </c>
      <c r="AD370" s="1173"/>
      <c r="AE370" s="907" t="s">
        <v>1174</v>
      </c>
      <c r="AF370" s="921" t="s">
        <v>1207</v>
      </c>
      <c r="AG370" s="921">
        <v>2</v>
      </c>
      <c r="AH370" s="922">
        <v>17780</v>
      </c>
      <c r="AI370" s="795">
        <f t="shared" si="81"/>
        <v>35560</v>
      </c>
    </row>
    <row r="371" spans="1:35" s="45" customFormat="1" ht="30">
      <c r="A371" s="185"/>
      <c r="B371" s="827" t="s">
        <v>1189</v>
      </c>
      <c r="C371" s="907" t="s">
        <v>1173</v>
      </c>
      <c r="D371" s="921" t="s">
        <v>1207</v>
      </c>
      <c r="E371" s="921">
        <v>2</v>
      </c>
      <c r="F371" s="922">
        <v>15000</v>
      </c>
      <c r="G371" s="795">
        <f t="shared" si="82"/>
        <v>30000</v>
      </c>
      <c r="H371" s="208"/>
      <c r="I371" s="899"/>
      <c r="J371" s="208"/>
      <c r="K371" s="208"/>
      <c r="L371" s="208"/>
      <c r="M371" s="900"/>
      <c r="N371" s="901"/>
      <c r="O371" s="207"/>
      <c r="P371" s="207"/>
      <c r="Q371" s="207"/>
      <c r="R371" s="207"/>
      <c r="S371" s="207"/>
      <c r="T371" s="207"/>
      <c r="U371" s="16"/>
      <c r="V371" s="805"/>
      <c r="W371" s="807"/>
      <c r="X371" s="208"/>
      <c r="Y371" s="44"/>
      <c r="Z371" s="44"/>
      <c r="AA371" s="907" t="s">
        <v>1175</v>
      </c>
      <c r="AB371" s="921" t="s">
        <v>1208</v>
      </c>
      <c r="AC371" s="827" t="s">
        <v>1191</v>
      </c>
      <c r="AD371" s="1173"/>
      <c r="AE371" s="907" t="s">
        <v>1175</v>
      </c>
      <c r="AF371" s="921" t="s">
        <v>1208</v>
      </c>
      <c r="AG371" s="921">
        <v>8</v>
      </c>
      <c r="AH371" s="922">
        <v>2400</v>
      </c>
      <c r="AI371" s="795">
        <f t="shared" si="81"/>
        <v>19200</v>
      </c>
    </row>
    <row r="372" spans="1:35" s="45" customFormat="1" ht="45">
      <c r="A372" s="185"/>
      <c r="B372" s="827" t="s">
        <v>1190</v>
      </c>
      <c r="C372" s="907" t="s">
        <v>1174</v>
      </c>
      <c r="D372" s="921" t="s">
        <v>1207</v>
      </c>
      <c r="E372" s="921">
        <v>2</v>
      </c>
      <c r="F372" s="922">
        <v>17780</v>
      </c>
      <c r="G372" s="795">
        <f t="shared" si="82"/>
        <v>35560</v>
      </c>
      <c r="H372" s="208"/>
      <c r="I372" s="899"/>
      <c r="J372" s="208"/>
      <c r="K372" s="208"/>
      <c r="L372" s="208"/>
      <c r="M372" s="900"/>
      <c r="N372" s="901"/>
      <c r="O372" s="207"/>
      <c r="P372" s="207"/>
      <c r="Q372" s="207"/>
      <c r="R372" s="207"/>
      <c r="S372" s="207"/>
      <c r="T372" s="207"/>
      <c r="U372" s="16"/>
      <c r="V372" s="805"/>
      <c r="W372" s="807"/>
      <c r="X372" s="208"/>
      <c r="Y372" s="44"/>
      <c r="Z372" s="44"/>
      <c r="AA372" s="907" t="s">
        <v>1176</v>
      </c>
      <c r="AB372" s="921" t="s">
        <v>1207</v>
      </c>
      <c r="AC372" s="827" t="s">
        <v>1192</v>
      </c>
      <c r="AD372" s="1173"/>
      <c r="AE372" s="907" t="s">
        <v>1176</v>
      </c>
      <c r="AF372" s="921" t="s">
        <v>1207</v>
      </c>
      <c r="AG372" s="921">
        <v>2</v>
      </c>
      <c r="AH372" s="922">
        <v>19500</v>
      </c>
      <c r="AI372" s="795">
        <f t="shared" si="81"/>
        <v>39000</v>
      </c>
    </row>
    <row r="373" spans="1:35" s="45" customFormat="1" ht="90">
      <c r="A373" s="185"/>
      <c r="B373" s="827" t="s">
        <v>1191</v>
      </c>
      <c r="C373" s="907" t="s">
        <v>1175</v>
      </c>
      <c r="D373" s="921" t="s">
        <v>1208</v>
      </c>
      <c r="E373" s="921">
        <v>8</v>
      </c>
      <c r="F373" s="922">
        <v>2400</v>
      </c>
      <c r="G373" s="795">
        <f t="shared" si="82"/>
        <v>19200</v>
      </c>
      <c r="H373" s="208"/>
      <c r="I373" s="899"/>
      <c r="J373" s="208"/>
      <c r="K373" s="208"/>
      <c r="L373" s="208"/>
      <c r="M373" s="900"/>
      <c r="N373" s="901"/>
      <c r="O373" s="207"/>
      <c r="P373" s="207"/>
      <c r="Q373" s="207"/>
      <c r="R373" s="207"/>
      <c r="S373" s="207"/>
      <c r="T373" s="207"/>
      <c r="U373" s="16"/>
      <c r="V373" s="805"/>
      <c r="W373" s="807"/>
      <c r="X373" s="208"/>
      <c r="Y373" s="44"/>
      <c r="Z373" s="44"/>
      <c r="AA373" s="907" t="s">
        <v>1177</v>
      </c>
      <c r="AB373" s="921" t="s">
        <v>1207</v>
      </c>
      <c r="AC373" s="827" t="s">
        <v>1193</v>
      </c>
      <c r="AD373" s="1173"/>
      <c r="AE373" s="907" t="s">
        <v>1177</v>
      </c>
      <c r="AF373" s="921" t="s">
        <v>1207</v>
      </c>
      <c r="AG373" s="921">
        <v>1</v>
      </c>
      <c r="AH373" s="922">
        <v>3841910</v>
      </c>
      <c r="AI373" s="795">
        <f t="shared" si="81"/>
        <v>3841910</v>
      </c>
    </row>
    <row r="374" spans="1:35" s="45" customFormat="1" ht="90">
      <c r="A374" s="185"/>
      <c r="B374" s="827" t="s">
        <v>1192</v>
      </c>
      <c r="C374" s="907" t="s">
        <v>1176</v>
      </c>
      <c r="D374" s="921" t="s">
        <v>1207</v>
      </c>
      <c r="E374" s="921">
        <v>2</v>
      </c>
      <c r="F374" s="922">
        <v>19500</v>
      </c>
      <c r="G374" s="795">
        <f t="shared" si="82"/>
        <v>39000</v>
      </c>
      <c r="H374" s="208"/>
      <c r="I374" s="899"/>
      <c r="J374" s="208"/>
      <c r="K374" s="208"/>
      <c r="L374" s="208"/>
      <c r="M374" s="900"/>
      <c r="N374" s="901"/>
      <c r="O374" s="207"/>
      <c r="P374" s="207"/>
      <c r="Q374" s="207"/>
      <c r="R374" s="207"/>
      <c r="S374" s="207"/>
      <c r="T374" s="207"/>
      <c r="U374" s="16"/>
      <c r="V374" s="805"/>
      <c r="W374" s="807"/>
      <c r="X374" s="208"/>
      <c r="Y374" s="44"/>
      <c r="Z374" s="44"/>
      <c r="AA374" s="909" t="s">
        <v>1194</v>
      </c>
      <c r="AB374" s="827"/>
      <c r="AC374" s="827">
        <v>10.3</v>
      </c>
      <c r="AD374" s="1173"/>
      <c r="AE374" s="909" t="s">
        <v>1194</v>
      </c>
      <c r="AF374" s="827"/>
      <c r="AG374" s="594"/>
      <c r="AH374" s="575"/>
      <c r="AI374" s="795">
        <f t="shared" si="81"/>
        <v>0</v>
      </c>
    </row>
    <row r="375" spans="1:35" s="45" customFormat="1" ht="75">
      <c r="A375" s="185"/>
      <c r="B375" s="827" t="s">
        <v>1193</v>
      </c>
      <c r="C375" s="907" t="s">
        <v>1177</v>
      </c>
      <c r="D375" s="921" t="s">
        <v>1207</v>
      </c>
      <c r="E375" s="921">
        <v>1</v>
      </c>
      <c r="F375" s="922">
        <v>3841910</v>
      </c>
      <c r="G375" s="795">
        <f t="shared" si="82"/>
        <v>3841910</v>
      </c>
      <c r="H375" s="208"/>
      <c r="I375" s="899"/>
      <c r="J375" s="208"/>
      <c r="K375" s="208"/>
      <c r="L375" s="208"/>
      <c r="M375" s="900"/>
      <c r="N375" s="901"/>
      <c r="O375" s="207"/>
      <c r="P375" s="207"/>
      <c r="Q375" s="207"/>
      <c r="R375" s="207"/>
      <c r="S375" s="207"/>
      <c r="T375" s="207"/>
      <c r="U375" s="16"/>
      <c r="V375" s="805"/>
      <c r="W375" s="807"/>
      <c r="X375" s="208"/>
      <c r="Y375" s="44"/>
      <c r="Z375" s="44"/>
      <c r="AA375" s="907" t="s">
        <v>1195</v>
      </c>
      <c r="AB375" s="921" t="s">
        <v>1208</v>
      </c>
      <c r="AC375" s="827" t="s">
        <v>1201</v>
      </c>
      <c r="AD375" s="1173"/>
      <c r="AE375" s="907" t="s">
        <v>1195</v>
      </c>
      <c r="AF375" s="921" t="s">
        <v>1208</v>
      </c>
      <c r="AG375" s="921">
        <v>12</v>
      </c>
      <c r="AH375" s="922">
        <v>4500</v>
      </c>
      <c r="AI375" s="795">
        <f t="shared" si="81"/>
        <v>54000</v>
      </c>
    </row>
    <row r="376" spans="1:35" s="45" customFormat="1" ht="45">
      <c r="A376" s="185"/>
      <c r="B376" s="827">
        <v>10.3</v>
      </c>
      <c r="C376" s="909" t="s">
        <v>1194</v>
      </c>
      <c r="D376" s="827"/>
      <c r="E376" s="594"/>
      <c r="F376" s="575"/>
      <c r="G376" s="795">
        <f t="shared" si="82"/>
        <v>0</v>
      </c>
      <c r="H376" s="208"/>
      <c r="I376" s="899"/>
      <c r="J376" s="208"/>
      <c r="K376" s="208"/>
      <c r="L376" s="208"/>
      <c r="M376" s="900"/>
      <c r="N376" s="901"/>
      <c r="O376" s="207"/>
      <c r="P376" s="207"/>
      <c r="Q376" s="207"/>
      <c r="R376" s="207"/>
      <c r="S376" s="207"/>
      <c r="T376" s="207"/>
      <c r="U376" s="16"/>
      <c r="V376" s="805"/>
      <c r="W376" s="807"/>
      <c r="X376" s="208"/>
      <c r="Y376" s="44"/>
      <c r="Z376" s="44"/>
      <c r="AA376" s="907" t="s">
        <v>1196</v>
      </c>
      <c r="AB376" s="921" t="s">
        <v>1207</v>
      </c>
      <c r="AC376" s="827" t="s">
        <v>1202</v>
      </c>
      <c r="AD376" s="1173"/>
      <c r="AE376" s="907" t="s">
        <v>1196</v>
      </c>
      <c r="AF376" s="921" t="s">
        <v>1207</v>
      </c>
      <c r="AG376" s="921">
        <v>3</v>
      </c>
      <c r="AH376" s="922">
        <v>1000</v>
      </c>
      <c r="AI376" s="795">
        <f t="shared" si="81"/>
        <v>3000</v>
      </c>
    </row>
    <row r="377" spans="1:35" s="45" customFormat="1" ht="30">
      <c r="A377" s="185"/>
      <c r="B377" s="827" t="s">
        <v>1201</v>
      </c>
      <c r="C377" s="907" t="s">
        <v>1195</v>
      </c>
      <c r="D377" s="921" t="s">
        <v>1208</v>
      </c>
      <c r="E377" s="921">
        <v>12</v>
      </c>
      <c r="F377" s="922">
        <v>4500</v>
      </c>
      <c r="G377" s="795">
        <f t="shared" si="82"/>
        <v>54000</v>
      </c>
      <c r="H377" s="208"/>
      <c r="I377" s="899"/>
      <c r="J377" s="208"/>
      <c r="K377" s="208"/>
      <c r="L377" s="208"/>
      <c r="M377" s="900"/>
      <c r="N377" s="901"/>
      <c r="O377" s="207"/>
      <c r="P377" s="207"/>
      <c r="Q377" s="207"/>
      <c r="R377" s="207"/>
      <c r="S377" s="207"/>
      <c r="T377" s="207"/>
      <c r="U377" s="16"/>
      <c r="V377" s="805"/>
      <c r="W377" s="807"/>
      <c r="X377" s="208"/>
      <c r="Y377" s="44"/>
      <c r="Z377" s="44"/>
      <c r="AA377" s="907" t="s">
        <v>1197</v>
      </c>
      <c r="AB377" s="921" t="s">
        <v>1208</v>
      </c>
      <c r="AC377" s="827" t="s">
        <v>1203</v>
      </c>
      <c r="AD377" s="1173"/>
      <c r="AE377" s="907" t="s">
        <v>1197</v>
      </c>
      <c r="AF377" s="921" t="s">
        <v>1208</v>
      </c>
      <c r="AG377" s="921">
        <v>5</v>
      </c>
      <c r="AH377" s="922">
        <v>5000</v>
      </c>
      <c r="AI377" s="795">
        <f t="shared" si="81"/>
        <v>25000</v>
      </c>
    </row>
    <row r="378" spans="1:35" s="45" customFormat="1" ht="75">
      <c r="A378" s="185"/>
      <c r="B378" s="827" t="s">
        <v>1202</v>
      </c>
      <c r="C378" s="907" t="s">
        <v>1196</v>
      </c>
      <c r="D378" s="921" t="s">
        <v>1207</v>
      </c>
      <c r="E378" s="921">
        <v>3</v>
      </c>
      <c r="F378" s="922">
        <v>1000</v>
      </c>
      <c r="G378" s="795">
        <f t="shared" si="82"/>
        <v>3000</v>
      </c>
      <c r="H378" s="208"/>
      <c r="I378" s="899"/>
      <c r="J378" s="208"/>
      <c r="K378" s="208"/>
      <c r="L378" s="208"/>
      <c r="M378" s="900"/>
      <c r="N378" s="901"/>
      <c r="O378" s="207"/>
      <c r="P378" s="207"/>
      <c r="Q378" s="207"/>
      <c r="R378" s="207"/>
      <c r="S378" s="207"/>
      <c r="T378" s="207"/>
      <c r="U378" s="16"/>
      <c r="V378" s="805"/>
      <c r="W378" s="807"/>
      <c r="X378" s="208"/>
      <c r="Y378" s="44"/>
      <c r="Z378" s="44"/>
      <c r="AA378" s="907" t="s">
        <v>1198</v>
      </c>
      <c r="AB378" s="921" t="s">
        <v>1207</v>
      </c>
      <c r="AC378" s="827" t="s">
        <v>1204</v>
      </c>
      <c r="AD378" s="1173"/>
      <c r="AE378" s="907" t="s">
        <v>1198</v>
      </c>
      <c r="AF378" s="921" t="s">
        <v>1207</v>
      </c>
      <c r="AG378" s="921">
        <v>1</v>
      </c>
      <c r="AH378" s="922">
        <v>60000</v>
      </c>
      <c r="AI378" s="795">
        <f t="shared" si="81"/>
        <v>60000</v>
      </c>
    </row>
    <row r="379" spans="1:35" s="45" customFormat="1" ht="45">
      <c r="A379" s="185"/>
      <c r="B379" s="827" t="s">
        <v>1203</v>
      </c>
      <c r="C379" s="907" t="s">
        <v>1197</v>
      </c>
      <c r="D379" s="921" t="s">
        <v>1208</v>
      </c>
      <c r="E379" s="921">
        <v>5</v>
      </c>
      <c r="F379" s="922">
        <v>5000</v>
      </c>
      <c r="G379" s="795">
        <f t="shared" si="82"/>
        <v>25000</v>
      </c>
      <c r="H379" s="208"/>
      <c r="I379" s="899"/>
      <c r="J379" s="208"/>
      <c r="K379" s="208"/>
      <c r="L379" s="208"/>
      <c r="M379" s="900"/>
      <c r="N379" s="901"/>
      <c r="O379" s="207"/>
      <c r="P379" s="207"/>
      <c r="Q379" s="207"/>
      <c r="R379" s="207"/>
      <c r="S379" s="207"/>
      <c r="T379" s="207"/>
      <c r="U379" s="16"/>
      <c r="V379" s="805"/>
      <c r="W379" s="807"/>
      <c r="X379" s="208"/>
      <c r="Y379" s="44"/>
      <c r="Z379" s="44"/>
      <c r="AA379" s="907" t="s">
        <v>1199</v>
      </c>
      <c r="AB379" s="921" t="s">
        <v>1207</v>
      </c>
      <c r="AC379" s="827" t="s">
        <v>1205</v>
      </c>
      <c r="AD379" s="1173"/>
      <c r="AE379" s="907" t="s">
        <v>1199</v>
      </c>
      <c r="AF379" s="921" t="s">
        <v>1207</v>
      </c>
      <c r="AG379" s="921">
        <v>1</v>
      </c>
      <c r="AH379" s="922">
        <v>20000</v>
      </c>
      <c r="AI379" s="795">
        <f t="shared" si="81"/>
        <v>20000</v>
      </c>
    </row>
    <row r="380" spans="1:35" s="45" customFormat="1" ht="45">
      <c r="A380" s="185"/>
      <c r="B380" s="827" t="s">
        <v>1204</v>
      </c>
      <c r="C380" s="907" t="s">
        <v>1198</v>
      </c>
      <c r="D380" s="921" t="s">
        <v>1207</v>
      </c>
      <c r="E380" s="921">
        <v>1</v>
      </c>
      <c r="F380" s="922">
        <v>60000</v>
      </c>
      <c r="G380" s="795">
        <f t="shared" si="82"/>
        <v>60000</v>
      </c>
      <c r="H380" s="208"/>
      <c r="I380" s="899"/>
      <c r="J380" s="208"/>
      <c r="K380" s="208"/>
      <c r="L380" s="208"/>
      <c r="M380" s="900"/>
      <c r="N380" s="901"/>
      <c r="O380" s="207"/>
      <c r="P380" s="207"/>
      <c r="Q380" s="207"/>
      <c r="R380" s="207"/>
      <c r="S380" s="207"/>
      <c r="T380" s="207"/>
      <c r="U380" s="16"/>
      <c r="V380" s="805"/>
      <c r="W380" s="807"/>
      <c r="X380" s="208"/>
      <c r="Y380" s="44"/>
      <c r="Z380" s="44"/>
      <c r="AA380" s="907" t="s">
        <v>1200</v>
      </c>
      <c r="AB380" s="921" t="s">
        <v>1207</v>
      </c>
      <c r="AC380" s="827" t="s">
        <v>1206</v>
      </c>
      <c r="AD380" s="1173"/>
      <c r="AE380" s="907" t="s">
        <v>1200</v>
      </c>
      <c r="AF380" s="921" t="s">
        <v>1207</v>
      </c>
      <c r="AG380" s="921">
        <v>1</v>
      </c>
      <c r="AH380" s="922">
        <v>20000</v>
      </c>
      <c r="AI380" s="795">
        <f t="shared" si="81"/>
        <v>20000</v>
      </c>
    </row>
    <row r="381" spans="1:35" s="45" customFormat="1" ht="78.75">
      <c r="A381" s="185"/>
      <c r="B381" s="827" t="s">
        <v>1205</v>
      </c>
      <c r="C381" s="907" t="s">
        <v>1199</v>
      </c>
      <c r="D381" s="921" t="s">
        <v>1207</v>
      </c>
      <c r="E381" s="921">
        <v>1</v>
      </c>
      <c r="F381" s="922">
        <v>20000</v>
      </c>
      <c r="G381" s="795">
        <f t="shared" si="82"/>
        <v>20000</v>
      </c>
      <c r="H381" s="208"/>
      <c r="I381" s="899"/>
      <c r="J381" s="208"/>
      <c r="K381" s="208"/>
      <c r="L381" s="208"/>
      <c r="M381" s="900"/>
      <c r="N381" s="901"/>
      <c r="O381" s="207"/>
      <c r="P381" s="207"/>
      <c r="Q381" s="207"/>
      <c r="R381" s="207"/>
      <c r="S381" s="207"/>
      <c r="T381" s="207"/>
      <c r="U381" s="16"/>
      <c r="V381" s="805"/>
      <c r="W381" s="807"/>
      <c r="X381" s="208"/>
      <c r="Y381" s="44"/>
      <c r="Z381" s="44"/>
      <c r="AA381" s="1033" t="s">
        <v>1209</v>
      </c>
      <c r="AB381" s="827"/>
      <c r="AC381" s="827">
        <v>10.4</v>
      </c>
      <c r="AD381" s="1173"/>
      <c r="AE381" s="1033" t="s">
        <v>1209</v>
      </c>
      <c r="AF381" s="827"/>
      <c r="AG381" s="594"/>
      <c r="AH381" s="575"/>
      <c r="AI381" s="792"/>
    </row>
    <row r="382" spans="1:35" s="45" customFormat="1" ht="45">
      <c r="A382" s="185"/>
      <c r="B382" s="827" t="s">
        <v>1206</v>
      </c>
      <c r="C382" s="907" t="s">
        <v>1200</v>
      </c>
      <c r="D382" s="921" t="s">
        <v>1207</v>
      </c>
      <c r="E382" s="921">
        <v>1</v>
      </c>
      <c r="F382" s="922">
        <v>20000</v>
      </c>
      <c r="G382" s="795">
        <f t="shared" si="82"/>
        <v>20000</v>
      </c>
      <c r="H382" s="208"/>
      <c r="I382" s="899"/>
      <c r="J382" s="208"/>
      <c r="K382" s="208"/>
      <c r="L382" s="208"/>
      <c r="M382" s="900"/>
      <c r="N382" s="901"/>
      <c r="O382" s="207"/>
      <c r="P382" s="207"/>
      <c r="Q382" s="207"/>
      <c r="R382" s="207"/>
      <c r="S382" s="207"/>
      <c r="T382" s="207"/>
      <c r="U382" s="16"/>
      <c r="V382" s="805"/>
      <c r="W382" s="807"/>
      <c r="X382" s="208"/>
      <c r="Y382" s="44"/>
      <c r="Z382" s="44"/>
      <c r="AA382" s="1094" t="s">
        <v>1238</v>
      </c>
      <c r="AB382" s="1095" t="s">
        <v>525</v>
      </c>
      <c r="AC382" s="827" t="s">
        <v>1210</v>
      </c>
      <c r="AD382" s="1173"/>
      <c r="AE382" s="1094" t="s">
        <v>1238</v>
      </c>
      <c r="AF382" s="1095" t="s">
        <v>525</v>
      </c>
      <c r="AG382" s="1096">
        <v>30</v>
      </c>
      <c r="AH382" s="1097">
        <v>8211</v>
      </c>
      <c r="AI382" s="1125">
        <f>+AH382*AG382</f>
        <v>246330</v>
      </c>
    </row>
    <row r="383" spans="1:35" s="45" customFormat="1" ht="45">
      <c r="A383" s="185"/>
      <c r="B383" s="827">
        <v>10.4</v>
      </c>
      <c r="C383" s="1033" t="s">
        <v>1209</v>
      </c>
      <c r="D383" s="827"/>
      <c r="E383" s="594"/>
      <c r="F383" s="575"/>
      <c r="G383" s="792"/>
      <c r="H383" s="208"/>
      <c r="I383" s="899"/>
      <c r="J383" s="208"/>
      <c r="K383" s="208"/>
      <c r="L383" s="208"/>
      <c r="M383" s="900"/>
      <c r="N383" s="901"/>
      <c r="O383" s="207"/>
      <c r="P383" s="207"/>
      <c r="Q383" s="207"/>
      <c r="R383" s="207"/>
      <c r="S383" s="207"/>
      <c r="T383" s="207"/>
      <c r="U383" s="16"/>
      <c r="V383" s="805"/>
      <c r="W383" s="807"/>
      <c r="X383" s="208"/>
      <c r="Y383" s="44"/>
      <c r="Z383" s="44"/>
      <c r="AA383" s="1098" t="s">
        <v>1239</v>
      </c>
      <c r="AB383" s="1099" t="s">
        <v>525</v>
      </c>
      <c r="AC383" s="827" t="s">
        <v>1211</v>
      </c>
      <c r="AD383" s="1173"/>
      <c r="AE383" s="1098" t="s">
        <v>1239</v>
      </c>
      <c r="AF383" s="1099" t="s">
        <v>525</v>
      </c>
      <c r="AG383" s="1100">
        <v>600</v>
      </c>
      <c r="AH383" s="1101">
        <v>3141</v>
      </c>
      <c r="AI383" s="1125">
        <f t="shared" ref="AI383:AI409" si="83">+AH383*AG383</f>
        <v>1884600</v>
      </c>
    </row>
    <row r="384" spans="1:35" s="45" customFormat="1" ht="45">
      <c r="A384" s="185"/>
      <c r="B384" s="827" t="s">
        <v>1210</v>
      </c>
      <c r="C384" s="943" t="s">
        <v>1238</v>
      </c>
      <c r="D384" s="925" t="s">
        <v>525</v>
      </c>
      <c r="E384" s="932">
        <v>30</v>
      </c>
      <c r="F384" s="926">
        <v>8211</v>
      </c>
      <c r="G384" s="910">
        <f>+F384*E384</f>
        <v>246330</v>
      </c>
      <c r="H384" s="208"/>
      <c r="I384" s="899"/>
      <c r="J384" s="208"/>
      <c r="K384" s="208"/>
      <c r="L384" s="208"/>
      <c r="M384" s="900"/>
      <c r="N384" s="901"/>
      <c r="O384" s="207"/>
      <c r="P384" s="207"/>
      <c r="Q384" s="207"/>
      <c r="R384" s="207"/>
      <c r="S384" s="207"/>
      <c r="T384" s="207"/>
      <c r="U384" s="16"/>
      <c r="V384" s="805"/>
      <c r="W384" s="807"/>
      <c r="X384" s="208"/>
      <c r="Y384" s="44"/>
      <c r="Z384" s="44"/>
      <c r="AA384" s="1094" t="s">
        <v>1240</v>
      </c>
      <c r="AB384" s="1095" t="s">
        <v>525</v>
      </c>
      <c r="AC384" s="827" t="s">
        <v>1212</v>
      </c>
      <c r="AD384" s="1173"/>
      <c r="AE384" s="1094" t="s">
        <v>1240</v>
      </c>
      <c r="AF384" s="1095" t="s">
        <v>525</v>
      </c>
      <c r="AG384" s="1096">
        <v>50</v>
      </c>
      <c r="AH384" s="1097">
        <v>5146.92</v>
      </c>
      <c r="AI384" s="1125">
        <f t="shared" si="83"/>
        <v>257346</v>
      </c>
    </row>
    <row r="385" spans="1:35" s="45" customFormat="1" ht="30">
      <c r="A385" s="185"/>
      <c r="B385" s="827" t="s">
        <v>1211</v>
      </c>
      <c r="C385" s="1034" t="s">
        <v>1239</v>
      </c>
      <c r="D385" s="928" t="s">
        <v>525</v>
      </c>
      <c r="E385" s="933">
        <v>600</v>
      </c>
      <c r="F385" s="929">
        <v>3141</v>
      </c>
      <c r="G385" s="910">
        <f t="shared" ref="G385:G411" si="84">+F385*E385</f>
        <v>1884600</v>
      </c>
      <c r="H385" s="208"/>
      <c r="I385" s="899"/>
      <c r="J385" s="208"/>
      <c r="K385" s="208"/>
      <c r="L385" s="208"/>
      <c r="M385" s="900"/>
      <c r="N385" s="901"/>
      <c r="O385" s="207"/>
      <c r="P385" s="207"/>
      <c r="Q385" s="207"/>
      <c r="R385" s="207"/>
      <c r="S385" s="207"/>
      <c r="T385" s="207"/>
      <c r="U385" s="16"/>
      <c r="V385" s="805"/>
      <c r="W385" s="807"/>
      <c r="X385" s="208"/>
      <c r="Y385" s="44"/>
      <c r="Z385" s="44"/>
      <c r="AA385" s="1094" t="s">
        <v>1241</v>
      </c>
      <c r="AB385" s="1095" t="s">
        <v>1242</v>
      </c>
      <c r="AC385" s="827" t="s">
        <v>1213</v>
      </c>
      <c r="AD385" s="1173"/>
      <c r="AE385" s="1094" t="s">
        <v>1241</v>
      </c>
      <c r="AF385" s="1095" t="s">
        <v>1242</v>
      </c>
      <c r="AG385" s="1096">
        <v>2</v>
      </c>
      <c r="AH385" s="1097">
        <v>6500</v>
      </c>
      <c r="AI385" s="1125">
        <f t="shared" si="83"/>
        <v>13000</v>
      </c>
    </row>
    <row r="386" spans="1:35" s="45" customFormat="1">
      <c r="A386" s="185"/>
      <c r="B386" s="827" t="s">
        <v>1212</v>
      </c>
      <c r="C386" s="943" t="s">
        <v>1240</v>
      </c>
      <c r="D386" s="925" t="s">
        <v>525</v>
      </c>
      <c r="E386" s="932">
        <v>50</v>
      </c>
      <c r="F386" s="926">
        <v>5146.92</v>
      </c>
      <c r="G386" s="910">
        <f t="shared" si="84"/>
        <v>257346</v>
      </c>
      <c r="H386" s="208"/>
      <c r="I386" s="899"/>
      <c r="J386" s="208"/>
      <c r="K386" s="208"/>
      <c r="L386" s="208"/>
      <c r="M386" s="900"/>
      <c r="N386" s="901"/>
      <c r="O386" s="207"/>
      <c r="P386" s="207"/>
      <c r="Q386" s="207"/>
      <c r="R386" s="207"/>
      <c r="S386" s="207"/>
      <c r="T386" s="207"/>
      <c r="U386" s="16"/>
      <c r="V386" s="805"/>
      <c r="W386" s="807"/>
      <c r="X386" s="208"/>
      <c r="Y386" s="44"/>
      <c r="Z386" s="44"/>
      <c r="AA386" s="1094" t="s">
        <v>1243</v>
      </c>
      <c r="AB386" s="1095" t="s">
        <v>1242</v>
      </c>
      <c r="AC386" s="827" t="s">
        <v>1214</v>
      </c>
      <c r="AD386" s="1173"/>
      <c r="AE386" s="1094" t="s">
        <v>1243</v>
      </c>
      <c r="AF386" s="1095" t="s">
        <v>1242</v>
      </c>
      <c r="AG386" s="1096">
        <v>3</v>
      </c>
      <c r="AH386" s="1097">
        <v>3500</v>
      </c>
      <c r="AI386" s="1125">
        <f t="shared" si="83"/>
        <v>10500</v>
      </c>
    </row>
    <row r="387" spans="1:35" s="45" customFormat="1" ht="30">
      <c r="A387" s="185"/>
      <c r="B387" s="827" t="s">
        <v>1213</v>
      </c>
      <c r="C387" s="943" t="s">
        <v>1241</v>
      </c>
      <c r="D387" s="925" t="s">
        <v>1242</v>
      </c>
      <c r="E387" s="932">
        <v>2</v>
      </c>
      <c r="F387" s="926">
        <v>6500</v>
      </c>
      <c r="G387" s="910">
        <f t="shared" si="84"/>
        <v>13000</v>
      </c>
      <c r="H387" s="208"/>
      <c r="I387" s="899"/>
      <c r="J387" s="208"/>
      <c r="K387" s="208"/>
      <c r="L387" s="208"/>
      <c r="M387" s="900"/>
      <c r="N387" s="901"/>
      <c r="O387" s="207"/>
      <c r="P387" s="207"/>
      <c r="Q387" s="207"/>
      <c r="R387" s="207"/>
      <c r="S387" s="207"/>
      <c r="T387" s="207"/>
      <c r="U387" s="16"/>
      <c r="V387" s="805"/>
      <c r="W387" s="807"/>
      <c r="X387" s="208"/>
      <c r="Y387" s="44"/>
      <c r="Z387" s="44"/>
      <c r="AA387" s="1094" t="s">
        <v>1244</v>
      </c>
      <c r="AB387" s="1095" t="s">
        <v>1242</v>
      </c>
      <c r="AC387" s="827" t="s">
        <v>1215</v>
      </c>
      <c r="AD387" s="1173"/>
      <c r="AE387" s="1094" t="s">
        <v>1244</v>
      </c>
      <c r="AF387" s="1095" t="s">
        <v>1242</v>
      </c>
      <c r="AG387" s="1096">
        <v>20</v>
      </c>
      <c r="AH387" s="1097">
        <v>5000</v>
      </c>
      <c r="AI387" s="1125">
        <f t="shared" si="83"/>
        <v>100000</v>
      </c>
    </row>
    <row r="388" spans="1:35" s="45" customFormat="1" ht="30">
      <c r="A388" s="185"/>
      <c r="B388" s="827" t="s">
        <v>1214</v>
      </c>
      <c r="C388" s="943" t="s">
        <v>1243</v>
      </c>
      <c r="D388" s="925" t="s">
        <v>1242</v>
      </c>
      <c r="E388" s="932">
        <v>3</v>
      </c>
      <c r="F388" s="926">
        <v>3500</v>
      </c>
      <c r="G388" s="910">
        <f t="shared" si="84"/>
        <v>10500</v>
      </c>
      <c r="H388" s="208"/>
      <c r="I388" s="899"/>
      <c r="J388" s="208"/>
      <c r="K388" s="208"/>
      <c r="L388" s="208"/>
      <c r="M388" s="900"/>
      <c r="N388" s="901"/>
      <c r="O388" s="207"/>
      <c r="P388" s="207"/>
      <c r="Q388" s="207"/>
      <c r="R388" s="207"/>
      <c r="S388" s="207"/>
      <c r="T388" s="207"/>
      <c r="U388" s="16"/>
      <c r="V388" s="805"/>
      <c r="W388" s="807"/>
      <c r="X388" s="208"/>
      <c r="Y388" s="44"/>
      <c r="Z388" s="44"/>
      <c r="AA388" s="1094" t="s">
        <v>1245</v>
      </c>
      <c r="AB388" s="1095" t="s">
        <v>1242</v>
      </c>
      <c r="AC388" s="827" t="s">
        <v>1216</v>
      </c>
      <c r="AD388" s="1173"/>
      <c r="AE388" s="1094" t="s">
        <v>1245</v>
      </c>
      <c r="AF388" s="1095" t="s">
        <v>1242</v>
      </c>
      <c r="AG388" s="1096">
        <v>3</v>
      </c>
      <c r="AH388" s="1097">
        <v>1500</v>
      </c>
      <c r="AI388" s="1125">
        <f t="shared" si="83"/>
        <v>4500</v>
      </c>
    </row>
    <row r="389" spans="1:35" s="45" customFormat="1" ht="30">
      <c r="A389" s="185"/>
      <c r="B389" s="827" t="s">
        <v>1215</v>
      </c>
      <c r="C389" s="943" t="s">
        <v>1244</v>
      </c>
      <c r="D389" s="925" t="s">
        <v>1242</v>
      </c>
      <c r="E389" s="932">
        <v>20</v>
      </c>
      <c r="F389" s="926">
        <v>5000</v>
      </c>
      <c r="G389" s="910">
        <f t="shared" si="84"/>
        <v>100000</v>
      </c>
      <c r="H389" s="208"/>
      <c r="I389" s="899"/>
      <c r="J389" s="208"/>
      <c r="K389" s="208"/>
      <c r="L389" s="208"/>
      <c r="M389" s="900"/>
      <c r="N389" s="901"/>
      <c r="O389" s="207"/>
      <c r="P389" s="207"/>
      <c r="Q389" s="207"/>
      <c r="R389" s="207"/>
      <c r="S389" s="207"/>
      <c r="T389" s="207"/>
      <c r="U389" s="16"/>
      <c r="V389" s="805"/>
      <c r="W389" s="807"/>
      <c r="X389" s="208"/>
      <c r="Y389" s="44"/>
      <c r="Z389" s="44"/>
      <c r="AA389" s="1094" t="s">
        <v>1246</v>
      </c>
      <c r="AB389" s="1095" t="s">
        <v>1242</v>
      </c>
      <c r="AC389" s="827" t="s">
        <v>1217</v>
      </c>
      <c r="AD389" s="1173"/>
      <c r="AE389" s="1094" t="s">
        <v>1246</v>
      </c>
      <c r="AF389" s="1095" t="s">
        <v>1242</v>
      </c>
      <c r="AG389" s="1096">
        <v>20</v>
      </c>
      <c r="AH389" s="1097">
        <v>6500</v>
      </c>
      <c r="AI389" s="1125">
        <f t="shared" si="83"/>
        <v>130000</v>
      </c>
    </row>
    <row r="390" spans="1:35" s="45" customFormat="1" ht="30">
      <c r="A390" s="185"/>
      <c r="B390" s="827" t="s">
        <v>1216</v>
      </c>
      <c r="C390" s="943" t="s">
        <v>1245</v>
      </c>
      <c r="D390" s="925" t="s">
        <v>1242</v>
      </c>
      <c r="E390" s="932">
        <v>3</v>
      </c>
      <c r="F390" s="926">
        <v>1500</v>
      </c>
      <c r="G390" s="910">
        <f t="shared" si="84"/>
        <v>4500</v>
      </c>
      <c r="H390" s="208"/>
      <c r="I390" s="899"/>
      <c r="J390" s="208"/>
      <c r="K390" s="208"/>
      <c r="L390" s="208"/>
      <c r="M390" s="900"/>
      <c r="N390" s="901"/>
      <c r="O390" s="207"/>
      <c r="P390" s="207"/>
      <c r="Q390" s="207"/>
      <c r="R390" s="207"/>
      <c r="S390" s="207"/>
      <c r="T390" s="207"/>
      <c r="U390" s="16"/>
      <c r="V390" s="805"/>
      <c r="W390" s="807"/>
      <c r="X390" s="208"/>
      <c r="Y390" s="44"/>
      <c r="Z390" s="44"/>
      <c r="AA390" s="1094" t="s">
        <v>1247</v>
      </c>
      <c r="AB390" s="1095" t="s">
        <v>1242</v>
      </c>
      <c r="AC390" s="827" t="s">
        <v>1218</v>
      </c>
      <c r="AD390" s="1173"/>
      <c r="AE390" s="1094" t="s">
        <v>1247</v>
      </c>
      <c r="AF390" s="1095" t="s">
        <v>1242</v>
      </c>
      <c r="AG390" s="1096">
        <v>120</v>
      </c>
      <c r="AH390" s="1097">
        <v>3500</v>
      </c>
      <c r="AI390" s="1125">
        <f t="shared" si="83"/>
        <v>420000</v>
      </c>
    </row>
    <row r="391" spans="1:35" s="45" customFormat="1" ht="30">
      <c r="A391" s="185"/>
      <c r="B391" s="827" t="s">
        <v>1217</v>
      </c>
      <c r="C391" s="943" t="s">
        <v>1246</v>
      </c>
      <c r="D391" s="925" t="s">
        <v>1242</v>
      </c>
      <c r="E391" s="932">
        <v>20</v>
      </c>
      <c r="F391" s="926">
        <v>6500</v>
      </c>
      <c r="G391" s="910">
        <f t="shared" si="84"/>
        <v>130000</v>
      </c>
      <c r="H391" s="208"/>
      <c r="I391" s="899"/>
      <c r="J391" s="208"/>
      <c r="K391" s="208"/>
      <c r="L391" s="208"/>
      <c r="M391" s="900"/>
      <c r="N391" s="901"/>
      <c r="O391" s="207"/>
      <c r="P391" s="207"/>
      <c r="Q391" s="207"/>
      <c r="R391" s="207"/>
      <c r="S391" s="207"/>
      <c r="T391" s="207"/>
      <c r="U391" s="16"/>
      <c r="V391" s="805"/>
      <c r="W391" s="807"/>
      <c r="X391" s="208"/>
      <c r="Y391" s="44"/>
      <c r="Z391" s="44"/>
      <c r="AA391" s="1094" t="s">
        <v>1248</v>
      </c>
      <c r="AB391" s="1095" t="s">
        <v>1242</v>
      </c>
      <c r="AC391" s="827" t="s">
        <v>1219</v>
      </c>
      <c r="AD391" s="1173"/>
      <c r="AE391" s="1094" t="s">
        <v>1248</v>
      </c>
      <c r="AF391" s="1095" t="s">
        <v>1242</v>
      </c>
      <c r="AG391" s="1096">
        <v>60</v>
      </c>
      <c r="AH391" s="1097">
        <v>6000</v>
      </c>
      <c r="AI391" s="1125">
        <f t="shared" si="83"/>
        <v>360000</v>
      </c>
    </row>
    <row r="392" spans="1:35" s="45" customFormat="1" ht="30">
      <c r="A392" s="185"/>
      <c r="B392" s="827" t="s">
        <v>1218</v>
      </c>
      <c r="C392" s="943" t="s">
        <v>1247</v>
      </c>
      <c r="D392" s="925" t="s">
        <v>1242</v>
      </c>
      <c r="E392" s="932">
        <v>120</v>
      </c>
      <c r="F392" s="926">
        <v>3500</v>
      </c>
      <c r="G392" s="910">
        <f t="shared" si="84"/>
        <v>420000</v>
      </c>
      <c r="H392" s="208"/>
      <c r="I392" s="899"/>
      <c r="J392" s="208"/>
      <c r="K392" s="208"/>
      <c r="L392" s="208"/>
      <c r="M392" s="900"/>
      <c r="N392" s="901"/>
      <c r="O392" s="207"/>
      <c r="P392" s="207"/>
      <c r="Q392" s="207"/>
      <c r="R392" s="207"/>
      <c r="S392" s="207"/>
      <c r="T392" s="207"/>
      <c r="U392" s="16"/>
      <c r="V392" s="805"/>
      <c r="W392" s="807"/>
      <c r="X392" s="208"/>
      <c r="Y392" s="44"/>
      <c r="Z392" s="44"/>
      <c r="AA392" s="1094" t="s">
        <v>1249</v>
      </c>
      <c r="AB392" s="1095" t="s">
        <v>1242</v>
      </c>
      <c r="AC392" s="827" t="s">
        <v>1220</v>
      </c>
      <c r="AD392" s="1173"/>
      <c r="AE392" s="1094" t="s">
        <v>1249</v>
      </c>
      <c r="AF392" s="1095" t="s">
        <v>1242</v>
      </c>
      <c r="AG392" s="1096">
        <v>70</v>
      </c>
      <c r="AH392" s="1097">
        <v>5300</v>
      </c>
      <c r="AI392" s="1125">
        <f t="shared" si="83"/>
        <v>371000</v>
      </c>
    </row>
    <row r="393" spans="1:35" s="45" customFormat="1" ht="45">
      <c r="A393" s="185"/>
      <c r="B393" s="827" t="s">
        <v>1219</v>
      </c>
      <c r="C393" s="943" t="s">
        <v>1248</v>
      </c>
      <c r="D393" s="925" t="s">
        <v>1242</v>
      </c>
      <c r="E393" s="932">
        <v>60</v>
      </c>
      <c r="F393" s="926">
        <v>6000</v>
      </c>
      <c r="G393" s="910">
        <f t="shared" si="84"/>
        <v>360000</v>
      </c>
      <c r="H393" s="208"/>
      <c r="I393" s="899"/>
      <c r="J393" s="208"/>
      <c r="K393" s="208"/>
      <c r="L393" s="208"/>
      <c r="M393" s="900"/>
      <c r="N393" s="901"/>
      <c r="O393" s="207"/>
      <c r="P393" s="207"/>
      <c r="Q393" s="207"/>
      <c r="R393" s="207"/>
      <c r="S393" s="207"/>
      <c r="T393" s="207"/>
      <c r="U393" s="16"/>
      <c r="V393" s="805"/>
      <c r="W393" s="807"/>
      <c r="X393" s="208"/>
      <c r="Y393" s="44"/>
      <c r="Z393" s="44"/>
      <c r="AA393" s="1094" t="s">
        <v>1250</v>
      </c>
      <c r="AB393" s="1095" t="s">
        <v>1242</v>
      </c>
      <c r="AC393" s="827" t="s">
        <v>1221</v>
      </c>
      <c r="AD393" s="1173"/>
      <c r="AE393" s="1094" t="s">
        <v>1250</v>
      </c>
      <c r="AF393" s="1095" t="s">
        <v>1242</v>
      </c>
      <c r="AG393" s="1096">
        <v>12</v>
      </c>
      <c r="AH393" s="1097">
        <v>101966</v>
      </c>
      <c r="AI393" s="1125">
        <f t="shared" si="83"/>
        <v>1223592</v>
      </c>
    </row>
    <row r="394" spans="1:35" s="45" customFormat="1" ht="60">
      <c r="A394" s="185"/>
      <c r="B394" s="827" t="s">
        <v>1220</v>
      </c>
      <c r="C394" s="943" t="s">
        <v>1249</v>
      </c>
      <c r="D394" s="925" t="s">
        <v>1242</v>
      </c>
      <c r="E394" s="932">
        <v>70</v>
      </c>
      <c r="F394" s="926">
        <v>5300</v>
      </c>
      <c r="G394" s="910">
        <f t="shared" si="84"/>
        <v>371000</v>
      </c>
      <c r="H394" s="208"/>
      <c r="I394" s="899"/>
      <c r="J394" s="208"/>
      <c r="K394" s="208"/>
      <c r="L394" s="208"/>
      <c r="M394" s="900"/>
      <c r="N394" s="901"/>
      <c r="O394" s="207"/>
      <c r="P394" s="207"/>
      <c r="Q394" s="207"/>
      <c r="R394" s="207"/>
      <c r="S394" s="207"/>
      <c r="T394" s="207"/>
      <c r="U394" s="16"/>
      <c r="V394" s="805"/>
      <c r="W394" s="807"/>
      <c r="X394" s="208"/>
      <c r="Y394" s="44"/>
      <c r="Z394" s="44"/>
      <c r="AA394" s="1094" t="s">
        <v>1251</v>
      </c>
      <c r="AB394" s="1095" t="s">
        <v>1242</v>
      </c>
      <c r="AC394" s="827" t="s">
        <v>1222</v>
      </c>
      <c r="AD394" s="1173"/>
      <c r="AE394" s="1094" t="s">
        <v>1251</v>
      </c>
      <c r="AF394" s="1095" t="s">
        <v>1242</v>
      </c>
      <c r="AG394" s="1096">
        <v>32</v>
      </c>
      <c r="AH394" s="1097">
        <v>12000</v>
      </c>
      <c r="AI394" s="1125">
        <f t="shared" si="83"/>
        <v>384000</v>
      </c>
    </row>
    <row r="395" spans="1:35" s="45" customFormat="1" ht="60">
      <c r="A395" s="185"/>
      <c r="B395" s="827" t="s">
        <v>1221</v>
      </c>
      <c r="C395" s="943" t="s">
        <v>1250</v>
      </c>
      <c r="D395" s="925" t="s">
        <v>1242</v>
      </c>
      <c r="E395" s="932">
        <v>12</v>
      </c>
      <c r="F395" s="926">
        <v>101966</v>
      </c>
      <c r="G395" s="910">
        <f t="shared" si="84"/>
        <v>1223592</v>
      </c>
      <c r="H395" s="208"/>
      <c r="I395" s="899"/>
      <c r="J395" s="208"/>
      <c r="K395" s="208"/>
      <c r="L395" s="208"/>
      <c r="M395" s="900"/>
      <c r="N395" s="901"/>
      <c r="O395" s="207"/>
      <c r="P395" s="207"/>
      <c r="Q395" s="207"/>
      <c r="R395" s="207"/>
      <c r="S395" s="207"/>
      <c r="T395" s="207"/>
      <c r="U395" s="16"/>
      <c r="V395" s="805"/>
      <c r="W395" s="807"/>
      <c r="X395" s="208"/>
      <c r="Y395" s="44"/>
      <c r="Z395" s="44"/>
      <c r="AA395" s="1094" t="s">
        <v>1252</v>
      </c>
      <c r="AB395" s="1095" t="s">
        <v>1242</v>
      </c>
      <c r="AC395" s="827" t="s">
        <v>1223</v>
      </c>
      <c r="AD395" s="1173"/>
      <c r="AE395" s="1094" t="s">
        <v>1252</v>
      </c>
      <c r="AF395" s="1095" t="s">
        <v>1242</v>
      </c>
      <c r="AG395" s="1096">
        <v>6</v>
      </c>
      <c r="AH395" s="1097">
        <v>512220</v>
      </c>
      <c r="AI395" s="1125">
        <f t="shared" si="83"/>
        <v>3073320</v>
      </c>
    </row>
    <row r="396" spans="1:35" s="45" customFormat="1" ht="75">
      <c r="A396" s="185"/>
      <c r="B396" s="827" t="s">
        <v>1222</v>
      </c>
      <c r="C396" s="943" t="s">
        <v>1251</v>
      </c>
      <c r="D396" s="925" t="s">
        <v>1242</v>
      </c>
      <c r="E396" s="932">
        <v>32</v>
      </c>
      <c r="F396" s="926">
        <v>12000</v>
      </c>
      <c r="G396" s="910">
        <f t="shared" si="84"/>
        <v>384000</v>
      </c>
      <c r="H396" s="208"/>
      <c r="I396" s="899"/>
      <c r="J396" s="208"/>
      <c r="K396" s="208"/>
      <c r="L396" s="208"/>
      <c r="M396" s="900"/>
      <c r="N396" s="901"/>
      <c r="O396" s="207"/>
      <c r="P396" s="207"/>
      <c r="Q396" s="207"/>
      <c r="R396" s="207"/>
      <c r="S396" s="207"/>
      <c r="T396" s="207"/>
      <c r="U396" s="16"/>
      <c r="V396" s="805"/>
      <c r="W396" s="807"/>
      <c r="X396" s="208"/>
      <c r="Y396" s="44"/>
      <c r="Z396" s="44"/>
      <c r="AA396" s="1094" t="s">
        <v>1253</v>
      </c>
      <c r="AB396" s="1095" t="s">
        <v>1242</v>
      </c>
      <c r="AC396" s="827" t="s">
        <v>1224</v>
      </c>
      <c r="AD396" s="1173"/>
      <c r="AE396" s="1094" t="s">
        <v>1253</v>
      </c>
      <c r="AF396" s="1095" t="s">
        <v>1242</v>
      </c>
      <c r="AG396" s="1096">
        <v>5</v>
      </c>
      <c r="AH396" s="1097">
        <v>493080</v>
      </c>
      <c r="AI396" s="1125">
        <f t="shared" si="83"/>
        <v>2465400</v>
      </c>
    </row>
    <row r="397" spans="1:35" s="45" customFormat="1" ht="60">
      <c r="A397" s="185"/>
      <c r="B397" s="827" t="s">
        <v>1223</v>
      </c>
      <c r="C397" s="943" t="s">
        <v>1252</v>
      </c>
      <c r="D397" s="925" t="s">
        <v>1242</v>
      </c>
      <c r="E397" s="932">
        <v>6</v>
      </c>
      <c r="F397" s="926">
        <v>512220</v>
      </c>
      <c r="G397" s="910">
        <f t="shared" si="84"/>
        <v>3073320</v>
      </c>
      <c r="H397" s="208"/>
      <c r="I397" s="899"/>
      <c r="J397" s="208"/>
      <c r="K397" s="208"/>
      <c r="L397" s="208"/>
      <c r="M397" s="900"/>
      <c r="N397" s="901"/>
      <c r="O397" s="207"/>
      <c r="P397" s="207"/>
      <c r="Q397" s="207"/>
      <c r="R397" s="207"/>
      <c r="S397" s="207"/>
      <c r="T397" s="207"/>
      <c r="U397" s="16"/>
      <c r="V397" s="805"/>
      <c r="W397" s="807"/>
      <c r="X397" s="208"/>
      <c r="Y397" s="44"/>
      <c r="Z397" s="44"/>
      <c r="AA397" s="1094" t="s">
        <v>1254</v>
      </c>
      <c r="AB397" s="1095" t="s">
        <v>1242</v>
      </c>
      <c r="AC397" s="827" t="s">
        <v>1225</v>
      </c>
      <c r="AD397" s="1173"/>
      <c r="AE397" s="1094" t="s">
        <v>1254</v>
      </c>
      <c r="AF397" s="1095" t="s">
        <v>1242</v>
      </c>
      <c r="AG397" s="1096">
        <v>21</v>
      </c>
      <c r="AH397" s="1097">
        <v>5000</v>
      </c>
      <c r="AI397" s="1125">
        <f t="shared" si="83"/>
        <v>105000</v>
      </c>
    </row>
    <row r="398" spans="1:35" s="45" customFormat="1" ht="45">
      <c r="A398" s="185"/>
      <c r="B398" s="827" t="s">
        <v>1224</v>
      </c>
      <c r="C398" s="943" t="s">
        <v>1253</v>
      </c>
      <c r="D398" s="925" t="s">
        <v>1242</v>
      </c>
      <c r="E398" s="932">
        <v>5</v>
      </c>
      <c r="F398" s="926">
        <v>493080</v>
      </c>
      <c r="G398" s="910">
        <f t="shared" si="84"/>
        <v>2465400</v>
      </c>
      <c r="H398" s="208"/>
      <c r="I398" s="899"/>
      <c r="J398" s="208"/>
      <c r="K398" s="208"/>
      <c r="L398" s="208"/>
      <c r="M398" s="900"/>
      <c r="N398" s="901"/>
      <c r="O398" s="207"/>
      <c r="P398" s="207"/>
      <c r="Q398" s="207"/>
      <c r="R398" s="207"/>
      <c r="S398" s="207"/>
      <c r="T398" s="207"/>
      <c r="U398" s="16"/>
      <c r="V398" s="805"/>
      <c r="W398" s="807"/>
      <c r="X398" s="208"/>
      <c r="Y398" s="44"/>
      <c r="Z398" s="44"/>
      <c r="AA398" s="1094" t="s">
        <v>1255</v>
      </c>
      <c r="AB398" s="1095" t="s">
        <v>1242</v>
      </c>
      <c r="AC398" s="827" t="s">
        <v>1226</v>
      </c>
      <c r="AD398" s="1173"/>
      <c r="AE398" s="1094" t="s">
        <v>1255</v>
      </c>
      <c r="AF398" s="1095" t="s">
        <v>1242</v>
      </c>
      <c r="AG398" s="1096">
        <v>8</v>
      </c>
      <c r="AH398" s="1097">
        <v>44780</v>
      </c>
      <c r="AI398" s="1125">
        <f t="shared" si="83"/>
        <v>358240</v>
      </c>
    </row>
    <row r="399" spans="1:35" s="45" customFormat="1" ht="30">
      <c r="A399" s="185"/>
      <c r="B399" s="827" t="s">
        <v>1225</v>
      </c>
      <c r="C399" s="943" t="s">
        <v>1254</v>
      </c>
      <c r="D399" s="925" t="s">
        <v>1242</v>
      </c>
      <c r="E399" s="932">
        <v>21</v>
      </c>
      <c r="F399" s="926">
        <v>5000</v>
      </c>
      <c r="G399" s="910">
        <f t="shared" si="84"/>
        <v>105000</v>
      </c>
      <c r="H399" s="208"/>
      <c r="I399" s="899"/>
      <c r="J399" s="208"/>
      <c r="K399" s="208"/>
      <c r="L399" s="208"/>
      <c r="M399" s="900"/>
      <c r="N399" s="901"/>
      <c r="O399" s="207"/>
      <c r="P399" s="207"/>
      <c r="Q399" s="207"/>
      <c r="R399" s="207"/>
      <c r="S399" s="207"/>
      <c r="T399" s="207"/>
      <c r="U399" s="16"/>
      <c r="V399" s="805"/>
      <c r="W399" s="807"/>
      <c r="X399" s="208"/>
      <c r="Y399" s="44"/>
      <c r="Z399" s="44"/>
      <c r="AA399" s="1094" t="s">
        <v>1256</v>
      </c>
      <c r="AB399" s="1095" t="s">
        <v>1242</v>
      </c>
      <c r="AC399" s="827" t="s">
        <v>1227</v>
      </c>
      <c r="AD399" s="1173"/>
      <c r="AE399" s="1094" t="s">
        <v>1256</v>
      </c>
      <c r="AF399" s="1095" t="s">
        <v>1242</v>
      </c>
      <c r="AG399" s="1096">
        <v>9</v>
      </c>
      <c r="AH399" s="1097">
        <v>13050</v>
      </c>
      <c r="AI399" s="1125">
        <f t="shared" si="83"/>
        <v>117450</v>
      </c>
    </row>
    <row r="400" spans="1:35" s="45" customFormat="1" ht="30">
      <c r="A400" s="185"/>
      <c r="B400" s="827" t="s">
        <v>1226</v>
      </c>
      <c r="C400" s="943" t="s">
        <v>1255</v>
      </c>
      <c r="D400" s="925" t="s">
        <v>1242</v>
      </c>
      <c r="E400" s="932">
        <v>8</v>
      </c>
      <c r="F400" s="926">
        <v>44780</v>
      </c>
      <c r="G400" s="910">
        <f t="shared" si="84"/>
        <v>358240</v>
      </c>
      <c r="H400" s="208"/>
      <c r="I400" s="899"/>
      <c r="J400" s="208"/>
      <c r="K400" s="208"/>
      <c r="L400" s="208"/>
      <c r="M400" s="900"/>
      <c r="N400" s="901"/>
      <c r="O400" s="207"/>
      <c r="P400" s="207"/>
      <c r="Q400" s="207"/>
      <c r="R400" s="207"/>
      <c r="S400" s="207"/>
      <c r="T400" s="207"/>
      <c r="U400" s="16"/>
      <c r="V400" s="805"/>
      <c r="W400" s="807"/>
      <c r="X400" s="208"/>
      <c r="Y400" s="44"/>
      <c r="Z400" s="44"/>
      <c r="AA400" s="1094" t="s">
        <v>1257</v>
      </c>
      <c r="AB400" s="1095" t="s">
        <v>1242</v>
      </c>
      <c r="AC400" s="827" t="s">
        <v>1228</v>
      </c>
      <c r="AD400" s="1173"/>
      <c r="AE400" s="1094" t="s">
        <v>1257</v>
      </c>
      <c r="AF400" s="1095" t="s">
        <v>1242</v>
      </c>
      <c r="AG400" s="1096">
        <v>7</v>
      </c>
      <c r="AH400" s="1097">
        <v>10590</v>
      </c>
      <c r="AI400" s="1125">
        <f t="shared" si="83"/>
        <v>74130</v>
      </c>
    </row>
    <row r="401" spans="1:35" s="45" customFormat="1" ht="45">
      <c r="A401" s="185"/>
      <c r="B401" s="827" t="s">
        <v>1227</v>
      </c>
      <c r="C401" s="943" t="s">
        <v>1256</v>
      </c>
      <c r="D401" s="925" t="s">
        <v>1242</v>
      </c>
      <c r="E401" s="932">
        <v>9</v>
      </c>
      <c r="F401" s="926">
        <v>13050</v>
      </c>
      <c r="G401" s="910">
        <f t="shared" si="84"/>
        <v>117450</v>
      </c>
      <c r="H401" s="208"/>
      <c r="I401" s="899"/>
      <c r="J401" s="208"/>
      <c r="K401" s="208"/>
      <c r="L401" s="208"/>
      <c r="M401" s="900"/>
      <c r="N401" s="901"/>
      <c r="O401" s="207"/>
      <c r="P401" s="207"/>
      <c r="Q401" s="207"/>
      <c r="R401" s="207"/>
      <c r="S401" s="207"/>
      <c r="T401" s="207"/>
      <c r="U401" s="16"/>
      <c r="V401" s="805"/>
      <c r="W401" s="807"/>
      <c r="X401" s="208"/>
      <c r="Y401" s="44"/>
      <c r="Z401" s="44"/>
      <c r="AA401" s="1094" t="s">
        <v>1258</v>
      </c>
      <c r="AB401" s="1095" t="s">
        <v>1242</v>
      </c>
      <c r="AC401" s="827" t="s">
        <v>1229</v>
      </c>
      <c r="AD401" s="1173"/>
      <c r="AE401" s="1094" t="s">
        <v>1258</v>
      </c>
      <c r="AF401" s="1095" t="s">
        <v>1242</v>
      </c>
      <c r="AG401" s="1096">
        <v>45</v>
      </c>
      <c r="AH401" s="1097">
        <v>4500</v>
      </c>
      <c r="AI401" s="1125">
        <f t="shared" si="83"/>
        <v>202500</v>
      </c>
    </row>
    <row r="402" spans="1:35" s="45" customFormat="1" ht="45">
      <c r="A402" s="185"/>
      <c r="B402" s="827" t="s">
        <v>1228</v>
      </c>
      <c r="C402" s="943" t="s">
        <v>1257</v>
      </c>
      <c r="D402" s="925" t="s">
        <v>1242</v>
      </c>
      <c r="E402" s="932">
        <v>7</v>
      </c>
      <c r="F402" s="926">
        <v>10590</v>
      </c>
      <c r="G402" s="910">
        <f t="shared" si="84"/>
        <v>74130</v>
      </c>
      <c r="H402" s="208"/>
      <c r="I402" s="899"/>
      <c r="J402" s="208"/>
      <c r="K402" s="208"/>
      <c r="L402" s="208"/>
      <c r="M402" s="900"/>
      <c r="N402" s="901"/>
      <c r="O402" s="207"/>
      <c r="P402" s="207"/>
      <c r="Q402" s="207"/>
      <c r="R402" s="207"/>
      <c r="S402" s="207"/>
      <c r="T402" s="207"/>
      <c r="U402" s="16"/>
      <c r="V402" s="805"/>
      <c r="W402" s="807"/>
      <c r="X402" s="208"/>
      <c r="Y402" s="44"/>
      <c r="Z402" s="44"/>
      <c r="AA402" s="1094" t="s">
        <v>1259</v>
      </c>
      <c r="AB402" s="1095" t="s">
        <v>1242</v>
      </c>
      <c r="AC402" s="827" t="s">
        <v>1230</v>
      </c>
      <c r="AD402" s="1173"/>
      <c r="AE402" s="1094" t="s">
        <v>1259</v>
      </c>
      <c r="AF402" s="1095" t="s">
        <v>1242</v>
      </c>
      <c r="AG402" s="1096">
        <v>44</v>
      </c>
      <c r="AH402" s="1097">
        <v>4500</v>
      </c>
      <c r="AI402" s="1125">
        <f t="shared" si="83"/>
        <v>198000</v>
      </c>
    </row>
    <row r="403" spans="1:35" s="45" customFormat="1" ht="105">
      <c r="A403" s="185"/>
      <c r="B403" s="827" t="s">
        <v>1229</v>
      </c>
      <c r="C403" s="943" t="s">
        <v>1258</v>
      </c>
      <c r="D403" s="925" t="s">
        <v>1242</v>
      </c>
      <c r="E403" s="932">
        <v>45</v>
      </c>
      <c r="F403" s="926">
        <v>4500</v>
      </c>
      <c r="G403" s="910">
        <f t="shared" si="84"/>
        <v>202500</v>
      </c>
      <c r="H403" s="208"/>
      <c r="I403" s="899"/>
      <c r="J403" s="208"/>
      <c r="K403" s="208"/>
      <c r="L403" s="208"/>
      <c r="M403" s="900"/>
      <c r="N403" s="901"/>
      <c r="O403" s="207"/>
      <c r="P403" s="207"/>
      <c r="Q403" s="207"/>
      <c r="R403" s="207"/>
      <c r="S403" s="207"/>
      <c r="T403" s="207"/>
      <c r="U403" s="16"/>
      <c r="V403" s="805"/>
      <c r="W403" s="807"/>
      <c r="X403" s="208"/>
      <c r="Y403" s="44"/>
      <c r="Z403" s="44"/>
      <c r="AA403" s="1102" t="s">
        <v>1260</v>
      </c>
      <c r="AB403" s="1095" t="s">
        <v>1242</v>
      </c>
      <c r="AC403" s="827" t="s">
        <v>1231</v>
      </c>
      <c r="AD403" s="1173"/>
      <c r="AE403" s="1102" t="s">
        <v>1260</v>
      </c>
      <c r="AF403" s="1095" t="s">
        <v>1242</v>
      </c>
      <c r="AG403" s="1096">
        <v>1</v>
      </c>
      <c r="AH403" s="1097">
        <v>484080</v>
      </c>
      <c r="AI403" s="1125">
        <f t="shared" si="83"/>
        <v>484080</v>
      </c>
    </row>
    <row r="404" spans="1:35" s="45" customFormat="1" ht="75">
      <c r="A404" s="185"/>
      <c r="B404" s="827" t="s">
        <v>1230</v>
      </c>
      <c r="C404" s="943" t="s">
        <v>1259</v>
      </c>
      <c r="D404" s="925" t="s">
        <v>1242</v>
      </c>
      <c r="E404" s="932">
        <v>44</v>
      </c>
      <c r="F404" s="926">
        <v>4500</v>
      </c>
      <c r="G404" s="910">
        <f t="shared" si="84"/>
        <v>198000</v>
      </c>
      <c r="H404" s="208"/>
      <c r="I404" s="899"/>
      <c r="J404" s="208"/>
      <c r="K404" s="208"/>
      <c r="L404" s="208"/>
      <c r="M404" s="900"/>
      <c r="N404" s="901"/>
      <c r="O404" s="207"/>
      <c r="P404" s="207"/>
      <c r="Q404" s="207"/>
      <c r="R404" s="207"/>
      <c r="S404" s="207"/>
      <c r="T404" s="207"/>
      <c r="U404" s="16"/>
      <c r="V404" s="805"/>
      <c r="W404" s="807"/>
      <c r="X404" s="208"/>
      <c r="Y404" s="44"/>
      <c r="Z404" s="44"/>
      <c r="AA404" s="1094" t="s">
        <v>1261</v>
      </c>
      <c r="AB404" s="1095" t="s">
        <v>1242</v>
      </c>
      <c r="AC404" s="827" t="s">
        <v>1232</v>
      </c>
      <c r="AD404" s="1173"/>
      <c r="AE404" s="1094" t="s">
        <v>1261</v>
      </c>
      <c r="AF404" s="1095" t="s">
        <v>1242</v>
      </c>
      <c r="AG404" s="1096">
        <v>4</v>
      </c>
      <c r="AH404" s="1097">
        <v>142980</v>
      </c>
      <c r="AI404" s="1125">
        <f t="shared" si="83"/>
        <v>571920</v>
      </c>
    </row>
    <row r="405" spans="1:35" s="45" customFormat="1" ht="75">
      <c r="A405" s="185"/>
      <c r="B405" s="827" t="s">
        <v>1231</v>
      </c>
      <c r="C405" s="942" t="s">
        <v>1260</v>
      </c>
      <c r="D405" s="925" t="s">
        <v>1242</v>
      </c>
      <c r="E405" s="932">
        <v>1</v>
      </c>
      <c r="F405" s="926">
        <v>484080</v>
      </c>
      <c r="G405" s="910">
        <f t="shared" si="84"/>
        <v>484080</v>
      </c>
      <c r="H405" s="208"/>
      <c r="I405" s="899"/>
      <c r="J405" s="208"/>
      <c r="K405" s="208"/>
      <c r="L405" s="208"/>
      <c r="M405" s="900"/>
      <c r="N405" s="901"/>
      <c r="O405" s="207"/>
      <c r="P405" s="207"/>
      <c r="Q405" s="207"/>
      <c r="R405" s="207"/>
      <c r="S405" s="207"/>
      <c r="T405" s="207"/>
      <c r="U405" s="16"/>
      <c r="V405" s="805"/>
      <c r="W405" s="807"/>
      <c r="X405" s="208"/>
      <c r="Y405" s="44"/>
      <c r="Z405" s="44"/>
      <c r="AA405" s="1094" t="s">
        <v>1262</v>
      </c>
      <c r="AB405" s="1095" t="s">
        <v>1242</v>
      </c>
      <c r="AC405" s="827" t="s">
        <v>1233</v>
      </c>
      <c r="AD405" s="1173"/>
      <c r="AE405" s="1094" t="s">
        <v>1262</v>
      </c>
      <c r="AF405" s="1095" t="s">
        <v>1242</v>
      </c>
      <c r="AG405" s="1096">
        <v>1</v>
      </c>
      <c r="AH405" s="1097">
        <v>111060</v>
      </c>
      <c r="AI405" s="1125">
        <f t="shared" si="83"/>
        <v>111060</v>
      </c>
    </row>
    <row r="406" spans="1:35" s="45" customFormat="1" ht="90">
      <c r="A406" s="185"/>
      <c r="B406" s="827" t="s">
        <v>1232</v>
      </c>
      <c r="C406" s="943" t="s">
        <v>1261</v>
      </c>
      <c r="D406" s="925" t="s">
        <v>1242</v>
      </c>
      <c r="E406" s="932">
        <v>4</v>
      </c>
      <c r="F406" s="926">
        <v>142980</v>
      </c>
      <c r="G406" s="910">
        <f t="shared" si="84"/>
        <v>571920</v>
      </c>
      <c r="H406" s="208"/>
      <c r="I406" s="899"/>
      <c r="J406" s="208"/>
      <c r="K406" s="208"/>
      <c r="L406" s="208"/>
      <c r="M406" s="900"/>
      <c r="N406" s="901"/>
      <c r="O406" s="207"/>
      <c r="P406" s="207"/>
      <c r="Q406" s="207"/>
      <c r="R406" s="207"/>
      <c r="S406" s="207"/>
      <c r="T406" s="207"/>
      <c r="U406" s="16"/>
      <c r="V406" s="805"/>
      <c r="W406" s="807"/>
      <c r="X406" s="208"/>
      <c r="Y406" s="44"/>
      <c r="Z406" s="44"/>
      <c r="AA406" s="1094" t="s">
        <v>1263</v>
      </c>
      <c r="AB406" s="1095" t="s">
        <v>1242</v>
      </c>
      <c r="AC406" s="827" t="s">
        <v>1234</v>
      </c>
      <c r="AD406" s="1173"/>
      <c r="AE406" s="1094" t="s">
        <v>1263</v>
      </c>
      <c r="AF406" s="1095" t="s">
        <v>1242</v>
      </c>
      <c r="AG406" s="1096">
        <v>1</v>
      </c>
      <c r="AH406" s="1097">
        <v>307080</v>
      </c>
      <c r="AI406" s="1125">
        <f t="shared" si="83"/>
        <v>307080</v>
      </c>
    </row>
    <row r="407" spans="1:35" s="45" customFormat="1" ht="45">
      <c r="A407" s="185"/>
      <c r="B407" s="827" t="s">
        <v>1233</v>
      </c>
      <c r="C407" s="943" t="s">
        <v>1262</v>
      </c>
      <c r="D407" s="925" t="s">
        <v>1242</v>
      </c>
      <c r="E407" s="932">
        <v>1</v>
      </c>
      <c r="F407" s="926">
        <v>111060</v>
      </c>
      <c r="G407" s="910">
        <f t="shared" si="84"/>
        <v>111060</v>
      </c>
      <c r="H407" s="208"/>
      <c r="I407" s="899"/>
      <c r="J407" s="208"/>
      <c r="K407" s="208"/>
      <c r="L407" s="208"/>
      <c r="M407" s="900"/>
      <c r="N407" s="901"/>
      <c r="O407" s="207"/>
      <c r="P407" s="207"/>
      <c r="Q407" s="207"/>
      <c r="R407" s="207"/>
      <c r="S407" s="207"/>
      <c r="T407" s="207"/>
      <c r="U407" s="16"/>
      <c r="V407" s="805"/>
      <c r="W407" s="807"/>
      <c r="X407" s="208"/>
      <c r="Y407" s="44"/>
      <c r="Z407" s="44"/>
      <c r="AA407" s="1094" t="s">
        <v>1264</v>
      </c>
      <c r="AB407" s="1095" t="s">
        <v>1242</v>
      </c>
      <c r="AC407" s="827" t="s">
        <v>1235</v>
      </c>
      <c r="AD407" s="1173"/>
      <c r="AE407" s="1094" t="s">
        <v>1264</v>
      </c>
      <c r="AF407" s="1095" t="s">
        <v>1242</v>
      </c>
      <c r="AG407" s="1096">
        <v>1</v>
      </c>
      <c r="AH407" s="1097">
        <v>61330</v>
      </c>
      <c r="AI407" s="1125">
        <f t="shared" si="83"/>
        <v>61330</v>
      </c>
    </row>
    <row r="408" spans="1:35" s="45" customFormat="1" ht="75">
      <c r="A408" s="185"/>
      <c r="B408" s="827" t="s">
        <v>1234</v>
      </c>
      <c r="C408" s="943" t="s">
        <v>1263</v>
      </c>
      <c r="D408" s="925" t="s">
        <v>1242</v>
      </c>
      <c r="E408" s="932">
        <v>1</v>
      </c>
      <c r="F408" s="926">
        <v>307080</v>
      </c>
      <c r="G408" s="910">
        <f t="shared" si="84"/>
        <v>307080</v>
      </c>
      <c r="H408" s="208"/>
      <c r="I408" s="899"/>
      <c r="J408" s="208"/>
      <c r="K408" s="208"/>
      <c r="L408" s="208"/>
      <c r="M408" s="900"/>
      <c r="N408" s="901"/>
      <c r="O408" s="207"/>
      <c r="P408" s="207"/>
      <c r="Q408" s="207"/>
      <c r="R408" s="207"/>
      <c r="S408" s="207"/>
      <c r="T408" s="207"/>
      <c r="U408" s="16"/>
      <c r="V408" s="805"/>
      <c r="W408" s="807"/>
      <c r="X408" s="208"/>
      <c r="Y408" s="44"/>
      <c r="Z408" s="44"/>
      <c r="AA408" s="1094" t="s">
        <v>1265</v>
      </c>
      <c r="AB408" s="1095" t="s">
        <v>1242</v>
      </c>
      <c r="AC408" s="827" t="s">
        <v>1236</v>
      </c>
      <c r="AD408" s="1173"/>
      <c r="AE408" s="1094" t="s">
        <v>1265</v>
      </c>
      <c r="AF408" s="1095" t="s">
        <v>1242</v>
      </c>
      <c r="AG408" s="1096">
        <v>5</v>
      </c>
      <c r="AH408" s="1097">
        <v>108520</v>
      </c>
      <c r="AI408" s="1125">
        <f t="shared" si="83"/>
        <v>542600</v>
      </c>
    </row>
    <row r="409" spans="1:35" s="45" customFormat="1" ht="45">
      <c r="A409" s="185"/>
      <c r="B409" s="827" t="s">
        <v>1235</v>
      </c>
      <c r="C409" s="943" t="s">
        <v>1264</v>
      </c>
      <c r="D409" s="925" t="s">
        <v>1242</v>
      </c>
      <c r="E409" s="932">
        <v>1</v>
      </c>
      <c r="F409" s="926">
        <v>61330</v>
      </c>
      <c r="G409" s="910">
        <f t="shared" si="84"/>
        <v>61330</v>
      </c>
      <c r="H409" s="208"/>
      <c r="I409" s="899"/>
      <c r="J409" s="208"/>
      <c r="K409" s="208"/>
      <c r="L409" s="208"/>
      <c r="M409" s="900"/>
      <c r="N409" s="901"/>
      <c r="O409" s="207"/>
      <c r="P409" s="207"/>
      <c r="Q409" s="207"/>
      <c r="R409" s="207"/>
      <c r="S409" s="207"/>
      <c r="T409" s="207"/>
      <c r="U409" s="16"/>
      <c r="V409" s="805"/>
      <c r="W409" s="807"/>
      <c r="X409" s="208"/>
      <c r="Y409" s="44"/>
      <c r="Z409" s="44"/>
      <c r="AA409" s="1094" t="s">
        <v>1266</v>
      </c>
      <c r="AB409" s="1095" t="s">
        <v>1242</v>
      </c>
      <c r="AC409" s="827" t="s">
        <v>1237</v>
      </c>
      <c r="AD409" s="1173"/>
      <c r="AE409" s="1094" t="s">
        <v>1266</v>
      </c>
      <c r="AF409" s="1095" t="s">
        <v>1242</v>
      </c>
      <c r="AG409" s="1096">
        <v>1</v>
      </c>
      <c r="AH409" s="1097">
        <v>877460</v>
      </c>
      <c r="AI409" s="1125">
        <f t="shared" si="83"/>
        <v>877460</v>
      </c>
    </row>
    <row r="410" spans="1:35" s="45" customFormat="1">
      <c r="A410" s="185"/>
      <c r="B410" s="827" t="s">
        <v>1236</v>
      </c>
      <c r="C410" s="943" t="s">
        <v>1265</v>
      </c>
      <c r="D410" s="925" t="s">
        <v>1242</v>
      </c>
      <c r="E410" s="932">
        <v>5</v>
      </c>
      <c r="F410" s="926">
        <v>108520</v>
      </c>
      <c r="G410" s="910">
        <f t="shared" si="84"/>
        <v>542600</v>
      </c>
      <c r="H410" s="208"/>
      <c r="I410" s="899"/>
      <c r="J410" s="208"/>
      <c r="K410" s="208"/>
      <c r="L410" s="208"/>
      <c r="M410" s="900"/>
      <c r="N410" s="901"/>
      <c r="O410" s="207"/>
      <c r="P410" s="207"/>
      <c r="Q410" s="207"/>
      <c r="R410" s="207"/>
      <c r="S410" s="207"/>
      <c r="T410" s="207"/>
      <c r="U410" s="16"/>
      <c r="V410" s="805"/>
      <c r="W410" s="807"/>
      <c r="X410" s="208"/>
      <c r="Y410" s="44"/>
      <c r="Z410" s="44"/>
      <c r="AA410" s="887"/>
      <c r="AB410" s="827"/>
      <c r="AC410" s="827"/>
      <c r="AD410" s="1171"/>
      <c r="AE410" s="887"/>
      <c r="AF410" s="827"/>
      <c r="AG410" s="594"/>
      <c r="AH410" s="575"/>
      <c r="AI410" s="792"/>
    </row>
    <row r="411" spans="1:35" s="45" customFormat="1" ht="15.75" thickBot="1">
      <c r="A411" s="185"/>
      <c r="B411" s="827" t="s">
        <v>1237</v>
      </c>
      <c r="C411" s="943" t="s">
        <v>1266</v>
      </c>
      <c r="D411" s="925" t="s">
        <v>1242</v>
      </c>
      <c r="E411" s="932">
        <v>1</v>
      </c>
      <c r="F411" s="926">
        <v>877460</v>
      </c>
      <c r="G411" s="910">
        <f t="shared" si="84"/>
        <v>877460</v>
      </c>
      <c r="H411" s="208"/>
      <c r="I411" s="899"/>
      <c r="J411" s="208"/>
      <c r="K411" s="208"/>
      <c r="L411" s="208"/>
      <c r="M411" s="900"/>
      <c r="N411" s="901"/>
      <c r="O411" s="207"/>
      <c r="P411" s="207"/>
      <c r="Q411" s="207"/>
      <c r="R411" s="207"/>
      <c r="S411" s="207"/>
      <c r="T411" s="207"/>
      <c r="U411" s="16"/>
      <c r="V411" s="805"/>
      <c r="W411" s="807"/>
      <c r="X411" s="208"/>
      <c r="Y411" s="44"/>
      <c r="Z411" s="44"/>
      <c r="AA411" s="1074"/>
      <c r="AB411" s="1075"/>
      <c r="AC411" s="1124"/>
      <c r="AD411" s="1124"/>
      <c r="AE411" s="1074"/>
      <c r="AF411" s="1075"/>
      <c r="AG411" s="1076"/>
      <c r="AH411" s="1077" t="s">
        <v>1268</v>
      </c>
      <c r="AI411" s="1115">
        <f>SUM(AI337:AI410)</f>
        <v>28038288</v>
      </c>
    </row>
    <row r="412" spans="1:35" s="45" customFormat="1" ht="15.75" thickBot="1">
      <c r="A412" s="185"/>
      <c r="B412" s="827"/>
      <c r="C412" s="887"/>
      <c r="D412" s="827"/>
      <c r="E412" s="594"/>
      <c r="F412" s="575"/>
      <c r="G412" s="792"/>
      <c r="H412" s="208"/>
      <c r="I412" s="899"/>
      <c r="J412" s="208"/>
      <c r="K412" s="208"/>
      <c r="L412" s="208"/>
      <c r="M412" s="900"/>
      <c r="N412" s="901"/>
      <c r="O412" s="207"/>
      <c r="P412" s="207"/>
      <c r="Q412" s="207"/>
      <c r="R412" s="207"/>
      <c r="S412" s="207"/>
      <c r="T412" s="207"/>
      <c r="U412" s="16"/>
      <c r="V412" s="805"/>
      <c r="W412" s="807"/>
      <c r="X412" s="208"/>
      <c r="Y412" s="44"/>
      <c r="Z412" s="44"/>
      <c r="AA412" s="887"/>
      <c r="AB412" s="827"/>
      <c r="AC412" s="827"/>
      <c r="AD412" s="1171"/>
      <c r="AE412" s="887"/>
      <c r="AF412" s="827"/>
      <c r="AG412" s="594"/>
      <c r="AH412" s="575"/>
      <c r="AI412" s="792"/>
    </row>
    <row r="413" spans="1:35" s="45" customFormat="1" ht="15.75" thickBot="1">
      <c r="A413" s="185"/>
      <c r="B413" s="1025"/>
      <c r="C413" s="871"/>
      <c r="D413" s="873"/>
      <c r="E413" s="874"/>
      <c r="F413" s="947" t="s">
        <v>1268</v>
      </c>
      <c r="G413" s="1004">
        <f>SUM(G339:G412)</f>
        <v>28038288</v>
      </c>
      <c r="H413" s="208"/>
      <c r="I413" s="899"/>
      <c r="J413" s="208"/>
      <c r="K413" s="208"/>
      <c r="L413" s="208"/>
      <c r="M413" s="900"/>
      <c r="N413" s="901"/>
      <c r="O413" s="207"/>
      <c r="P413" s="207"/>
      <c r="Q413" s="207"/>
      <c r="R413" s="207"/>
      <c r="S413" s="207"/>
      <c r="T413" s="207"/>
      <c r="U413" s="16"/>
      <c r="V413" s="805"/>
      <c r="W413" s="807"/>
      <c r="X413" s="208"/>
      <c r="Y413" s="44"/>
      <c r="Z413" s="44"/>
      <c r="AA413" s="1060" t="s">
        <v>1267</v>
      </c>
      <c r="AB413" s="1061"/>
      <c r="AC413" s="1104">
        <v>11</v>
      </c>
      <c r="AD413" s="1172"/>
      <c r="AE413" s="1060" t="s">
        <v>1267</v>
      </c>
      <c r="AF413" s="1061"/>
      <c r="AG413" s="1061"/>
      <c r="AH413" s="1061"/>
      <c r="AI413" s="1113"/>
    </row>
    <row r="414" spans="1:35" s="45" customFormat="1" ht="64.5" thickBot="1">
      <c r="A414" s="185"/>
      <c r="B414" s="827"/>
      <c r="C414" s="887"/>
      <c r="D414" s="827"/>
      <c r="E414" s="594"/>
      <c r="F414" s="575"/>
      <c r="G414" s="792"/>
      <c r="H414" s="208"/>
      <c r="I414" s="899"/>
      <c r="J414" s="208"/>
      <c r="K414" s="208"/>
      <c r="L414" s="208"/>
      <c r="M414" s="900"/>
      <c r="N414" s="901"/>
      <c r="O414" s="207"/>
      <c r="P414" s="207"/>
      <c r="Q414" s="207"/>
      <c r="R414" s="207"/>
      <c r="S414" s="207"/>
      <c r="T414" s="207"/>
      <c r="U414" s="16"/>
      <c r="V414" s="805"/>
      <c r="W414" s="807"/>
      <c r="X414" s="208"/>
      <c r="Y414" s="44"/>
      <c r="Z414" s="44"/>
      <c r="AA414" s="887" t="s">
        <v>1269</v>
      </c>
      <c r="AB414" s="827" t="s">
        <v>22</v>
      </c>
      <c r="AC414" s="827">
        <v>11.1</v>
      </c>
      <c r="AD414" s="1171"/>
      <c r="AE414" s="887" t="s">
        <v>1269</v>
      </c>
      <c r="AF414" s="827" t="s">
        <v>22</v>
      </c>
      <c r="AG414" s="594"/>
      <c r="AH414" s="575">
        <v>19599539</v>
      </c>
      <c r="AI414" s="1125">
        <f t="shared" ref="AI414:AI419" si="85">+AH414*AG414</f>
        <v>0</v>
      </c>
    </row>
    <row r="415" spans="1:35" s="45" customFormat="1" ht="63.75">
      <c r="A415" s="185"/>
      <c r="B415" s="937">
        <v>11</v>
      </c>
      <c r="C415" s="75" t="s">
        <v>1267</v>
      </c>
      <c r="D415" s="76"/>
      <c r="E415" s="76"/>
      <c r="F415" s="76"/>
      <c r="G415" s="126"/>
      <c r="H415" s="208"/>
      <c r="I415" s="899"/>
      <c r="J415" s="208"/>
      <c r="K415" s="208"/>
      <c r="L415" s="208"/>
      <c r="M415" s="900"/>
      <c r="N415" s="901"/>
      <c r="O415" s="207"/>
      <c r="P415" s="207"/>
      <c r="Q415" s="207"/>
      <c r="R415" s="207"/>
      <c r="S415" s="207"/>
      <c r="T415" s="207"/>
      <c r="U415" s="16"/>
      <c r="V415" s="805"/>
      <c r="W415" s="807"/>
      <c r="X415" s="208"/>
      <c r="Y415" s="44"/>
      <c r="Z415" s="44"/>
      <c r="AA415" s="887" t="s">
        <v>1270</v>
      </c>
      <c r="AB415" s="827" t="s">
        <v>22</v>
      </c>
      <c r="AC415" s="827">
        <v>11.2</v>
      </c>
      <c r="AD415" s="1171"/>
      <c r="AE415" s="887" t="s">
        <v>1270</v>
      </c>
      <c r="AF415" s="827" t="s">
        <v>22</v>
      </c>
      <c r="AG415" s="594"/>
      <c r="AH415" s="575">
        <v>20933539</v>
      </c>
      <c r="AI415" s="1125">
        <f t="shared" si="85"/>
        <v>0</v>
      </c>
    </row>
    <row r="416" spans="1:35" s="45" customFormat="1" ht="89.25">
      <c r="A416" s="185"/>
      <c r="B416" s="827">
        <v>11.1</v>
      </c>
      <c r="C416" s="887" t="s">
        <v>1269</v>
      </c>
      <c r="D416" s="827" t="s">
        <v>22</v>
      </c>
      <c r="E416" s="594"/>
      <c r="F416" s="575">
        <v>19599539</v>
      </c>
      <c r="G416" s="910">
        <f t="shared" ref="G416:G421" si="86">+F416*E416</f>
        <v>0</v>
      </c>
      <c r="H416" s="208"/>
      <c r="I416" s="899"/>
      <c r="J416" s="208"/>
      <c r="K416" s="208"/>
      <c r="L416" s="208"/>
      <c r="M416" s="900"/>
      <c r="N416" s="901"/>
      <c r="O416" s="207"/>
      <c r="P416" s="207"/>
      <c r="Q416" s="207"/>
      <c r="R416" s="207"/>
      <c r="S416" s="207"/>
      <c r="T416" s="207"/>
      <c r="U416" s="16"/>
      <c r="V416" s="805"/>
      <c r="W416" s="939">
        <f>+(15000000)*1.16*1.15</f>
        <v>20010000</v>
      </c>
      <c r="X416" s="208"/>
      <c r="Y416" s="44"/>
      <c r="Z416" s="44"/>
      <c r="AA416" s="887" t="s">
        <v>1271</v>
      </c>
      <c r="AB416" s="827" t="s">
        <v>22</v>
      </c>
      <c r="AC416" s="827">
        <v>11.3</v>
      </c>
      <c r="AD416" s="1171"/>
      <c r="AE416" s="887" t="s">
        <v>1271</v>
      </c>
      <c r="AF416" s="827" t="s">
        <v>22</v>
      </c>
      <c r="AG416" s="594"/>
      <c r="AH416" s="575">
        <v>17742200</v>
      </c>
      <c r="AI416" s="1125">
        <f t="shared" si="85"/>
        <v>0</v>
      </c>
    </row>
    <row r="417" spans="1:35" s="45" customFormat="1" ht="140.25">
      <c r="A417" s="185"/>
      <c r="B417" s="827">
        <v>11.2</v>
      </c>
      <c r="C417" s="887" t="s">
        <v>1270</v>
      </c>
      <c r="D417" s="827" t="s">
        <v>22</v>
      </c>
      <c r="E417" s="594"/>
      <c r="F417" s="575">
        <v>20933539</v>
      </c>
      <c r="G417" s="910">
        <f t="shared" si="86"/>
        <v>0</v>
      </c>
      <c r="H417" s="208"/>
      <c r="I417" s="899"/>
      <c r="J417" s="208"/>
      <c r="K417" s="208"/>
      <c r="L417" s="208"/>
      <c r="M417" s="900"/>
      <c r="N417" s="901"/>
      <c r="O417" s="207"/>
      <c r="P417" s="207"/>
      <c r="Q417" s="207"/>
      <c r="R417" s="207"/>
      <c r="S417" s="207"/>
      <c r="T417" s="207"/>
      <c r="U417" s="16"/>
      <c r="V417" s="805"/>
      <c r="W417" s="807"/>
      <c r="X417" s="208"/>
      <c r="Y417" s="44"/>
      <c r="Z417" s="44"/>
      <c r="AA417" s="887" t="s">
        <v>1272</v>
      </c>
      <c r="AB417" s="827" t="s">
        <v>22</v>
      </c>
      <c r="AC417" s="827">
        <v>11.4</v>
      </c>
      <c r="AD417" s="1171"/>
      <c r="AE417" s="887" t="s">
        <v>1272</v>
      </c>
      <c r="AF417" s="827" t="s">
        <v>22</v>
      </c>
      <c r="AG417" s="594"/>
      <c r="AH417" s="575">
        <v>1000000</v>
      </c>
      <c r="AI417" s="1125">
        <f t="shared" si="85"/>
        <v>0</v>
      </c>
    </row>
    <row r="418" spans="1:35" s="45" customFormat="1" ht="51">
      <c r="A418" s="185"/>
      <c r="B418" s="827">
        <v>11.3</v>
      </c>
      <c r="C418" s="887" t="s">
        <v>1271</v>
      </c>
      <c r="D418" s="827" t="s">
        <v>22</v>
      </c>
      <c r="E418" s="594"/>
      <c r="F418" s="575">
        <v>17742200</v>
      </c>
      <c r="G418" s="910">
        <f t="shared" si="86"/>
        <v>0</v>
      </c>
      <c r="H418" s="208"/>
      <c r="I418" s="899"/>
      <c r="J418" s="208"/>
      <c r="K418" s="208"/>
      <c r="L418" s="208"/>
      <c r="M418" s="900"/>
      <c r="N418" s="901"/>
      <c r="O418" s="207"/>
      <c r="P418" s="207"/>
      <c r="Q418" s="207"/>
      <c r="R418" s="207"/>
      <c r="S418" s="207"/>
      <c r="T418" s="207"/>
      <c r="U418" s="16"/>
      <c r="V418" s="805"/>
      <c r="W418" s="807"/>
      <c r="X418" s="208"/>
      <c r="Y418" s="44"/>
      <c r="Z418" s="44"/>
      <c r="AA418" s="887" t="s">
        <v>1273</v>
      </c>
      <c r="AB418" s="827" t="s">
        <v>22</v>
      </c>
      <c r="AC418" s="827">
        <v>11.5</v>
      </c>
      <c r="AD418" s="1171"/>
      <c r="AE418" s="887" t="s">
        <v>1273</v>
      </c>
      <c r="AF418" s="827" t="s">
        <v>22</v>
      </c>
      <c r="AG418" s="594"/>
      <c r="AH418" s="575">
        <v>4000000</v>
      </c>
      <c r="AI418" s="1125">
        <f t="shared" si="85"/>
        <v>0</v>
      </c>
    </row>
    <row r="419" spans="1:35" s="45" customFormat="1" ht="127.5">
      <c r="A419" s="185"/>
      <c r="B419" s="827">
        <v>11.4</v>
      </c>
      <c r="C419" s="887" t="s">
        <v>1272</v>
      </c>
      <c r="D419" s="827" t="s">
        <v>22</v>
      </c>
      <c r="E419" s="594"/>
      <c r="F419" s="575">
        <v>1000000</v>
      </c>
      <c r="G419" s="910">
        <f t="shared" si="86"/>
        <v>0</v>
      </c>
      <c r="H419" s="208"/>
      <c r="I419" s="899"/>
      <c r="J419" s="208"/>
      <c r="K419" s="208"/>
      <c r="L419" s="208"/>
      <c r="M419" s="900"/>
      <c r="N419" s="901"/>
      <c r="O419" s="207"/>
      <c r="P419" s="207"/>
      <c r="Q419" s="207"/>
      <c r="R419" s="207"/>
      <c r="S419" s="207"/>
      <c r="T419" s="207"/>
      <c r="U419" s="16"/>
      <c r="V419" s="805"/>
      <c r="W419" s="807"/>
      <c r="X419" s="208"/>
      <c r="Y419" s="44"/>
      <c r="Z419" s="44"/>
      <c r="AA419" s="887" t="s">
        <v>1274</v>
      </c>
      <c r="AB419" s="827" t="s">
        <v>22</v>
      </c>
      <c r="AC419" s="827">
        <v>11.6</v>
      </c>
      <c r="AD419" s="1171"/>
      <c r="AE419" s="887" t="s">
        <v>1274</v>
      </c>
      <c r="AF419" s="827" t="s">
        <v>22</v>
      </c>
      <c r="AG419" s="594"/>
      <c r="AH419" s="575">
        <v>704208.11077789369</v>
      </c>
      <c r="AI419" s="1125">
        <f t="shared" si="85"/>
        <v>0</v>
      </c>
    </row>
    <row r="420" spans="1:35" s="45" customFormat="1">
      <c r="A420" s="185"/>
      <c r="B420" s="827">
        <v>11.5</v>
      </c>
      <c r="C420" s="887" t="s">
        <v>1273</v>
      </c>
      <c r="D420" s="827" t="s">
        <v>22</v>
      </c>
      <c r="E420" s="594"/>
      <c r="F420" s="575">
        <v>4000000</v>
      </c>
      <c r="G420" s="910">
        <f t="shared" si="86"/>
        <v>0</v>
      </c>
      <c r="H420" s="208"/>
      <c r="I420" s="899"/>
      <c r="J420" s="208"/>
      <c r="K420" s="208"/>
      <c r="L420" s="208"/>
      <c r="M420" s="900"/>
      <c r="N420" s="901"/>
      <c r="O420" s="207"/>
      <c r="P420" s="207"/>
      <c r="Q420" s="207"/>
      <c r="R420" s="207"/>
      <c r="S420" s="207"/>
      <c r="T420" s="207"/>
      <c r="U420" s="16"/>
      <c r="V420" s="805"/>
      <c r="W420" s="807"/>
      <c r="X420" s="208"/>
      <c r="Y420" s="44"/>
      <c r="Z420" s="44"/>
      <c r="AA420" s="887"/>
      <c r="AB420" s="827"/>
      <c r="AC420" s="827"/>
      <c r="AD420" s="1171"/>
      <c r="AE420" s="887"/>
      <c r="AF420" s="827"/>
      <c r="AG420" s="594"/>
      <c r="AH420" s="575"/>
      <c r="AI420" s="792"/>
    </row>
    <row r="421" spans="1:35" s="45" customFormat="1" ht="39" thickBot="1">
      <c r="A421" s="185"/>
      <c r="B421" s="827">
        <v>11.6</v>
      </c>
      <c r="C421" s="887" t="s">
        <v>1274</v>
      </c>
      <c r="D421" s="827" t="s">
        <v>22</v>
      </c>
      <c r="E421" s="594"/>
      <c r="F421" s="575">
        <v>704208.11077789369</v>
      </c>
      <c r="G421" s="910">
        <f t="shared" si="86"/>
        <v>0</v>
      </c>
      <c r="H421" s="208"/>
      <c r="I421" s="899"/>
      <c r="J421" s="208"/>
      <c r="K421" s="208"/>
      <c r="L421" s="208"/>
      <c r="M421" s="900"/>
      <c r="N421" s="901"/>
      <c r="O421" s="207"/>
      <c r="P421" s="207"/>
      <c r="Q421" s="207"/>
      <c r="R421" s="207"/>
      <c r="S421" s="207"/>
      <c r="T421" s="207"/>
      <c r="U421" s="16"/>
      <c r="V421" s="805"/>
      <c r="W421" s="938">
        <f>+G421+G420+G419+G418+G417</f>
        <v>0</v>
      </c>
      <c r="X421" s="208"/>
      <c r="Y421" s="44"/>
      <c r="Z421" s="44"/>
      <c r="AA421" s="1074"/>
      <c r="AB421" s="1075"/>
      <c r="AC421" s="1124"/>
      <c r="AD421" s="1124"/>
      <c r="AE421" s="1074"/>
      <c r="AF421" s="1075"/>
      <c r="AG421" s="1076"/>
      <c r="AH421" s="1077" t="s">
        <v>1405</v>
      </c>
      <c r="AI421" s="1126">
        <f>SUM(AI414:AI420)</f>
        <v>0</v>
      </c>
    </row>
    <row r="422" spans="1:35" s="45" customFormat="1">
      <c r="A422" s="185"/>
      <c r="B422" s="827"/>
      <c r="C422" s="887"/>
      <c r="D422" s="827"/>
      <c r="E422" s="594"/>
      <c r="F422" s="575"/>
      <c r="G422" s="792"/>
      <c r="H422" s="208"/>
      <c r="I422" s="899"/>
      <c r="J422" s="208"/>
      <c r="K422" s="208"/>
      <c r="L422" s="208"/>
      <c r="M422" s="900"/>
      <c r="N422" s="901"/>
      <c r="O422" s="207"/>
      <c r="P422" s="207"/>
      <c r="Q422" s="207"/>
      <c r="R422" s="207"/>
      <c r="S422" s="207"/>
      <c r="T422" s="207"/>
      <c r="U422" s="16"/>
      <c r="V422" s="805"/>
      <c r="W422" s="807"/>
      <c r="X422" s="208"/>
      <c r="Y422" s="44"/>
      <c r="Z422" s="44"/>
      <c r="AA422" s="887"/>
      <c r="AB422" s="827"/>
      <c r="AC422" s="827"/>
      <c r="AD422" s="1171"/>
      <c r="AE422" s="887"/>
      <c r="AF422" s="827"/>
      <c r="AG422" s="594"/>
      <c r="AH422" s="575"/>
      <c r="AI422" s="792"/>
    </row>
    <row r="423" spans="1:35" s="45" customFormat="1" ht="15.75" thickBot="1">
      <c r="A423" s="185"/>
      <c r="B423" s="1025"/>
      <c r="C423" s="871"/>
      <c r="D423" s="873"/>
      <c r="E423" s="874"/>
      <c r="F423" s="947" t="s">
        <v>1405</v>
      </c>
      <c r="G423" s="1004">
        <f>SUM(G416:G422)</f>
        <v>0</v>
      </c>
      <c r="H423" s="208"/>
      <c r="I423" s="899"/>
      <c r="J423" s="208"/>
      <c r="K423" s="208"/>
      <c r="L423" s="208"/>
      <c r="M423" s="900"/>
      <c r="N423" s="901"/>
      <c r="O423" s="207"/>
      <c r="P423" s="207"/>
      <c r="Q423" s="207"/>
      <c r="R423" s="207"/>
      <c r="S423" s="207"/>
      <c r="T423" s="207"/>
      <c r="U423" s="16"/>
      <c r="V423" s="805"/>
      <c r="W423" s="807"/>
      <c r="X423" s="208"/>
      <c r="Y423" s="44"/>
      <c r="Z423" s="44"/>
      <c r="AA423" s="887"/>
      <c r="AB423" s="827"/>
      <c r="AC423" s="827"/>
      <c r="AD423" s="1171"/>
      <c r="AE423" s="887"/>
      <c r="AF423" s="827"/>
      <c r="AG423" s="594"/>
      <c r="AH423" s="575"/>
      <c r="AI423" s="792"/>
    </row>
    <row r="424" spans="1:35" s="45" customFormat="1">
      <c r="A424" s="185"/>
      <c r="B424" s="827"/>
      <c r="C424" s="887"/>
      <c r="D424" s="827"/>
      <c r="E424" s="594"/>
      <c r="F424" s="575"/>
      <c r="G424" s="792"/>
      <c r="H424" s="208"/>
      <c r="I424" s="899"/>
      <c r="J424" s="208"/>
      <c r="K424" s="208"/>
      <c r="L424" s="208"/>
      <c r="M424" s="900"/>
      <c r="N424" s="901"/>
      <c r="O424" s="207"/>
      <c r="P424" s="207"/>
      <c r="Q424" s="207"/>
      <c r="R424" s="207"/>
      <c r="S424" s="207"/>
      <c r="T424" s="207"/>
      <c r="U424" s="16"/>
      <c r="V424" s="805"/>
      <c r="W424" s="807"/>
      <c r="X424" s="208"/>
      <c r="Y424" s="44"/>
      <c r="Z424" s="44"/>
      <c r="AA424" s="1060" t="s">
        <v>1275</v>
      </c>
      <c r="AB424" s="1061"/>
      <c r="AC424" s="1104">
        <v>12</v>
      </c>
      <c r="AD424" s="1172"/>
      <c r="AE424" s="1060" t="s">
        <v>1275</v>
      </c>
      <c r="AF424" s="1061"/>
      <c r="AG424" s="1061"/>
      <c r="AH424" s="1061"/>
      <c r="AI424" s="1113"/>
    </row>
    <row r="425" spans="1:35" s="45" customFormat="1" ht="39" thickBot="1">
      <c r="A425" s="185"/>
      <c r="B425" s="827"/>
      <c r="C425" s="887"/>
      <c r="D425" s="827"/>
      <c r="E425" s="594"/>
      <c r="F425" s="575"/>
      <c r="G425" s="792"/>
      <c r="H425" s="208"/>
      <c r="I425" s="899"/>
      <c r="J425" s="208"/>
      <c r="K425" s="208"/>
      <c r="L425" s="208"/>
      <c r="M425" s="900"/>
      <c r="N425" s="901"/>
      <c r="O425" s="207"/>
      <c r="P425" s="207"/>
      <c r="Q425" s="207"/>
      <c r="R425" s="207"/>
      <c r="S425" s="207"/>
      <c r="T425" s="207"/>
      <c r="U425" s="16"/>
      <c r="V425" s="805"/>
      <c r="W425" s="807"/>
      <c r="X425" s="208"/>
      <c r="Y425" s="44"/>
      <c r="Z425" s="44"/>
      <c r="AA425" s="887" t="s">
        <v>1276</v>
      </c>
      <c r="AB425" s="827" t="s">
        <v>22</v>
      </c>
      <c r="AC425" s="827">
        <v>12.1</v>
      </c>
      <c r="AD425" s="1171"/>
      <c r="AE425" s="887" t="s">
        <v>1276</v>
      </c>
      <c r="AF425" s="827" t="s">
        <v>22</v>
      </c>
      <c r="AG425" s="594">
        <v>9</v>
      </c>
      <c r="AH425" s="575">
        <v>207180</v>
      </c>
      <c r="AI425" s="1125">
        <f t="shared" ref="AI425:AI437" si="87">+AH425*AG425</f>
        <v>1864620</v>
      </c>
    </row>
    <row r="426" spans="1:35" s="45" customFormat="1" ht="38.25">
      <c r="A426" s="185"/>
      <c r="B426" s="937">
        <v>12</v>
      </c>
      <c r="C426" s="75" t="s">
        <v>1275</v>
      </c>
      <c r="D426" s="76"/>
      <c r="E426" s="76"/>
      <c r="F426" s="76"/>
      <c r="G426" s="126"/>
      <c r="H426" s="208"/>
      <c r="I426" s="899"/>
      <c r="J426" s="208"/>
      <c r="K426" s="208"/>
      <c r="L426" s="208"/>
      <c r="M426" s="900"/>
      <c r="N426" s="901"/>
      <c r="O426" s="207"/>
      <c r="P426" s="207"/>
      <c r="Q426" s="207"/>
      <c r="R426" s="207"/>
      <c r="S426" s="207"/>
      <c r="T426" s="207"/>
      <c r="U426" s="16"/>
      <c r="V426" s="805"/>
      <c r="W426" s="807"/>
      <c r="X426" s="208"/>
      <c r="Y426" s="44"/>
      <c r="Z426" s="44"/>
      <c r="AA426" s="887" t="s">
        <v>1277</v>
      </c>
      <c r="AB426" s="827" t="s">
        <v>22</v>
      </c>
      <c r="AC426" s="827">
        <v>12.2</v>
      </c>
      <c r="AD426" s="1171"/>
      <c r="AE426" s="887" t="s">
        <v>1277</v>
      </c>
      <c r="AF426" s="827" t="s">
        <v>22</v>
      </c>
      <c r="AG426" s="594">
        <v>2</v>
      </c>
      <c r="AH426" s="575">
        <v>315000</v>
      </c>
      <c r="AI426" s="1125">
        <f t="shared" si="87"/>
        <v>630000</v>
      </c>
    </row>
    <row r="427" spans="1:35" s="45" customFormat="1" ht="38.25">
      <c r="A427" s="185"/>
      <c r="B427" s="827">
        <v>12.1</v>
      </c>
      <c r="C427" s="887" t="s">
        <v>1276</v>
      </c>
      <c r="D427" s="827" t="s">
        <v>22</v>
      </c>
      <c r="E427" s="594">
        <v>9</v>
      </c>
      <c r="F427" s="575">
        <v>207180</v>
      </c>
      <c r="G427" s="910">
        <f t="shared" ref="G427:G439" si="88">+F427*E427</f>
        <v>1864620</v>
      </c>
      <c r="H427" s="208"/>
      <c r="I427" s="899"/>
      <c r="J427" s="208"/>
      <c r="K427" s="208"/>
      <c r="L427" s="208"/>
      <c r="M427" s="900"/>
      <c r="N427" s="901"/>
      <c r="O427" s="207"/>
      <c r="P427" s="207"/>
      <c r="Q427" s="207"/>
      <c r="R427" s="207"/>
      <c r="S427" s="207"/>
      <c r="T427" s="207"/>
      <c r="U427" s="16"/>
      <c r="V427" s="805"/>
      <c r="W427" s="807"/>
      <c r="X427" s="208"/>
      <c r="Y427" s="44"/>
      <c r="Z427" s="44"/>
      <c r="AA427" s="887" t="s">
        <v>1278</v>
      </c>
      <c r="AB427" s="827" t="s">
        <v>22</v>
      </c>
      <c r="AC427" s="827">
        <v>12.3</v>
      </c>
      <c r="AD427" s="1171"/>
      <c r="AE427" s="887" t="s">
        <v>1278</v>
      </c>
      <c r="AF427" s="827" t="s">
        <v>22</v>
      </c>
      <c r="AG427" s="594">
        <v>1</v>
      </c>
      <c r="AH427" s="575">
        <v>158050</v>
      </c>
      <c r="AI427" s="1125">
        <f t="shared" si="87"/>
        <v>158050</v>
      </c>
    </row>
    <row r="428" spans="1:35" s="45" customFormat="1" ht="38.25">
      <c r="A428" s="185"/>
      <c r="B428" s="827">
        <v>12.2</v>
      </c>
      <c r="C428" s="887" t="s">
        <v>1277</v>
      </c>
      <c r="D428" s="827" t="s">
        <v>22</v>
      </c>
      <c r="E428" s="594">
        <v>2</v>
      </c>
      <c r="F428" s="575">
        <v>315000</v>
      </c>
      <c r="G428" s="910">
        <f t="shared" si="88"/>
        <v>630000</v>
      </c>
      <c r="H428" s="208"/>
      <c r="I428" s="899"/>
      <c r="J428" s="208"/>
      <c r="K428" s="208"/>
      <c r="L428" s="208"/>
      <c r="M428" s="900"/>
      <c r="N428" s="901"/>
      <c r="O428" s="207"/>
      <c r="P428" s="207"/>
      <c r="Q428" s="207"/>
      <c r="R428" s="207"/>
      <c r="S428" s="207"/>
      <c r="T428" s="207"/>
      <c r="U428" s="16"/>
      <c r="V428" s="805"/>
      <c r="W428" s="807"/>
      <c r="X428" s="208"/>
      <c r="Y428" s="44"/>
      <c r="Z428" s="44"/>
      <c r="AA428" s="887" t="s">
        <v>1279</v>
      </c>
      <c r="AB428" s="827" t="s">
        <v>22</v>
      </c>
      <c r="AC428" s="827">
        <v>12.4</v>
      </c>
      <c r="AD428" s="1171"/>
      <c r="AE428" s="887" t="s">
        <v>1279</v>
      </c>
      <c r="AF428" s="827" t="s">
        <v>22</v>
      </c>
      <c r="AG428" s="594">
        <v>1</v>
      </c>
      <c r="AH428" s="575">
        <v>492140</v>
      </c>
      <c r="AI428" s="1125">
        <f t="shared" si="87"/>
        <v>492140</v>
      </c>
    </row>
    <row r="429" spans="1:35" s="45" customFormat="1" ht="38.25">
      <c r="A429" s="185"/>
      <c r="B429" s="827">
        <v>12.3</v>
      </c>
      <c r="C429" s="887" t="s">
        <v>1278</v>
      </c>
      <c r="D429" s="827" t="s">
        <v>22</v>
      </c>
      <c r="E429" s="594">
        <v>1</v>
      </c>
      <c r="F429" s="575">
        <v>158050</v>
      </c>
      <c r="G429" s="910">
        <f t="shared" si="88"/>
        <v>158050</v>
      </c>
      <c r="H429" s="208"/>
      <c r="I429" s="899"/>
      <c r="J429" s="208"/>
      <c r="K429" s="208"/>
      <c r="L429" s="208"/>
      <c r="M429" s="900"/>
      <c r="N429" s="901"/>
      <c r="O429" s="207"/>
      <c r="P429" s="207"/>
      <c r="Q429" s="207"/>
      <c r="R429" s="207"/>
      <c r="S429" s="207"/>
      <c r="T429" s="207"/>
      <c r="U429" s="16"/>
      <c r="V429" s="805"/>
      <c r="W429" s="807"/>
      <c r="X429" s="208"/>
      <c r="Y429" s="44"/>
      <c r="Z429" s="44"/>
      <c r="AA429" s="887" t="s">
        <v>1280</v>
      </c>
      <c r="AB429" s="827" t="s">
        <v>22</v>
      </c>
      <c r="AC429" s="827">
        <v>12.5</v>
      </c>
      <c r="AD429" s="1171"/>
      <c r="AE429" s="887" t="s">
        <v>1280</v>
      </c>
      <c r="AF429" s="827" t="s">
        <v>22</v>
      </c>
      <c r="AG429" s="594">
        <v>1</v>
      </c>
      <c r="AH429" s="575">
        <v>256670</v>
      </c>
      <c r="AI429" s="1125">
        <f t="shared" si="87"/>
        <v>256670</v>
      </c>
    </row>
    <row r="430" spans="1:35" s="45" customFormat="1" ht="25.5">
      <c r="A430" s="185"/>
      <c r="B430" s="827">
        <v>12.4</v>
      </c>
      <c r="C430" s="887" t="s">
        <v>1279</v>
      </c>
      <c r="D430" s="827" t="s">
        <v>22</v>
      </c>
      <c r="E430" s="594">
        <v>1</v>
      </c>
      <c r="F430" s="575">
        <v>492140</v>
      </c>
      <c r="G430" s="910">
        <f t="shared" si="88"/>
        <v>492140</v>
      </c>
      <c r="H430" s="208"/>
      <c r="I430" s="899"/>
      <c r="J430" s="208"/>
      <c r="K430" s="208"/>
      <c r="L430" s="208"/>
      <c r="M430" s="900"/>
      <c r="N430" s="901"/>
      <c r="O430" s="207"/>
      <c r="P430" s="207"/>
      <c r="Q430" s="207"/>
      <c r="R430" s="207"/>
      <c r="S430" s="207"/>
      <c r="T430" s="207"/>
      <c r="U430" s="16"/>
      <c r="V430" s="805"/>
      <c r="W430" s="807"/>
      <c r="X430" s="208"/>
      <c r="Y430" s="44"/>
      <c r="Z430" s="44"/>
      <c r="AA430" s="887" t="s">
        <v>1281</v>
      </c>
      <c r="AB430" s="827" t="s">
        <v>22</v>
      </c>
      <c r="AC430" s="827">
        <v>12.6</v>
      </c>
      <c r="AD430" s="1171"/>
      <c r="AE430" s="887" t="s">
        <v>1281</v>
      </c>
      <c r="AF430" s="827" t="s">
        <v>22</v>
      </c>
      <c r="AG430" s="594">
        <v>5</v>
      </c>
      <c r="AH430" s="575">
        <v>366520</v>
      </c>
      <c r="AI430" s="1125">
        <f t="shared" si="87"/>
        <v>1832600</v>
      </c>
    </row>
    <row r="431" spans="1:35" s="45" customFormat="1" ht="76.5">
      <c r="A431" s="185"/>
      <c r="B431" s="827">
        <v>12.5</v>
      </c>
      <c r="C431" s="887" t="s">
        <v>1280</v>
      </c>
      <c r="D431" s="827" t="s">
        <v>22</v>
      </c>
      <c r="E431" s="594">
        <v>1</v>
      </c>
      <c r="F431" s="575">
        <v>256670</v>
      </c>
      <c r="G431" s="910">
        <f t="shared" si="88"/>
        <v>256670</v>
      </c>
      <c r="H431" s="208"/>
      <c r="I431" s="899"/>
      <c r="J431" s="208"/>
      <c r="K431" s="208"/>
      <c r="L431" s="208"/>
      <c r="M431" s="900"/>
      <c r="N431" s="901"/>
      <c r="O431" s="207"/>
      <c r="P431" s="207"/>
      <c r="Q431" s="207"/>
      <c r="R431" s="207"/>
      <c r="S431" s="207"/>
      <c r="T431" s="207"/>
      <c r="U431" s="16"/>
      <c r="V431" s="805"/>
      <c r="W431" s="807"/>
      <c r="X431" s="208"/>
      <c r="Y431" s="44"/>
      <c r="Z431" s="44"/>
      <c r="AA431" s="887" t="s">
        <v>1307</v>
      </c>
      <c r="AB431" s="827" t="s">
        <v>500</v>
      </c>
      <c r="AC431" s="827">
        <v>12.7</v>
      </c>
      <c r="AD431" s="1171"/>
      <c r="AE431" s="887" t="s">
        <v>1307</v>
      </c>
      <c r="AF431" s="827" t="s">
        <v>500</v>
      </c>
      <c r="AG431" s="594">
        <v>12</v>
      </c>
      <c r="AH431" s="575">
        <v>140420</v>
      </c>
      <c r="AI431" s="1125">
        <f t="shared" si="87"/>
        <v>1685040</v>
      </c>
    </row>
    <row r="432" spans="1:35" s="45" customFormat="1" ht="76.5">
      <c r="A432" s="185"/>
      <c r="B432" s="827">
        <v>12.6</v>
      </c>
      <c r="C432" s="887" t="s">
        <v>1281</v>
      </c>
      <c r="D432" s="827" t="s">
        <v>22</v>
      </c>
      <c r="E432" s="594">
        <v>5</v>
      </c>
      <c r="F432" s="575">
        <v>366520</v>
      </c>
      <c r="G432" s="910">
        <f t="shared" si="88"/>
        <v>1832600</v>
      </c>
      <c r="H432" s="208"/>
      <c r="I432" s="899"/>
      <c r="J432" s="208"/>
      <c r="K432" s="208"/>
      <c r="L432" s="208"/>
      <c r="M432" s="900"/>
      <c r="N432" s="901"/>
      <c r="O432" s="207"/>
      <c r="P432" s="207"/>
      <c r="Q432" s="207"/>
      <c r="R432" s="207"/>
      <c r="S432" s="207"/>
      <c r="T432" s="207"/>
      <c r="U432" s="16"/>
      <c r="V432" s="805"/>
      <c r="W432" s="807"/>
      <c r="X432" s="208"/>
      <c r="Y432" s="44"/>
      <c r="Z432" s="44"/>
      <c r="AA432" s="887" t="s">
        <v>1304</v>
      </c>
      <c r="AB432" s="827" t="s">
        <v>500</v>
      </c>
      <c r="AC432" s="827">
        <v>12.8</v>
      </c>
      <c r="AD432" s="1171"/>
      <c r="AE432" s="887" t="s">
        <v>1304</v>
      </c>
      <c r="AF432" s="827" t="s">
        <v>500</v>
      </c>
      <c r="AG432" s="594">
        <f>13+55+50</f>
        <v>118</v>
      </c>
      <c r="AH432" s="575">
        <v>48740</v>
      </c>
      <c r="AI432" s="1125">
        <f t="shared" si="87"/>
        <v>5751320</v>
      </c>
    </row>
    <row r="433" spans="1:35" s="45" customFormat="1" ht="76.5">
      <c r="A433" s="185"/>
      <c r="B433" s="827">
        <v>12.7</v>
      </c>
      <c r="C433" s="887" t="s">
        <v>1307</v>
      </c>
      <c r="D433" s="827" t="s">
        <v>500</v>
      </c>
      <c r="E433" s="594">
        <v>12</v>
      </c>
      <c r="F433" s="575">
        <v>140420</v>
      </c>
      <c r="G433" s="910">
        <f t="shared" si="88"/>
        <v>1685040</v>
      </c>
      <c r="H433" s="208"/>
      <c r="I433" s="899"/>
      <c r="J433" s="208"/>
      <c r="K433" s="208"/>
      <c r="L433" s="208"/>
      <c r="M433" s="900"/>
      <c r="N433" s="901"/>
      <c r="O433" s="207"/>
      <c r="P433" s="207"/>
      <c r="Q433" s="207"/>
      <c r="R433" s="207"/>
      <c r="S433" s="207"/>
      <c r="T433" s="207"/>
      <c r="U433" s="16"/>
      <c r="V433" s="805"/>
      <c r="W433" s="807"/>
      <c r="X433" s="208"/>
      <c r="Y433" s="44"/>
      <c r="Z433" s="44"/>
      <c r="AA433" s="887" t="s">
        <v>1303</v>
      </c>
      <c r="AB433" s="827" t="s">
        <v>500</v>
      </c>
      <c r="AC433" s="827">
        <v>12.9</v>
      </c>
      <c r="AD433" s="1171"/>
      <c r="AE433" s="887" t="s">
        <v>1303</v>
      </c>
      <c r="AF433" s="827" t="s">
        <v>500</v>
      </c>
      <c r="AG433" s="594">
        <v>74</v>
      </c>
      <c r="AH433" s="575">
        <v>41820</v>
      </c>
      <c r="AI433" s="1125">
        <f t="shared" si="87"/>
        <v>3094680</v>
      </c>
    </row>
    <row r="434" spans="1:35" s="45" customFormat="1" ht="31.5" customHeight="1">
      <c r="A434" s="185"/>
      <c r="B434" s="827">
        <v>12.8</v>
      </c>
      <c r="C434" s="887" t="s">
        <v>1304</v>
      </c>
      <c r="D434" s="827" t="s">
        <v>500</v>
      </c>
      <c r="E434" s="1055">
        <f>13+55+50</f>
        <v>118</v>
      </c>
      <c r="F434" s="575">
        <v>48740</v>
      </c>
      <c r="G434" s="910">
        <f t="shared" si="88"/>
        <v>5751320</v>
      </c>
      <c r="H434" s="208"/>
      <c r="I434" s="899"/>
      <c r="J434" s="208"/>
      <c r="K434" s="208"/>
      <c r="L434" s="208"/>
      <c r="M434" s="900"/>
      <c r="N434" s="901"/>
      <c r="O434" s="207"/>
      <c r="P434" s="207"/>
      <c r="Q434" s="207"/>
      <c r="R434" s="207"/>
      <c r="S434" s="207"/>
      <c r="T434" s="207"/>
      <c r="U434" s="16"/>
      <c r="V434" s="805"/>
      <c r="W434" s="807"/>
      <c r="X434" s="208"/>
      <c r="Y434" s="44"/>
      <c r="Z434" s="44"/>
      <c r="AA434" s="887" t="s">
        <v>1302</v>
      </c>
      <c r="AB434" s="827" t="s">
        <v>500</v>
      </c>
      <c r="AC434" s="963">
        <v>12.1</v>
      </c>
      <c r="AD434" s="1174"/>
      <c r="AE434" s="887" t="s">
        <v>1302</v>
      </c>
      <c r="AF434" s="827" t="s">
        <v>500</v>
      </c>
      <c r="AG434" s="594">
        <v>39</v>
      </c>
      <c r="AH434" s="575">
        <v>21516</v>
      </c>
      <c r="AI434" s="1125">
        <f t="shared" si="87"/>
        <v>839124</v>
      </c>
    </row>
    <row r="435" spans="1:35" s="45" customFormat="1" ht="63.75">
      <c r="A435" s="185"/>
      <c r="B435" s="827">
        <v>12.9</v>
      </c>
      <c r="C435" s="887" t="s">
        <v>1303</v>
      </c>
      <c r="D435" s="827" t="s">
        <v>500</v>
      </c>
      <c r="E435" s="594">
        <v>74</v>
      </c>
      <c r="F435" s="575">
        <v>41820</v>
      </c>
      <c r="G435" s="910">
        <f t="shared" si="88"/>
        <v>3094680</v>
      </c>
      <c r="H435" s="208"/>
      <c r="I435" s="899"/>
      <c r="J435" s="208"/>
      <c r="K435" s="208"/>
      <c r="L435" s="208"/>
      <c r="M435" s="900"/>
      <c r="N435" s="901"/>
      <c r="O435" s="207"/>
      <c r="P435" s="207"/>
      <c r="Q435" s="207"/>
      <c r="R435" s="207"/>
      <c r="S435" s="207"/>
      <c r="T435" s="207"/>
      <c r="U435" s="16"/>
      <c r="V435" s="805"/>
      <c r="W435" s="807"/>
      <c r="X435" s="208"/>
      <c r="Y435" s="44"/>
      <c r="Z435" s="44"/>
      <c r="AA435" s="887" t="s">
        <v>1305</v>
      </c>
      <c r="AB435" s="827" t="s">
        <v>500</v>
      </c>
      <c r="AC435" s="827">
        <v>12.11</v>
      </c>
      <c r="AD435" s="1171"/>
      <c r="AE435" s="887" t="s">
        <v>1305</v>
      </c>
      <c r="AF435" s="827" t="s">
        <v>500</v>
      </c>
      <c r="AG435" s="594">
        <v>24</v>
      </c>
      <c r="AH435" s="575">
        <v>20557</v>
      </c>
      <c r="AI435" s="1125">
        <f t="shared" si="87"/>
        <v>493368</v>
      </c>
    </row>
    <row r="436" spans="1:35" s="45" customFormat="1" ht="63.75">
      <c r="A436" s="185"/>
      <c r="B436" s="963">
        <v>12.1</v>
      </c>
      <c r="C436" s="887" t="s">
        <v>1302</v>
      </c>
      <c r="D436" s="827" t="s">
        <v>500</v>
      </c>
      <c r="E436" s="594">
        <v>39</v>
      </c>
      <c r="F436" s="575">
        <v>21516</v>
      </c>
      <c r="G436" s="910">
        <f t="shared" si="88"/>
        <v>839124</v>
      </c>
      <c r="H436" s="208"/>
      <c r="I436" s="899"/>
      <c r="J436" s="208"/>
      <c r="K436" s="208"/>
      <c r="L436" s="208"/>
      <c r="M436" s="900"/>
      <c r="N436" s="901"/>
      <c r="O436" s="207"/>
      <c r="P436" s="207"/>
      <c r="Q436" s="207"/>
      <c r="R436" s="207"/>
      <c r="S436" s="207"/>
      <c r="T436" s="207"/>
      <c r="U436" s="16"/>
      <c r="V436" s="805"/>
      <c r="W436" s="807"/>
      <c r="X436" s="208"/>
      <c r="Y436" s="44"/>
      <c r="Z436" s="44"/>
      <c r="AA436" s="887" t="s">
        <v>1306</v>
      </c>
      <c r="AB436" s="827" t="s">
        <v>500</v>
      </c>
      <c r="AC436" s="827">
        <v>12.12</v>
      </c>
      <c r="AD436" s="1171"/>
      <c r="AE436" s="887" t="s">
        <v>1306</v>
      </c>
      <c r="AF436" s="827" t="s">
        <v>500</v>
      </c>
      <c r="AG436" s="594">
        <v>60</v>
      </c>
      <c r="AH436" s="575">
        <v>5770</v>
      </c>
      <c r="AI436" s="1125">
        <f t="shared" si="87"/>
        <v>346200</v>
      </c>
    </row>
    <row r="437" spans="1:35" s="45" customFormat="1" ht="51">
      <c r="A437" s="185"/>
      <c r="B437" s="827">
        <v>12.11</v>
      </c>
      <c r="C437" s="887" t="s">
        <v>1305</v>
      </c>
      <c r="D437" s="827" t="s">
        <v>500</v>
      </c>
      <c r="E437" s="594">
        <v>24</v>
      </c>
      <c r="F437" s="575">
        <v>20557</v>
      </c>
      <c r="G437" s="910">
        <f t="shared" si="88"/>
        <v>493368</v>
      </c>
      <c r="H437" s="208"/>
      <c r="I437" s="899"/>
      <c r="J437" s="208"/>
      <c r="K437" s="208"/>
      <c r="L437" s="208"/>
      <c r="M437" s="900"/>
      <c r="N437" s="901"/>
      <c r="O437" s="207"/>
      <c r="P437" s="207"/>
      <c r="Q437" s="207"/>
      <c r="R437" s="207"/>
      <c r="S437" s="207"/>
      <c r="T437" s="207"/>
      <c r="U437" s="16"/>
      <c r="V437" s="805"/>
      <c r="W437" s="807"/>
      <c r="X437" s="208"/>
      <c r="Y437" s="44"/>
      <c r="Z437" s="44"/>
      <c r="AA437" s="887" t="s">
        <v>1436</v>
      </c>
      <c r="AB437" s="827" t="s">
        <v>139</v>
      </c>
      <c r="AC437" s="827">
        <v>12.13</v>
      </c>
      <c r="AD437" s="1171"/>
      <c r="AE437" s="887" t="s">
        <v>1436</v>
      </c>
      <c r="AF437" s="827" t="s">
        <v>139</v>
      </c>
      <c r="AG437" s="594">
        <v>2</v>
      </c>
      <c r="AH437" s="575">
        <v>410360</v>
      </c>
      <c r="AI437" s="1125">
        <f t="shared" si="87"/>
        <v>820720</v>
      </c>
    </row>
    <row r="438" spans="1:35" s="45" customFormat="1" ht="26.25" thickBot="1">
      <c r="A438" s="185"/>
      <c r="B438" s="827">
        <v>12.12</v>
      </c>
      <c r="C438" s="887" t="s">
        <v>1306</v>
      </c>
      <c r="D438" s="827" t="s">
        <v>500</v>
      </c>
      <c r="E438" s="594">
        <v>60</v>
      </c>
      <c r="F438" s="575">
        <v>5770</v>
      </c>
      <c r="G438" s="910">
        <f t="shared" si="88"/>
        <v>346200</v>
      </c>
      <c r="H438" s="208"/>
      <c r="I438" s="899"/>
      <c r="J438" s="208"/>
      <c r="K438" s="208"/>
      <c r="L438" s="208"/>
      <c r="M438" s="900"/>
      <c r="N438" s="901"/>
      <c r="O438" s="207"/>
      <c r="P438" s="207"/>
      <c r="Q438" s="207"/>
      <c r="R438" s="207"/>
      <c r="S438" s="207"/>
      <c r="T438" s="207"/>
      <c r="U438" s="16"/>
      <c r="V438" s="805"/>
      <c r="W438" s="807"/>
      <c r="X438" s="208"/>
      <c r="Y438" s="44"/>
      <c r="Z438" s="44"/>
      <c r="AA438" s="1074"/>
      <c r="AB438" s="1075"/>
      <c r="AC438" s="1124"/>
      <c r="AD438" s="1124"/>
      <c r="AE438" s="1074"/>
      <c r="AF438" s="1075"/>
      <c r="AG438" s="1076"/>
      <c r="AH438" s="1077" t="s">
        <v>1323</v>
      </c>
      <c r="AI438" s="1126">
        <f>SUM(AI435:AI437)</f>
        <v>1660288</v>
      </c>
    </row>
    <row r="439" spans="1:35" s="45" customFormat="1" ht="15.75" thickBot="1">
      <c r="A439" s="185"/>
      <c r="B439" s="827">
        <v>12.13</v>
      </c>
      <c r="C439" s="887" t="s">
        <v>1436</v>
      </c>
      <c r="D439" s="827" t="s">
        <v>139</v>
      </c>
      <c r="E439" s="594">
        <v>2</v>
      </c>
      <c r="F439" s="575">
        <v>410360</v>
      </c>
      <c r="G439" s="910">
        <f t="shared" si="88"/>
        <v>820720</v>
      </c>
      <c r="H439" s="208"/>
      <c r="I439" s="899"/>
      <c r="J439" s="208"/>
      <c r="K439" s="208"/>
      <c r="L439" s="208"/>
      <c r="M439" s="900"/>
      <c r="N439" s="901"/>
      <c r="O439" s="207"/>
      <c r="P439" s="207"/>
      <c r="Q439" s="207"/>
      <c r="R439" s="207"/>
      <c r="S439" s="207"/>
      <c r="T439" s="207"/>
      <c r="U439" s="16"/>
      <c r="V439" s="805"/>
      <c r="W439" s="807"/>
      <c r="X439" s="208"/>
      <c r="Y439" s="44"/>
      <c r="Z439" s="44"/>
      <c r="AA439" s="887"/>
      <c r="AB439" s="827"/>
      <c r="AC439" s="827"/>
      <c r="AD439" s="1171"/>
      <c r="AE439" s="887"/>
      <c r="AF439" s="827"/>
      <c r="AG439" s="594"/>
      <c r="AH439" s="575"/>
      <c r="AI439" s="1125"/>
    </row>
    <row r="440" spans="1:35" s="45" customFormat="1" ht="15.75" thickBot="1">
      <c r="A440" s="185"/>
      <c r="B440" s="1025"/>
      <c r="C440" s="871"/>
      <c r="D440" s="873"/>
      <c r="E440" s="874"/>
      <c r="F440" s="947" t="s">
        <v>1323</v>
      </c>
      <c r="G440" s="1004">
        <f>SUM(G437:G439)</f>
        <v>1660288</v>
      </c>
      <c r="H440" s="208"/>
      <c r="I440" s="899"/>
      <c r="J440" s="208"/>
      <c r="K440" s="208"/>
      <c r="L440" s="208"/>
      <c r="M440" s="900"/>
      <c r="N440" s="901"/>
      <c r="O440" s="207"/>
      <c r="P440" s="207"/>
      <c r="Q440" s="207"/>
      <c r="R440" s="207"/>
      <c r="S440" s="207"/>
      <c r="T440" s="207"/>
      <c r="U440" s="16"/>
      <c r="V440" s="805"/>
      <c r="W440" s="807"/>
      <c r="X440" s="208"/>
      <c r="Y440" s="44"/>
      <c r="Z440" s="44"/>
      <c r="AA440" s="1060" t="s">
        <v>1412</v>
      </c>
      <c r="AB440" s="1061"/>
      <c r="AC440" s="1104">
        <v>13</v>
      </c>
      <c r="AD440" s="1172"/>
      <c r="AE440" s="1060" t="s">
        <v>1412</v>
      </c>
      <c r="AF440" s="1061"/>
      <c r="AG440" s="1061"/>
      <c r="AH440" s="1061"/>
      <c r="AI440" s="1113"/>
    </row>
    <row r="441" spans="1:35" s="45" customFormat="1" ht="15.75" thickBot="1">
      <c r="A441" s="185"/>
      <c r="B441" s="827"/>
      <c r="C441" s="887"/>
      <c r="D441" s="827"/>
      <c r="E441" s="594"/>
      <c r="F441" s="575"/>
      <c r="G441" s="910"/>
      <c r="H441" s="208"/>
      <c r="I441" s="899"/>
      <c r="J441" s="208"/>
      <c r="K441" s="208"/>
      <c r="L441" s="208"/>
      <c r="M441" s="900"/>
      <c r="N441" s="901"/>
      <c r="O441" s="207"/>
      <c r="P441" s="207"/>
      <c r="Q441" s="207"/>
      <c r="R441" s="207"/>
      <c r="S441" s="207"/>
      <c r="T441" s="207"/>
      <c r="U441" s="16"/>
      <c r="V441" s="805"/>
      <c r="W441" s="807"/>
      <c r="X441" s="208"/>
      <c r="Y441" s="44"/>
      <c r="Z441" s="44"/>
      <c r="AA441" s="975" t="s">
        <v>1343</v>
      </c>
      <c r="AB441" s="905"/>
      <c r="AC441" s="974">
        <v>13.1</v>
      </c>
      <c r="AD441" s="459"/>
      <c r="AE441" s="975" t="s">
        <v>1343</v>
      </c>
      <c r="AF441" s="905"/>
      <c r="AG441" s="905"/>
      <c r="AH441" s="905"/>
      <c r="AI441" s="906"/>
    </row>
    <row r="442" spans="1:35" s="45" customFormat="1">
      <c r="A442" s="185"/>
      <c r="B442" s="937">
        <v>13</v>
      </c>
      <c r="C442" s="75" t="s">
        <v>1412</v>
      </c>
      <c r="D442" s="76"/>
      <c r="E442" s="76"/>
      <c r="F442" s="76"/>
      <c r="G442" s="126"/>
      <c r="H442" s="208"/>
      <c r="I442" s="899"/>
      <c r="J442" s="208"/>
      <c r="K442" s="208"/>
      <c r="L442" s="208"/>
      <c r="M442" s="900"/>
      <c r="N442" s="901"/>
      <c r="O442" s="207"/>
      <c r="P442" s="207"/>
      <c r="Q442" s="207"/>
      <c r="R442" s="207"/>
      <c r="S442" s="207"/>
      <c r="T442" s="207"/>
      <c r="U442" s="16"/>
      <c r="V442" s="805"/>
      <c r="W442" s="807"/>
      <c r="X442" s="208"/>
      <c r="Y442" s="44"/>
      <c r="Z442" s="44"/>
      <c r="AA442" s="1030" t="s">
        <v>1325</v>
      </c>
      <c r="AB442" s="999" t="s">
        <v>22</v>
      </c>
      <c r="AC442" s="999" t="s">
        <v>1344</v>
      </c>
      <c r="AD442" s="1175"/>
      <c r="AE442" s="1030" t="s">
        <v>1325</v>
      </c>
      <c r="AF442" s="999" t="s">
        <v>22</v>
      </c>
      <c r="AG442" s="1000">
        <v>7</v>
      </c>
      <c r="AH442" s="575">
        <v>27920</v>
      </c>
      <c r="AI442" s="795">
        <f t="shared" ref="AI442:AI451" si="89">+AH442*AG442</f>
        <v>195440</v>
      </c>
    </row>
    <row r="443" spans="1:35" s="45" customFormat="1">
      <c r="A443" s="185"/>
      <c r="B443" s="974">
        <v>13.1</v>
      </c>
      <c r="C443" s="975" t="s">
        <v>1343</v>
      </c>
      <c r="D443" s="905"/>
      <c r="E443" s="905"/>
      <c r="F443" s="905"/>
      <c r="G443" s="906"/>
      <c r="H443" s="208"/>
      <c r="I443" s="899"/>
      <c r="J443" s="208"/>
      <c r="K443" s="208"/>
      <c r="L443" s="208"/>
      <c r="M443" s="900"/>
      <c r="N443" s="901"/>
      <c r="O443" s="207"/>
      <c r="P443" s="207"/>
      <c r="Q443" s="207"/>
      <c r="R443" s="207"/>
      <c r="S443" s="207"/>
      <c r="T443" s="207"/>
      <c r="U443" s="16"/>
      <c r="V443" s="805"/>
      <c r="W443" s="807"/>
      <c r="X443" s="208"/>
      <c r="Y443" s="44"/>
      <c r="Z443" s="44"/>
      <c r="AA443" s="1030" t="s">
        <v>1326</v>
      </c>
      <c r="AB443" s="999" t="s">
        <v>22</v>
      </c>
      <c r="AC443" s="999" t="s">
        <v>1345</v>
      </c>
      <c r="AD443" s="1175"/>
      <c r="AE443" s="1030" t="s">
        <v>1326</v>
      </c>
      <c r="AF443" s="999" t="s">
        <v>22</v>
      </c>
      <c r="AG443" s="1000">
        <v>13</v>
      </c>
      <c r="AH443" s="575">
        <v>3130</v>
      </c>
      <c r="AI443" s="795">
        <f t="shared" si="89"/>
        <v>40690</v>
      </c>
    </row>
    <row r="444" spans="1:35" s="45" customFormat="1">
      <c r="A444" s="185"/>
      <c r="B444" s="999" t="s">
        <v>1344</v>
      </c>
      <c r="C444" s="1030" t="s">
        <v>1325</v>
      </c>
      <c r="D444" s="999" t="s">
        <v>22</v>
      </c>
      <c r="E444" s="1000">
        <v>7</v>
      </c>
      <c r="F444" s="575">
        <v>27920</v>
      </c>
      <c r="G444" s="795">
        <f t="shared" ref="G444:G453" si="90">+F444*E444</f>
        <v>195440</v>
      </c>
      <c r="H444" s="208"/>
      <c r="I444" s="899"/>
      <c r="J444" s="208"/>
      <c r="K444" s="208"/>
      <c r="L444" s="208"/>
      <c r="M444" s="900"/>
      <c r="N444" s="901"/>
      <c r="O444" s="207"/>
      <c r="P444" s="207"/>
      <c r="Q444" s="207"/>
      <c r="R444" s="207"/>
      <c r="S444" s="207"/>
      <c r="T444" s="207"/>
      <c r="U444" s="16"/>
      <c r="V444" s="805"/>
      <c r="W444" s="807"/>
      <c r="X444" s="208"/>
      <c r="Y444" s="44"/>
      <c r="Z444" s="44"/>
      <c r="AA444" s="1030" t="s">
        <v>1327</v>
      </c>
      <c r="AB444" s="999" t="s">
        <v>22</v>
      </c>
      <c r="AC444" s="999" t="s">
        <v>1346</v>
      </c>
      <c r="AD444" s="1175"/>
      <c r="AE444" s="1030" t="s">
        <v>1327</v>
      </c>
      <c r="AF444" s="999" t="s">
        <v>22</v>
      </c>
      <c r="AG444" s="1000">
        <v>1</v>
      </c>
      <c r="AH444" s="575">
        <v>2920</v>
      </c>
      <c r="AI444" s="795">
        <f t="shared" si="89"/>
        <v>2920</v>
      </c>
    </row>
    <row r="445" spans="1:35" s="45" customFormat="1">
      <c r="A445" s="185"/>
      <c r="B445" s="999" t="s">
        <v>1345</v>
      </c>
      <c r="C445" s="1030" t="s">
        <v>1326</v>
      </c>
      <c r="D445" s="999" t="s">
        <v>22</v>
      </c>
      <c r="E445" s="1000">
        <v>13</v>
      </c>
      <c r="F445" s="575">
        <v>3130</v>
      </c>
      <c r="G445" s="795">
        <f t="shared" si="90"/>
        <v>40690</v>
      </c>
      <c r="H445" s="208"/>
      <c r="I445" s="899"/>
      <c r="J445" s="208"/>
      <c r="K445" s="208"/>
      <c r="L445" s="208"/>
      <c r="M445" s="900"/>
      <c r="N445" s="901"/>
      <c r="O445" s="207"/>
      <c r="P445" s="207"/>
      <c r="Q445" s="207"/>
      <c r="R445" s="207"/>
      <c r="S445" s="207"/>
      <c r="T445" s="207"/>
      <c r="U445" s="16"/>
      <c r="V445" s="805"/>
      <c r="W445" s="807"/>
      <c r="X445" s="208"/>
      <c r="Y445" s="44"/>
      <c r="Z445" s="44"/>
      <c r="AA445" s="1030" t="s">
        <v>1328</v>
      </c>
      <c r="AB445" s="999" t="s">
        <v>22</v>
      </c>
      <c r="AC445" s="999" t="s">
        <v>1347</v>
      </c>
      <c r="AD445" s="1175"/>
      <c r="AE445" s="1030" t="s">
        <v>1328</v>
      </c>
      <c r="AF445" s="999" t="s">
        <v>22</v>
      </c>
      <c r="AG445" s="1000">
        <v>4</v>
      </c>
      <c r="AH445" s="575">
        <v>3100</v>
      </c>
      <c r="AI445" s="795">
        <f t="shared" si="89"/>
        <v>12400</v>
      </c>
    </row>
    <row r="446" spans="1:35" s="45" customFormat="1">
      <c r="A446" s="185"/>
      <c r="B446" s="999" t="s">
        <v>1346</v>
      </c>
      <c r="C446" s="1030" t="s">
        <v>1327</v>
      </c>
      <c r="D446" s="999" t="s">
        <v>22</v>
      </c>
      <c r="E446" s="1000">
        <v>1</v>
      </c>
      <c r="F446" s="575">
        <v>2920</v>
      </c>
      <c r="G446" s="795">
        <f t="shared" si="90"/>
        <v>2920</v>
      </c>
      <c r="H446" s="208"/>
      <c r="I446" s="899"/>
      <c r="J446" s="208"/>
      <c r="K446" s="208"/>
      <c r="L446" s="208"/>
      <c r="M446" s="900"/>
      <c r="N446" s="901"/>
      <c r="O446" s="207"/>
      <c r="P446" s="207"/>
      <c r="Q446" s="207"/>
      <c r="R446" s="207"/>
      <c r="S446" s="207"/>
      <c r="T446" s="207"/>
      <c r="U446" s="16"/>
      <c r="V446" s="805"/>
      <c r="W446" s="807"/>
      <c r="X446" s="208"/>
      <c r="Y446" s="44"/>
      <c r="Z446" s="44"/>
      <c r="AA446" s="1030" t="s">
        <v>1329</v>
      </c>
      <c r="AB446" s="999" t="s">
        <v>22</v>
      </c>
      <c r="AC446" s="999" t="s">
        <v>1348</v>
      </c>
      <c r="AD446" s="1175"/>
      <c r="AE446" s="1030" t="s">
        <v>1329</v>
      </c>
      <c r="AF446" s="999" t="s">
        <v>22</v>
      </c>
      <c r="AG446" s="1000">
        <v>1</v>
      </c>
      <c r="AH446" s="575">
        <v>3370</v>
      </c>
      <c r="AI446" s="795">
        <f t="shared" si="89"/>
        <v>3370</v>
      </c>
    </row>
    <row r="447" spans="1:35" s="45" customFormat="1">
      <c r="A447" s="185"/>
      <c r="B447" s="999" t="s">
        <v>1347</v>
      </c>
      <c r="C447" s="1030" t="s">
        <v>1328</v>
      </c>
      <c r="D447" s="999" t="s">
        <v>22</v>
      </c>
      <c r="E447" s="1000">
        <v>4</v>
      </c>
      <c r="F447" s="575">
        <v>3100</v>
      </c>
      <c r="G447" s="795">
        <f t="shared" si="90"/>
        <v>12400</v>
      </c>
      <c r="H447" s="208"/>
      <c r="I447" s="899"/>
      <c r="J447" s="208"/>
      <c r="K447" s="208"/>
      <c r="L447" s="208"/>
      <c r="M447" s="900"/>
      <c r="N447" s="901"/>
      <c r="O447" s="207"/>
      <c r="P447" s="207"/>
      <c r="Q447" s="207"/>
      <c r="R447" s="207"/>
      <c r="S447" s="207"/>
      <c r="T447" s="207"/>
      <c r="U447" s="16"/>
      <c r="V447" s="805"/>
      <c r="W447" s="807"/>
      <c r="X447" s="208"/>
      <c r="Y447" s="44"/>
      <c r="Z447" s="44"/>
      <c r="AA447" s="1030" t="s">
        <v>1331</v>
      </c>
      <c r="AB447" s="999" t="s">
        <v>500</v>
      </c>
      <c r="AC447" s="999" t="s">
        <v>1349</v>
      </c>
      <c r="AD447" s="1175"/>
      <c r="AE447" s="1030" t="s">
        <v>1331</v>
      </c>
      <c r="AF447" s="999" t="s">
        <v>500</v>
      </c>
      <c r="AG447" s="1000">
        <v>24</v>
      </c>
      <c r="AH447" s="575">
        <v>3870</v>
      </c>
      <c r="AI447" s="795">
        <f t="shared" si="89"/>
        <v>92880</v>
      </c>
    </row>
    <row r="448" spans="1:35" s="45" customFormat="1">
      <c r="A448" s="185"/>
      <c r="B448" s="999" t="s">
        <v>1348</v>
      </c>
      <c r="C448" s="1030" t="s">
        <v>1329</v>
      </c>
      <c r="D448" s="999" t="s">
        <v>22</v>
      </c>
      <c r="E448" s="1000">
        <v>1</v>
      </c>
      <c r="F448" s="575">
        <v>3370</v>
      </c>
      <c r="G448" s="795">
        <f t="shared" si="90"/>
        <v>3370</v>
      </c>
      <c r="H448" s="208"/>
      <c r="I448" s="899"/>
      <c r="J448" s="208"/>
      <c r="K448" s="208"/>
      <c r="L448" s="208"/>
      <c r="M448" s="900"/>
      <c r="N448" s="901"/>
      <c r="O448" s="207"/>
      <c r="P448" s="207"/>
      <c r="Q448" s="207"/>
      <c r="R448" s="207"/>
      <c r="S448" s="207"/>
      <c r="T448" s="207"/>
      <c r="U448" s="16"/>
      <c r="V448" s="805"/>
      <c r="W448" s="807"/>
      <c r="X448" s="208"/>
      <c r="Y448" s="44"/>
      <c r="Z448" s="44"/>
      <c r="AA448" s="1030" t="s">
        <v>1330</v>
      </c>
      <c r="AB448" s="999" t="s">
        <v>500</v>
      </c>
      <c r="AC448" s="999" t="s">
        <v>1350</v>
      </c>
      <c r="AD448" s="1175"/>
      <c r="AE448" s="1030" t="s">
        <v>1330</v>
      </c>
      <c r="AF448" s="999" t="s">
        <v>500</v>
      </c>
      <c r="AG448" s="1000">
        <v>7</v>
      </c>
      <c r="AH448" s="575">
        <v>4740</v>
      </c>
      <c r="AI448" s="795">
        <f t="shared" si="89"/>
        <v>33180</v>
      </c>
    </row>
    <row r="449" spans="1:35" s="45" customFormat="1">
      <c r="A449" s="185"/>
      <c r="B449" s="999" t="s">
        <v>1349</v>
      </c>
      <c r="C449" s="1030" t="s">
        <v>1331</v>
      </c>
      <c r="D449" s="999" t="s">
        <v>500</v>
      </c>
      <c r="E449" s="1000">
        <v>24</v>
      </c>
      <c r="F449" s="575">
        <v>3870</v>
      </c>
      <c r="G449" s="795">
        <f t="shared" si="90"/>
        <v>92880</v>
      </c>
      <c r="H449" s="208"/>
      <c r="I449" s="899"/>
      <c r="J449" s="208"/>
      <c r="K449" s="208"/>
      <c r="L449" s="208"/>
      <c r="M449" s="900"/>
      <c r="N449" s="901"/>
      <c r="O449" s="207"/>
      <c r="P449" s="207"/>
      <c r="Q449" s="207"/>
      <c r="R449" s="207"/>
      <c r="S449" s="207"/>
      <c r="T449" s="207"/>
      <c r="U449" s="16"/>
      <c r="V449" s="805"/>
      <c r="W449" s="807"/>
      <c r="X449" s="208"/>
      <c r="Y449" s="44"/>
      <c r="Z449" s="44"/>
      <c r="AA449" s="1030" t="s">
        <v>1333</v>
      </c>
      <c r="AB449" s="999" t="s">
        <v>22</v>
      </c>
      <c r="AC449" s="999" t="s">
        <v>1351</v>
      </c>
      <c r="AD449" s="1175"/>
      <c r="AE449" s="1030" t="s">
        <v>1333</v>
      </c>
      <c r="AF449" s="999" t="s">
        <v>22</v>
      </c>
      <c r="AG449" s="1000">
        <v>3</v>
      </c>
      <c r="AH449" s="575">
        <v>47640</v>
      </c>
      <c r="AI449" s="795">
        <f t="shared" si="89"/>
        <v>142920</v>
      </c>
    </row>
    <row r="450" spans="1:35" s="45" customFormat="1">
      <c r="A450" s="185"/>
      <c r="B450" s="999" t="s">
        <v>1350</v>
      </c>
      <c r="C450" s="1030" t="s">
        <v>1330</v>
      </c>
      <c r="D450" s="999" t="s">
        <v>500</v>
      </c>
      <c r="E450" s="1000">
        <v>7</v>
      </c>
      <c r="F450" s="575">
        <v>4740</v>
      </c>
      <c r="G450" s="795">
        <f t="shared" si="90"/>
        <v>33180</v>
      </c>
      <c r="H450" s="208"/>
      <c r="I450" s="899"/>
      <c r="J450" s="208"/>
      <c r="K450" s="208"/>
      <c r="L450" s="208"/>
      <c r="M450" s="900"/>
      <c r="N450" s="901"/>
      <c r="O450" s="207"/>
      <c r="P450" s="207"/>
      <c r="Q450" s="207"/>
      <c r="R450" s="207"/>
      <c r="S450" s="207"/>
      <c r="T450" s="207"/>
      <c r="U450" s="16"/>
      <c r="V450" s="805"/>
      <c r="W450" s="807"/>
      <c r="X450" s="208"/>
      <c r="Y450" s="44"/>
      <c r="Z450" s="44"/>
      <c r="AA450" s="1030" t="s">
        <v>1332</v>
      </c>
      <c r="AB450" s="999" t="s">
        <v>22</v>
      </c>
      <c r="AC450" s="999" t="s">
        <v>1352</v>
      </c>
      <c r="AD450" s="1175"/>
      <c r="AE450" s="1030" t="s">
        <v>1332</v>
      </c>
      <c r="AF450" s="999" t="s">
        <v>22</v>
      </c>
      <c r="AG450" s="1000">
        <v>3</v>
      </c>
      <c r="AH450" s="587">
        <v>33030</v>
      </c>
      <c r="AI450" s="795">
        <f t="shared" si="89"/>
        <v>99090</v>
      </c>
    </row>
    <row r="451" spans="1:35" s="45" customFormat="1">
      <c r="A451" s="185"/>
      <c r="B451" s="999" t="s">
        <v>1351</v>
      </c>
      <c r="C451" s="1030" t="s">
        <v>1333</v>
      </c>
      <c r="D451" s="999" t="s">
        <v>22</v>
      </c>
      <c r="E451" s="1000">
        <v>3</v>
      </c>
      <c r="F451" s="575">
        <v>47640</v>
      </c>
      <c r="G451" s="795">
        <f t="shared" si="90"/>
        <v>142920</v>
      </c>
      <c r="H451" s="208"/>
      <c r="I451" s="899"/>
      <c r="J451" s="208"/>
      <c r="K451" s="208"/>
      <c r="L451" s="208"/>
      <c r="M451" s="900"/>
      <c r="N451" s="901"/>
      <c r="O451" s="207"/>
      <c r="P451" s="207"/>
      <c r="Q451" s="207"/>
      <c r="R451" s="207"/>
      <c r="S451" s="207"/>
      <c r="T451" s="207"/>
      <c r="U451" s="16"/>
      <c r="V451" s="805"/>
      <c r="W451" s="807"/>
      <c r="X451" s="208"/>
      <c r="Y451" s="44"/>
      <c r="Z451" s="44"/>
      <c r="AA451" s="1030" t="s">
        <v>1334</v>
      </c>
      <c r="AB451" s="999" t="s">
        <v>22</v>
      </c>
      <c r="AC451" s="999" t="s">
        <v>1353</v>
      </c>
      <c r="AD451" s="1175"/>
      <c r="AE451" s="1030" t="s">
        <v>1334</v>
      </c>
      <c r="AF451" s="999" t="s">
        <v>22</v>
      </c>
      <c r="AG451" s="1000">
        <v>3</v>
      </c>
      <c r="AH451" s="575">
        <v>3250</v>
      </c>
      <c r="AI451" s="795">
        <f t="shared" si="89"/>
        <v>9750</v>
      </c>
    </row>
    <row r="452" spans="1:35" s="45" customFormat="1" ht="25.5">
      <c r="A452" s="185"/>
      <c r="B452" s="999" t="s">
        <v>1352</v>
      </c>
      <c r="C452" s="1030" t="s">
        <v>1332</v>
      </c>
      <c r="D452" s="999" t="s">
        <v>22</v>
      </c>
      <c r="E452" s="1000">
        <v>3</v>
      </c>
      <c r="F452" s="587">
        <v>33030</v>
      </c>
      <c r="G452" s="795">
        <f t="shared" si="90"/>
        <v>99090</v>
      </c>
      <c r="H452" s="208"/>
      <c r="I452" s="899"/>
      <c r="J452" s="208"/>
      <c r="K452" s="208"/>
      <c r="L452" s="208"/>
      <c r="M452" s="900"/>
      <c r="N452" s="901"/>
      <c r="O452" s="207"/>
      <c r="P452" s="207"/>
      <c r="Q452" s="207"/>
      <c r="R452" s="207"/>
      <c r="S452" s="207"/>
      <c r="T452" s="207"/>
      <c r="U452" s="16"/>
      <c r="V452" s="805"/>
      <c r="W452" s="807"/>
      <c r="X452" s="208"/>
      <c r="Y452" s="44"/>
      <c r="Z452" s="44"/>
      <c r="AA452" s="1103" t="s">
        <v>1335</v>
      </c>
      <c r="AB452" s="1104"/>
      <c r="AC452" s="1104">
        <v>13.2</v>
      </c>
      <c r="AD452" s="1176"/>
      <c r="AE452" s="1103" t="s">
        <v>1335</v>
      </c>
      <c r="AF452" s="1104"/>
      <c r="AG452" s="1105"/>
      <c r="AH452" s="1106"/>
      <c r="AI452" s="1127"/>
    </row>
    <row r="453" spans="1:35" s="45" customFormat="1" ht="25.5">
      <c r="A453" s="185"/>
      <c r="B453" s="999" t="s">
        <v>1353</v>
      </c>
      <c r="C453" s="1030" t="s">
        <v>1334</v>
      </c>
      <c r="D453" s="999" t="s">
        <v>22</v>
      </c>
      <c r="E453" s="1000">
        <v>3</v>
      </c>
      <c r="F453" s="575">
        <v>3250</v>
      </c>
      <c r="G453" s="795">
        <f t="shared" si="90"/>
        <v>9750</v>
      </c>
      <c r="H453" s="208"/>
      <c r="I453" s="899"/>
      <c r="J453" s="208"/>
      <c r="K453" s="208"/>
      <c r="L453" s="208"/>
      <c r="M453" s="900"/>
      <c r="N453" s="901"/>
      <c r="O453" s="207"/>
      <c r="P453" s="207"/>
      <c r="Q453" s="207"/>
      <c r="R453" s="207"/>
      <c r="S453" s="207"/>
      <c r="T453" s="207"/>
      <c r="U453" s="16"/>
      <c r="V453" s="805"/>
      <c r="W453" s="807"/>
      <c r="X453" s="208"/>
      <c r="Y453" s="44"/>
      <c r="Z453" s="44"/>
      <c r="AA453" s="593" t="s">
        <v>1336</v>
      </c>
      <c r="AB453" s="827" t="s">
        <v>1337</v>
      </c>
      <c r="AC453" s="827" t="s">
        <v>1354</v>
      </c>
      <c r="AD453" s="827"/>
      <c r="AE453" s="593" t="s">
        <v>1336</v>
      </c>
      <c r="AF453" s="827" t="s">
        <v>1337</v>
      </c>
      <c r="AG453" s="594">
        <v>1</v>
      </c>
      <c r="AH453" s="973">
        <v>38073</v>
      </c>
      <c r="AI453" s="795">
        <f>+AH453*AG453</f>
        <v>38073</v>
      </c>
    </row>
    <row r="454" spans="1:35" s="45" customFormat="1">
      <c r="A454" s="185"/>
      <c r="B454" s="937">
        <v>13.2</v>
      </c>
      <c r="C454" s="981" t="s">
        <v>1335</v>
      </c>
      <c r="D454" s="937"/>
      <c r="E454" s="982"/>
      <c r="F454" s="983"/>
      <c r="G454" s="984"/>
      <c r="H454" s="208"/>
      <c r="I454" s="899"/>
      <c r="J454" s="208"/>
      <c r="K454" s="208"/>
      <c r="L454" s="208"/>
      <c r="M454" s="900"/>
      <c r="N454" s="901"/>
      <c r="O454" s="207"/>
      <c r="P454" s="207"/>
      <c r="Q454" s="207"/>
      <c r="R454" s="207"/>
      <c r="S454" s="207"/>
      <c r="T454" s="207"/>
      <c r="U454" s="16"/>
      <c r="V454" s="805"/>
      <c r="W454" s="807"/>
      <c r="X454" s="208"/>
      <c r="Y454" s="44"/>
      <c r="Z454" s="44"/>
      <c r="AA454" s="593" t="s">
        <v>1339</v>
      </c>
      <c r="AB454" s="827" t="s">
        <v>1337</v>
      </c>
      <c r="AC454" s="827" t="s">
        <v>1355</v>
      </c>
      <c r="AD454" s="827"/>
      <c r="AE454" s="593" t="s">
        <v>1339</v>
      </c>
      <c r="AF454" s="827" t="s">
        <v>1337</v>
      </c>
      <c r="AG454" s="594">
        <v>2</v>
      </c>
      <c r="AH454" s="973">
        <v>119840</v>
      </c>
      <c r="AI454" s="795">
        <f>+AH454*AG454</f>
        <v>239680</v>
      </c>
    </row>
    <row r="455" spans="1:35" s="45" customFormat="1">
      <c r="A455" s="185"/>
      <c r="B455" s="827" t="s">
        <v>1354</v>
      </c>
      <c r="C455" s="593" t="s">
        <v>1336</v>
      </c>
      <c r="D455" s="827" t="s">
        <v>1337</v>
      </c>
      <c r="E455" s="594">
        <v>1</v>
      </c>
      <c r="F455" s="973">
        <v>38073</v>
      </c>
      <c r="G455" s="795">
        <f>+F455*E455</f>
        <v>38073</v>
      </c>
      <c r="H455" s="208"/>
      <c r="I455" s="899"/>
      <c r="J455" s="208"/>
      <c r="K455" s="208"/>
      <c r="L455" s="208"/>
      <c r="M455" s="900"/>
      <c r="N455" s="901"/>
      <c r="O455" s="207"/>
      <c r="P455" s="207"/>
      <c r="Q455" s="207"/>
      <c r="R455" s="207"/>
      <c r="S455" s="207"/>
      <c r="T455" s="207"/>
      <c r="U455" s="16"/>
      <c r="V455" s="805"/>
      <c r="W455" s="807"/>
      <c r="X455" s="208"/>
      <c r="Y455" s="44"/>
      <c r="Z455" s="44"/>
      <c r="AA455" s="593" t="s">
        <v>1340</v>
      </c>
      <c r="AB455" s="827" t="s">
        <v>1337</v>
      </c>
      <c r="AC455" s="827" t="s">
        <v>1356</v>
      </c>
      <c r="AD455" s="827"/>
      <c r="AE455" s="593" t="s">
        <v>1340</v>
      </c>
      <c r="AF455" s="827" t="s">
        <v>1337</v>
      </c>
      <c r="AG455" s="594">
        <v>5</v>
      </c>
      <c r="AH455" s="973">
        <v>34234</v>
      </c>
      <c r="AI455" s="795">
        <f>+AH455*AG455</f>
        <v>171170</v>
      </c>
    </row>
    <row r="456" spans="1:35" s="45" customFormat="1">
      <c r="A456" s="185"/>
      <c r="B456" s="827" t="s">
        <v>1355</v>
      </c>
      <c r="C456" s="593" t="s">
        <v>1339</v>
      </c>
      <c r="D456" s="827" t="s">
        <v>1337</v>
      </c>
      <c r="E456" s="594">
        <v>2</v>
      </c>
      <c r="F456" s="973">
        <v>119840</v>
      </c>
      <c r="G456" s="795">
        <f>+F456*E456</f>
        <v>239680</v>
      </c>
      <c r="H456" s="208"/>
      <c r="I456" s="899"/>
      <c r="J456" s="208"/>
      <c r="K456" s="208"/>
      <c r="L456" s="208"/>
      <c r="M456" s="900"/>
      <c r="N456" s="901"/>
      <c r="O456" s="207"/>
      <c r="P456" s="207"/>
      <c r="Q456" s="207"/>
      <c r="R456" s="207"/>
      <c r="S456" s="207"/>
      <c r="T456" s="207"/>
      <c r="U456" s="16"/>
      <c r="V456" s="805"/>
      <c r="W456" s="807"/>
      <c r="X456" s="208"/>
      <c r="Y456" s="44"/>
      <c r="Z456" s="44"/>
      <c r="AA456" s="593" t="s">
        <v>1341</v>
      </c>
      <c r="AB456" s="827" t="s">
        <v>1337</v>
      </c>
      <c r="AC456" s="827" t="s">
        <v>1357</v>
      </c>
      <c r="AD456" s="827"/>
      <c r="AE456" s="593" t="s">
        <v>1341</v>
      </c>
      <c r="AF456" s="827" t="s">
        <v>1337</v>
      </c>
      <c r="AG456" s="594">
        <v>3</v>
      </c>
      <c r="AH456" s="575">
        <v>158604</v>
      </c>
      <c r="AI456" s="795">
        <f>+AH456*AG456</f>
        <v>475812</v>
      </c>
    </row>
    <row r="457" spans="1:35" s="45" customFormat="1" ht="25.5">
      <c r="A457" s="185"/>
      <c r="B457" s="827" t="s">
        <v>1356</v>
      </c>
      <c r="C457" s="593" t="s">
        <v>1340</v>
      </c>
      <c r="D457" s="827" t="s">
        <v>1337</v>
      </c>
      <c r="E457" s="594">
        <v>5</v>
      </c>
      <c r="F457" s="973">
        <v>34234</v>
      </c>
      <c r="G457" s="795">
        <f>+F457*E457</f>
        <v>171170</v>
      </c>
      <c r="H457" s="208"/>
      <c r="I457" s="899"/>
      <c r="J457" s="208"/>
      <c r="K457" s="208"/>
      <c r="L457" s="208"/>
      <c r="M457" s="900"/>
      <c r="N457" s="901"/>
      <c r="O457" s="207"/>
      <c r="P457" s="207"/>
      <c r="Q457" s="207"/>
      <c r="R457" s="207"/>
      <c r="S457" s="207"/>
      <c r="T457" s="207"/>
      <c r="U457" s="16"/>
      <c r="V457" s="805"/>
      <c r="W457" s="807"/>
      <c r="X457" s="208"/>
      <c r="Y457" s="44"/>
      <c r="Z457" s="44"/>
      <c r="AA457" s="887" t="s">
        <v>1338</v>
      </c>
      <c r="AB457" s="827" t="s">
        <v>22</v>
      </c>
      <c r="AC457" s="827" t="s">
        <v>1358</v>
      </c>
      <c r="AD457" s="1171"/>
      <c r="AE457" s="887" t="s">
        <v>1338</v>
      </c>
      <c r="AF457" s="827" t="s">
        <v>22</v>
      </c>
      <c r="AG457" s="594">
        <v>1</v>
      </c>
      <c r="AH457" s="575">
        <v>208740</v>
      </c>
      <c r="AI457" s="795">
        <f>+AH457*AG457</f>
        <v>208740</v>
      </c>
    </row>
    <row r="458" spans="1:35" s="45" customFormat="1" ht="25.5">
      <c r="A458" s="185"/>
      <c r="B458" s="827" t="s">
        <v>1357</v>
      </c>
      <c r="C458" s="593" t="s">
        <v>1341</v>
      </c>
      <c r="D458" s="827" t="s">
        <v>1337</v>
      </c>
      <c r="E458" s="594">
        <v>3</v>
      </c>
      <c r="F458" s="575">
        <v>158604</v>
      </c>
      <c r="G458" s="795">
        <f>+F458*E458</f>
        <v>475812</v>
      </c>
      <c r="H458" s="208"/>
      <c r="I458" s="899"/>
      <c r="J458" s="208"/>
      <c r="K458" s="208"/>
      <c r="L458" s="208"/>
      <c r="M458" s="900"/>
      <c r="N458" s="901"/>
      <c r="O458" s="207"/>
      <c r="P458" s="207"/>
      <c r="Q458" s="207"/>
      <c r="R458" s="207"/>
      <c r="S458" s="207"/>
      <c r="T458" s="207"/>
      <c r="U458" s="16"/>
      <c r="V458" s="805"/>
      <c r="W458" s="807"/>
      <c r="X458" s="208"/>
      <c r="Y458" s="44"/>
      <c r="Z458" s="44"/>
      <c r="AA458" s="1103" t="s">
        <v>1342</v>
      </c>
      <c r="AB458" s="1104"/>
      <c r="AC458" s="1104">
        <v>13.3</v>
      </c>
      <c r="AD458" s="1176"/>
      <c r="AE458" s="1103" t="s">
        <v>1342</v>
      </c>
      <c r="AF458" s="1104"/>
      <c r="AG458" s="1105"/>
      <c r="AH458" s="1106"/>
      <c r="AI458" s="1127"/>
    </row>
    <row r="459" spans="1:35" s="45" customFormat="1" ht="38.25">
      <c r="A459" s="185"/>
      <c r="B459" s="827" t="s">
        <v>1358</v>
      </c>
      <c r="C459" s="887" t="s">
        <v>1338</v>
      </c>
      <c r="D459" s="827" t="s">
        <v>22</v>
      </c>
      <c r="E459" s="594">
        <v>1</v>
      </c>
      <c r="F459" s="575">
        <v>208740</v>
      </c>
      <c r="G459" s="795">
        <f>+F459*E459</f>
        <v>208740</v>
      </c>
      <c r="H459" s="208"/>
      <c r="I459" s="899"/>
      <c r="J459" s="208"/>
      <c r="K459" s="208"/>
      <c r="L459" s="208"/>
      <c r="M459" s="900"/>
      <c r="N459" s="901"/>
      <c r="O459" s="207"/>
      <c r="P459" s="207"/>
      <c r="Q459" s="207"/>
      <c r="R459" s="207"/>
      <c r="S459" s="207"/>
      <c r="T459" s="207"/>
      <c r="U459" s="16"/>
      <c r="V459" s="805"/>
      <c r="W459" s="807"/>
      <c r="X459" s="208"/>
      <c r="Y459" s="44"/>
      <c r="Z459" s="44"/>
      <c r="AA459" s="887" t="s">
        <v>1359</v>
      </c>
      <c r="AB459" s="827" t="s">
        <v>22</v>
      </c>
      <c r="AC459" s="827" t="s">
        <v>1361</v>
      </c>
      <c r="AD459" s="1171"/>
      <c r="AE459" s="887" t="s">
        <v>1359</v>
      </c>
      <c r="AF459" s="827" t="s">
        <v>22</v>
      </c>
      <c r="AG459" s="594">
        <v>3</v>
      </c>
      <c r="AH459" s="575">
        <v>29260</v>
      </c>
      <c r="AI459" s="795">
        <f>+AH459*AG459</f>
        <v>87780</v>
      </c>
    </row>
    <row r="460" spans="1:35" s="45" customFormat="1" ht="38.25">
      <c r="A460" s="185"/>
      <c r="B460" s="937">
        <v>13.3</v>
      </c>
      <c r="C460" s="981" t="s">
        <v>1342</v>
      </c>
      <c r="D460" s="937"/>
      <c r="E460" s="982"/>
      <c r="F460" s="983"/>
      <c r="G460" s="984"/>
      <c r="H460" s="208"/>
      <c r="I460" s="899"/>
      <c r="J460" s="208"/>
      <c r="K460" s="208"/>
      <c r="L460" s="208"/>
      <c r="M460" s="900"/>
      <c r="N460" s="901"/>
      <c r="O460" s="207"/>
      <c r="P460" s="207"/>
      <c r="Q460" s="207"/>
      <c r="R460" s="207"/>
      <c r="S460" s="207"/>
      <c r="T460" s="207"/>
      <c r="U460" s="16"/>
      <c r="V460" s="805"/>
      <c r="W460" s="807"/>
      <c r="X460" s="208"/>
      <c r="Y460" s="44"/>
      <c r="Z460" s="44"/>
      <c r="AA460" s="887" t="s">
        <v>1360</v>
      </c>
      <c r="AB460" s="827" t="s">
        <v>22</v>
      </c>
      <c r="AC460" s="827" t="s">
        <v>1373</v>
      </c>
      <c r="AD460" s="1171"/>
      <c r="AE460" s="887" t="s">
        <v>1360</v>
      </c>
      <c r="AF460" s="827" t="s">
        <v>22</v>
      </c>
      <c r="AG460" s="594">
        <v>3</v>
      </c>
      <c r="AH460" s="575">
        <v>33161</v>
      </c>
      <c r="AI460" s="795">
        <f>+AH460*AG460</f>
        <v>99483</v>
      </c>
    </row>
    <row r="461" spans="1:35" s="45" customFormat="1" ht="38.25">
      <c r="A461" s="185"/>
      <c r="B461" s="827" t="s">
        <v>1361</v>
      </c>
      <c r="C461" s="887" t="s">
        <v>1359</v>
      </c>
      <c r="D461" s="827" t="s">
        <v>22</v>
      </c>
      <c r="E461" s="594">
        <v>3</v>
      </c>
      <c r="F461" s="575">
        <v>29260</v>
      </c>
      <c r="G461" s="795">
        <f>+F461*E461</f>
        <v>87780</v>
      </c>
      <c r="H461" s="208"/>
      <c r="I461" s="899"/>
      <c r="J461" s="208"/>
      <c r="K461" s="208"/>
      <c r="L461" s="208"/>
      <c r="M461" s="900"/>
      <c r="N461" s="901"/>
      <c r="O461" s="207"/>
      <c r="P461" s="207"/>
      <c r="Q461" s="207"/>
      <c r="R461" s="207"/>
      <c r="S461" s="207"/>
      <c r="T461" s="207"/>
      <c r="U461" s="16"/>
      <c r="V461" s="805"/>
      <c r="W461" s="807"/>
      <c r="X461" s="208"/>
      <c r="Y461" s="44"/>
      <c r="Z461" s="44"/>
      <c r="AA461" s="887" t="s">
        <v>1362</v>
      </c>
      <c r="AB461" s="827" t="s">
        <v>22</v>
      </c>
      <c r="AC461" s="827" t="s">
        <v>1374</v>
      </c>
      <c r="AD461" s="1171"/>
      <c r="AE461" s="887" t="s">
        <v>1362</v>
      </c>
      <c r="AF461" s="827" t="s">
        <v>22</v>
      </c>
      <c r="AG461" s="594">
        <v>3</v>
      </c>
      <c r="AH461" s="575">
        <v>66930</v>
      </c>
      <c r="AI461" s="795">
        <f>+AH461*AG461</f>
        <v>200790</v>
      </c>
    </row>
    <row r="462" spans="1:35" s="45" customFormat="1" ht="25.5">
      <c r="A462" s="185"/>
      <c r="B462" s="827" t="s">
        <v>1373</v>
      </c>
      <c r="C462" s="887" t="s">
        <v>1360</v>
      </c>
      <c r="D462" s="827" t="s">
        <v>22</v>
      </c>
      <c r="E462" s="594">
        <v>3</v>
      </c>
      <c r="F462" s="575">
        <v>33161</v>
      </c>
      <c r="G462" s="795">
        <f>+F462*E462</f>
        <v>99483</v>
      </c>
      <c r="H462" s="208"/>
      <c r="I462" s="899"/>
      <c r="J462" s="208"/>
      <c r="K462" s="208"/>
      <c r="L462" s="208"/>
      <c r="M462" s="900"/>
      <c r="N462" s="901"/>
      <c r="O462" s="207"/>
      <c r="P462" s="207"/>
      <c r="Q462" s="207"/>
      <c r="R462" s="207"/>
      <c r="S462" s="207"/>
      <c r="T462" s="207"/>
      <c r="U462" s="16"/>
      <c r="V462" s="805"/>
      <c r="W462" s="807"/>
      <c r="X462" s="208"/>
      <c r="Y462" s="44"/>
      <c r="Z462" s="44"/>
      <c r="AA462" s="1107" t="s">
        <v>1363</v>
      </c>
      <c r="AB462" s="1104"/>
      <c r="AC462" s="1104">
        <v>13.4</v>
      </c>
      <c r="AD462" s="1176"/>
      <c r="AE462" s="1107" t="s">
        <v>1363</v>
      </c>
      <c r="AF462" s="1104"/>
      <c r="AG462" s="1105"/>
      <c r="AH462" s="1106"/>
      <c r="AI462" s="1127"/>
    </row>
    <row r="463" spans="1:35" s="45" customFormat="1">
      <c r="A463" s="185"/>
      <c r="B463" s="827" t="s">
        <v>1374</v>
      </c>
      <c r="C463" s="887" t="s">
        <v>1362</v>
      </c>
      <c r="D463" s="827" t="s">
        <v>22</v>
      </c>
      <c r="E463" s="594">
        <v>3</v>
      </c>
      <c r="F463" s="575">
        <v>66930</v>
      </c>
      <c r="G463" s="795">
        <f>+F463*E463</f>
        <v>200790</v>
      </c>
      <c r="H463" s="208"/>
      <c r="I463" s="899"/>
      <c r="J463" s="208"/>
      <c r="K463" s="208"/>
      <c r="L463" s="208"/>
      <c r="M463" s="900"/>
      <c r="N463" s="901"/>
      <c r="O463" s="207"/>
      <c r="P463" s="207"/>
      <c r="Q463" s="207"/>
      <c r="R463" s="207"/>
      <c r="S463" s="207"/>
      <c r="T463" s="207"/>
      <c r="U463" s="16"/>
      <c r="V463" s="805"/>
      <c r="W463" s="807"/>
      <c r="X463" s="208"/>
      <c r="Y463" s="44"/>
      <c r="Z463" s="44"/>
      <c r="AA463" s="102" t="s">
        <v>1364</v>
      </c>
      <c r="AB463" s="104" t="s">
        <v>500</v>
      </c>
      <c r="AC463" s="827" t="s">
        <v>1375</v>
      </c>
      <c r="AD463" s="104"/>
      <c r="AE463" s="102" t="s">
        <v>1364</v>
      </c>
      <c r="AF463" s="104" t="s">
        <v>500</v>
      </c>
      <c r="AG463" s="103">
        <v>5</v>
      </c>
      <c r="AH463" s="575">
        <v>21516</v>
      </c>
      <c r="AI463" s="795">
        <f>+AH463*AG463</f>
        <v>107580</v>
      </c>
    </row>
    <row r="464" spans="1:35" s="45" customFormat="1">
      <c r="A464" s="185"/>
      <c r="B464" s="937">
        <v>13.4</v>
      </c>
      <c r="C464" s="985" t="s">
        <v>1363</v>
      </c>
      <c r="D464" s="937"/>
      <c r="E464" s="982"/>
      <c r="F464" s="983"/>
      <c r="G464" s="984"/>
      <c r="H464" s="208"/>
      <c r="I464" s="899"/>
      <c r="J464" s="208"/>
      <c r="K464" s="208"/>
      <c r="L464" s="208"/>
      <c r="M464" s="900"/>
      <c r="N464" s="901"/>
      <c r="O464" s="207"/>
      <c r="P464" s="207"/>
      <c r="Q464" s="207"/>
      <c r="R464" s="207"/>
      <c r="S464" s="207"/>
      <c r="T464" s="207"/>
      <c r="U464" s="16"/>
      <c r="V464" s="805"/>
      <c r="W464" s="807"/>
      <c r="X464" s="208"/>
      <c r="Y464" s="44"/>
      <c r="Z464" s="44"/>
      <c r="AA464" s="102" t="s">
        <v>1365</v>
      </c>
      <c r="AB464" s="104" t="s">
        <v>500</v>
      </c>
      <c r="AC464" s="827" t="s">
        <v>1376</v>
      </c>
      <c r="AD464" s="104"/>
      <c r="AE464" s="102" t="s">
        <v>1365</v>
      </c>
      <c r="AF464" s="104" t="s">
        <v>500</v>
      </c>
      <c r="AG464" s="103">
        <v>5</v>
      </c>
      <c r="AH464" s="575">
        <v>20557</v>
      </c>
      <c r="AI464" s="795">
        <f>+AH464*AG464</f>
        <v>102785</v>
      </c>
    </row>
    <row r="465" spans="1:35" s="45" customFormat="1" ht="15.75" thickBot="1">
      <c r="A465" s="185"/>
      <c r="B465" s="827" t="s">
        <v>1375</v>
      </c>
      <c r="C465" s="102" t="s">
        <v>1364</v>
      </c>
      <c r="D465" s="104" t="s">
        <v>500</v>
      </c>
      <c r="E465" s="103">
        <v>5</v>
      </c>
      <c r="F465" s="575">
        <v>21516</v>
      </c>
      <c r="G465" s="795">
        <f>+F465*E465</f>
        <v>107580</v>
      </c>
      <c r="H465" s="208"/>
      <c r="I465" s="899"/>
      <c r="J465" s="208"/>
      <c r="K465" s="208"/>
      <c r="L465" s="208"/>
      <c r="M465" s="900"/>
      <c r="N465" s="901"/>
      <c r="O465" s="207"/>
      <c r="P465" s="207"/>
      <c r="Q465" s="207"/>
      <c r="R465" s="207"/>
      <c r="S465" s="207"/>
      <c r="T465" s="207"/>
      <c r="U465" s="16"/>
      <c r="V465" s="805"/>
      <c r="W465" s="807"/>
      <c r="X465" s="208"/>
      <c r="Y465" s="44"/>
      <c r="Z465" s="44"/>
      <c r="AA465" s="102" t="s">
        <v>1366</v>
      </c>
      <c r="AB465" s="104" t="s">
        <v>500</v>
      </c>
      <c r="AC465" s="827" t="s">
        <v>1377</v>
      </c>
      <c r="AD465" s="104"/>
      <c r="AE465" s="102" t="s">
        <v>1366</v>
      </c>
      <c r="AF465" s="104" t="s">
        <v>500</v>
      </c>
      <c r="AG465" s="103">
        <v>4</v>
      </c>
      <c r="AH465" s="575">
        <v>18028</v>
      </c>
      <c r="AI465" s="795">
        <f>+AH465*AG465</f>
        <v>72112</v>
      </c>
    </row>
    <row r="466" spans="1:35" s="45" customFormat="1">
      <c r="A466" s="185"/>
      <c r="B466" s="827" t="s">
        <v>1376</v>
      </c>
      <c r="C466" s="102" t="s">
        <v>1365</v>
      </c>
      <c r="D466" s="104" t="s">
        <v>500</v>
      </c>
      <c r="E466" s="103">
        <v>5</v>
      </c>
      <c r="F466" s="575">
        <v>20557</v>
      </c>
      <c r="G466" s="795">
        <f>+F466*E466</f>
        <v>102785</v>
      </c>
      <c r="H466" s="208"/>
      <c r="I466" s="899"/>
      <c r="J466" s="208"/>
      <c r="K466" s="208"/>
      <c r="L466" s="208"/>
      <c r="M466" s="900"/>
      <c r="N466" s="901"/>
      <c r="O466" s="207"/>
      <c r="P466" s="207"/>
      <c r="Q466" s="207"/>
      <c r="R466" s="207"/>
      <c r="S466" s="207"/>
      <c r="T466" s="207"/>
      <c r="U466" s="16"/>
      <c r="V466" s="805"/>
      <c r="W466" s="807"/>
      <c r="X466" s="208"/>
      <c r="Y466" s="44"/>
      <c r="Z466" s="44"/>
      <c r="AA466" s="1060" t="s">
        <v>1367</v>
      </c>
      <c r="AB466" s="1061"/>
      <c r="AC466" s="1104">
        <v>13.5</v>
      </c>
      <c r="AD466" s="1172"/>
      <c r="AE466" s="1060" t="s">
        <v>1367</v>
      </c>
      <c r="AF466" s="1061"/>
      <c r="AG466" s="1061"/>
      <c r="AH466" s="1061"/>
      <c r="AI466" s="1113"/>
    </row>
    <row r="467" spans="1:35" s="45" customFormat="1" ht="15.75" thickBot="1">
      <c r="A467" s="185"/>
      <c r="B467" s="827" t="s">
        <v>1377</v>
      </c>
      <c r="C467" s="102" t="s">
        <v>1366</v>
      </c>
      <c r="D467" s="104" t="s">
        <v>500</v>
      </c>
      <c r="E467" s="103">
        <v>4</v>
      </c>
      <c r="F467" s="575">
        <v>18028</v>
      </c>
      <c r="G467" s="795">
        <f>+F467*E467</f>
        <v>72112</v>
      </c>
      <c r="H467" s="208"/>
      <c r="I467" s="899"/>
      <c r="J467" s="208"/>
      <c r="K467" s="208"/>
      <c r="L467" s="208"/>
      <c r="M467" s="900"/>
      <c r="N467" s="901"/>
      <c r="O467" s="207"/>
      <c r="P467" s="207"/>
      <c r="Q467" s="207"/>
      <c r="R467" s="207"/>
      <c r="S467" s="207"/>
      <c r="T467" s="207"/>
      <c r="U467" s="16"/>
      <c r="V467" s="805"/>
      <c r="W467" s="807"/>
      <c r="X467" s="208"/>
      <c r="Y467" s="44"/>
      <c r="Z467" s="44"/>
      <c r="AA467" s="593" t="s">
        <v>1364</v>
      </c>
      <c r="AB467" s="827" t="s">
        <v>1337</v>
      </c>
      <c r="AC467" s="827" t="s">
        <v>1378</v>
      </c>
      <c r="AD467" s="827"/>
      <c r="AE467" s="593" t="s">
        <v>1364</v>
      </c>
      <c r="AF467" s="827" t="s">
        <v>1337</v>
      </c>
      <c r="AG467" s="594">
        <v>2</v>
      </c>
      <c r="AH467" s="575">
        <v>8658</v>
      </c>
      <c r="AI467" s="795">
        <f>+AH467*AG467</f>
        <v>17316</v>
      </c>
    </row>
    <row r="468" spans="1:35" s="45" customFormat="1">
      <c r="A468" s="185"/>
      <c r="B468" s="937">
        <v>13.5</v>
      </c>
      <c r="C468" s="978" t="s">
        <v>1367</v>
      </c>
      <c r="D468" s="979"/>
      <c r="E468" s="979"/>
      <c r="F468" s="979"/>
      <c r="G468" s="980"/>
      <c r="H468" s="208"/>
      <c r="I468" s="899"/>
      <c r="J468" s="208"/>
      <c r="K468" s="208"/>
      <c r="L468" s="208"/>
      <c r="M468" s="900"/>
      <c r="N468" s="901"/>
      <c r="O468" s="207"/>
      <c r="P468" s="207"/>
      <c r="Q468" s="207"/>
      <c r="R468" s="207"/>
      <c r="S468" s="207"/>
      <c r="T468" s="207"/>
      <c r="U468" s="16"/>
      <c r="V468" s="805"/>
      <c r="W468" s="807"/>
      <c r="X468" s="208"/>
      <c r="Y468" s="44"/>
      <c r="Z468" s="44"/>
      <c r="AA468" s="593" t="s">
        <v>1365</v>
      </c>
      <c r="AB468" s="827" t="s">
        <v>1337</v>
      </c>
      <c r="AC468" s="827" t="s">
        <v>1379</v>
      </c>
      <c r="AD468" s="827"/>
      <c r="AE468" s="593" t="s">
        <v>1365</v>
      </c>
      <c r="AF468" s="827" t="s">
        <v>1337</v>
      </c>
      <c r="AG468" s="594">
        <v>6</v>
      </c>
      <c r="AH468" s="575">
        <v>5510</v>
      </c>
      <c r="AI468" s="795">
        <f>+AH468*AG468</f>
        <v>33060</v>
      </c>
    </row>
    <row r="469" spans="1:35" s="45" customFormat="1" ht="15.75" thickBot="1">
      <c r="A469" s="185"/>
      <c r="B469" s="827" t="s">
        <v>1378</v>
      </c>
      <c r="C469" s="593" t="s">
        <v>1364</v>
      </c>
      <c r="D469" s="827" t="s">
        <v>1337</v>
      </c>
      <c r="E469" s="594">
        <v>2</v>
      </c>
      <c r="F469" s="575">
        <v>8658</v>
      </c>
      <c r="G469" s="795">
        <f>+F469*E469</f>
        <v>17316</v>
      </c>
      <c r="H469" s="208"/>
      <c r="I469" s="899"/>
      <c r="J469" s="208"/>
      <c r="K469" s="208"/>
      <c r="L469" s="208"/>
      <c r="M469" s="900"/>
      <c r="N469" s="901"/>
      <c r="O469" s="207"/>
      <c r="P469" s="207"/>
      <c r="Q469" s="207"/>
      <c r="R469" s="207"/>
      <c r="S469" s="207"/>
      <c r="T469" s="207"/>
      <c r="U469" s="16"/>
      <c r="V469" s="805"/>
      <c r="W469" s="807"/>
      <c r="X469" s="208"/>
      <c r="Y469" s="44"/>
      <c r="Z469" s="44"/>
      <c r="AA469" s="593" t="s">
        <v>1366</v>
      </c>
      <c r="AB469" s="827" t="s">
        <v>1337</v>
      </c>
      <c r="AC469" s="827" t="s">
        <v>1380</v>
      </c>
      <c r="AD469" s="827"/>
      <c r="AE469" s="593" t="s">
        <v>1366</v>
      </c>
      <c r="AF469" s="827" t="s">
        <v>1337</v>
      </c>
      <c r="AG469" s="594">
        <v>2</v>
      </c>
      <c r="AH469" s="575">
        <v>2169</v>
      </c>
      <c r="AI469" s="795">
        <f>+AH469*AG469</f>
        <v>4338</v>
      </c>
    </row>
    <row r="470" spans="1:35" s="45" customFormat="1">
      <c r="A470" s="185"/>
      <c r="B470" s="827" t="s">
        <v>1379</v>
      </c>
      <c r="C470" s="593" t="s">
        <v>1365</v>
      </c>
      <c r="D470" s="827" t="s">
        <v>1337</v>
      </c>
      <c r="E470" s="594">
        <v>6</v>
      </c>
      <c r="F470" s="575">
        <v>5510</v>
      </c>
      <c r="G470" s="795">
        <f>+F470*E470</f>
        <v>33060</v>
      </c>
      <c r="H470" s="208"/>
      <c r="I470" s="899"/>
      <c r="J470" s="208"/>
      <c r="K470" s="208"/>
      <c r="L470" s="208"/>
      <c r="M470" s="900"/>
      <c r="N470" s="901"/>
      <c r="O470" s="207"/>
      <c r="P470" s="207"/>
      <c r="Q470" s="207"/>
      <c r="R470" s="207"/>
      <c r="S470" s="207"/>
      <c r="T470" s="207"/>
      <c r="U470" s="16"/>
      <c r="V470" s="805"/>
      <c r="W470" s="807"/>
      <c r="X470" s="208"/>
      <c r="Y470" s="44"/>
      <c r="Z470" s="44"/>
      <c r="AA470" s="1060" t="s">
        <v>1368</v>
      </c>
      <c r="AB470" s="1061"/>
      <c r="AC470" s="1128">
        <v>13.6</v>
      </c>
      <c r="AD470" s="1177"/>
      <c r="AE470" s="1060" t="s">
        <v>1368</v>
      </c>
      <c r="AF470" s="1061"/>
      <c r="AG470" s="1061"/>
      <c r="AH470" s="1061"/>
      <c r="AI470" s="1129"/>
    </row>
    <row r="471" spans="1:35" s="45" customFormat="1" ht="15.75" thickBot="1">
      <c r="A471" s="185"/>
      <c r="B471" s="827" t="s">
        <v>1380</v>
      </c>
      <c r="C471" s="593" t="s">
        <v>1366</v>
      </c>
      <c r="D471" s="827" t="s">
        <v>1337</v>
      </c>
      <c r="E471" s="594">
        <v>2</v>
      </c>
      <c r="F471" s="575">
        <v>2169</v>
      </c>
      <c r="G471" s="795">
        <f>+F471*E471</f>
        <v>4338</v>
      </c>
      <c r="H471" s="208"/>
      <c r="I471" s="899"/>
      <c r="J471" s="208"/>
      <c r="K471" s="208"/>
      <c r="L471" s="208"/>
      <c r="M471" s="900"/>
      <c r="N471" s="901"/>
      <c r="O471" s="207"/>
      <c r="P471" s="207"/>
      <c r="Q471" s="207"/>
      <c r="R471" s="207"/>
      <c r="S471" s="207"/>
      <c r="T471" s="207"/>
      <c r="U471" s="16"/>
      <c r="V471" s="805"/>
      <c r="W471" s="807"/>
      <c r="X471" s="208"/>
      <c r="Y471" s="44"/>
      <c r="Z471" s="44"/>
      <c r="AA471" s="593" t="s">
        <v>1365</v>
      </c>
      <c r="AB471" s="827" t="s">
        <v>1337</v>
      </c>
      <c r="AC471" s="592" t="s">
        <v>1381</v>
      </c>
      <c r="AD471" s="1159"/>
      <c r="AE471" s="593" t="s">
        <v>1365</v>
      </c>
      <c r="AF471" s="827" t="s">
        <v>1337</v>
      </c>
      <c r="AG471" s="594">
        <v>3</v>
      </c>
      <c r="AH471" s="575">
        <v>6465</v>
      </c>
      <c r="AI471" s="795">
        <f>+AH471*AG471</f>
        <v>19395</v>
      </c>
    </row>
    <row r="472" spans="1:35" s="45" customFormat="1" ht="15.75" thickBot="1">
      <c r="A472" s="185"/>
      <c r="B472" s="991">
        <v>13.6</v>
      </c>
      <c r="C472" s="978" t="s">
        <v>1368</v>
      </c>
      <c r="D472" s="979"/>
      <c r="E472" s="979"/>
      <c r="F472" s="979"/>
      <c r="G472" s="1002"/>
      <c r="H472" s="208"/>
      <c r="I472" s="899"/>
      <c r="J472" s="208"/>
      <c r="K472" s="208"/>
      <c r="L472" s="208"/>
      <c r="M472" s="900"/>
      <c r="N472" s="901"/>
      <c r="O472" s="207"/>
      <c r="P472" s="207"/>
      <c r="Q472" s="207"/>
      <c r="R472" s="207"/>
      <c r="S472" s="207"/>
      <c r="T472" s="207"/>
      <c r="U472" s="16"/>
      <c r="V472" s="805"/>
      <c r="W472" s="807"/>
      <c r="X472" s="208"/>
      <c r="Y472" s="44"/>
      <c r="Z472" s="44"/>
      <c r="AA472" s="593" t="s">
        <v>1366</v>
      </c>
      <c r="AB472" s="827" t="s">
        <v>1337</v>
      </c>
      <c r="AC472" s="592" t="s">
        <v>1382</v>
      </c>
      <c r="AD472" s="1159"/>
      <c r="AE472" s="593" t="s">
        <v>1366</v>
      </c>
      <c r="AF472" s="827" t="s">
        <v>1337</v>
      </c>
      <c r="AG472" s="594">
        <v>1</v>
      </c>
      <c r="AH472" s="575">
        <v>4785</v>
      </c>
      <c r="AI472" s="795">
        <f>+AH472*AG472</f>
        <v>4785</v>
      </c>
    </row>
    <row r="473" spans="1:35" s="45" customFormat="1">
      <c r="A473" s="185"/>
      <c r="B473" s="592" t="s">
        <v>1381</v>
      </c>
      <c r="C473" s="593" t="s">
        <v>1365</v>
      </c>
      <c r="D473" s="827" t="s">
        <v>1337</v>
      </c>
      <c r="E473" s="594">
        <v>3</v>
      </c>
      <c r="F473" s="575">
        <v>6465</v>
      </c>
      <c r="G473" s="795">
        <f>+F473*E473</f>
        <v>19395</v>
      </c>
      <c r="H473" s="208"/>
      <c r="I473" s="899"/>
      <c r="J473" s="208"/>
      <c r="K473" s="208"/>
      <c r="L473" s="208"/>
      <c r="M473" s="900"/>
      <c r="N473" s="901"/>
      <c r="O473" s="207"/>
      <c r="P473" s="207"/>
      <c r="Q473" s="207"/>
      <c r="R473" s="207"/>
      <c r="S473" s="207"/>
      <c r="T473" s="207"/>
      <c r="U473" s="16"/>
      <c r="V473" s="805"/>
      <c r="W473" s="807"/>
      <c r="X473" s="208"/>
      <c r="Y473" s="44"/>
      <c r="Z473" s="44"/>
      <c r="AA473" s="1060" t="s">
        <v>1369</v>
      </c>
      <c r="AB473" s="1061"/>
      <c r="AC473" s="1128">
        <v>13.7</v>
      </c>
      <c r="AD473" s="1177"/>
      <c r="AE473" s="1060" t="s">
        <v>1369</v>
      </c>
      <c r="AF473" s="1061"/>
      <c r="AG473" s="1061"/>
      <c r="AH473" s="1061"/>
      <c r="AI473" s="1113"/>
    </row>
    <row r="474" spans="1:35" s="45" customFormat="1" ht="15.75" thickBot="1">
      <c r="A474" s="185"/>
      <c r="B474" s="592" t="s">
        <v>1382</v>
      </c>
      <c r="C474" s="593" t="s">
        <v>1366</v>
      </c>
      <c r="D474" s="827" t="s">
        <v>1337</v>
      </c>
      <c r="E474" s="594">
        <v>1</v>
      </c>
      <c r="F474" s="575">
        <v>4785</v>
      </c>
      <c r="G474" s="795">
        <f>+F474*E474</f>
        <v>4785</v>
      </c>
      <c r="H474" s="208"/>
      <c r="I474" s="899"/>
      <c r="J474" s="208"/>
      <c r="K474" s="208"/>
      <c r="L474" s="208"/>
      <c r="M474" s="900"/>
      <c r="N474" s="901"/>
      <c r="O474" s="207"/>
      <c r="P474" s="207"/>
      <c r="Q474" s="207"/>
      <c r="R474" s="207"/>
      <c r="S474" s="207"/>
      <c r="T474" s="207"/>
      <c r="U474" s="16"/>
      <c r="V474" s="805"/>
      <c r="W474" s="807"/>
      <c r="X474" s="208"/>
      <c r="Y474" s="44"/>
      <c r="Z474" s="44"/>
      <c r="AA474" s="887" t="s">
        <v>1371</v>
      </c>
      <c r="AB474" s="827" t="s">
        <v>1337</v>
      </c>
      <c r="AC474" s="827" t="s">
        <v>1383</v>
      </c>
      <c r="AD474" s="1171"/>
      <c r="AE474" s="887" t="s">
        <v>1371</v>
      </c>
      <c r="AF474" s="827" t="s">
        <v>1337</v>
      </c>
      <c r="AG474" s="594">
        <v>2</v>
      </c>
      <c r="AH474" s="575">
        <v>24760</v>
      </c>
      <c r="AI474" s="795">
        <f>+AH474*AG474</f>
        <v>49520</v>
      </c>
    </row>
    <row r="475" spans="1:35" s="45" customFormat="1" ht="15.75" thickBot="1">
      <c r="A475" s="185"/>
      <c r="B475" s="992">
        <v>13.7</v>
      </c>
      <c r="C475" s="75" t="s">
        <v>1369</v>
      </c>
      <c r="D475" s="76"/>
      <c r="E475" s="76"/>
      <c r="F475" s="76"/>
      <c r="G475" s="126"/>
      <c r="H475" s="208"/>
      <c r="I475" s="899"/>
      <c r="J475" s="208"/>
      <c r="K475" s="208"/>
      <c r="L475" s="208"/>
      <c r="M475" s="900"/>
      <c r="N475" s="901"/>
      <c r="O475" s="207"/>
      <c r="P475" s="207"/>
      <c r="Q475" s="207"/>
      <c r="R475" s="207"/>
      <c r="S475" s="207"/>
      <c r="T475" s="207"/>
      <c r="U475" s="16"/>
      <c r="V475" s="805"/>
      <c r="W475" s="807"/>
      <c r="X475" s="208"/>
      <c r="Y475" s="44"/>
      <c r="Z475" s="44"/>
      <c r="AA475" s="887" t="s">
        <v>1370</v>
      </c>
      <c r="AB475" s="827" t="s">
        <v>1337</v>
      </c>
      <c r="AC475" s="827" t="s">
        <v>1384</v>
      </c>
      <c r="AD475" s="1171"/>
      <c r="AE475" s="887" t="s">
        <v>1370</v>
      </c>
      <c r="AF475" s="827" t="s">
        <v>1337</v>
      </c>
      <c r="AG475" s="594">
        <v>2</v>
      </c>
      <c r="AH475" s="575">
        <v>29900</v>
      </c>
      <c r="AI475" s="795">
        <f>+AH475*AG475</f>
        <v>59800</v>
      </c>
    </row>
    <row r="476" spans="1:35" s="45" customFormat="1">
      <c r="A476" s="185"/>
      <c r="B476" s="827" t="s">
        <v>1383</v>
      </c>
      <c r="C476" s="887" t="s">
        <v>1371</v>
      </c>
      <c r="D476" s="827" t="s">
        <v>1337</v>
      </c>
      <c r="E476" s="594">
        <v>2</v>
      </c>
      <c r="F476" s="575">
        <v>24760</v>
      </c>
      <c r="G476" s="795">
        <f>+F476*E476</f>
        <v>49520</v>
      </c>
      <c r="H476" s="208"/>
      <c r="I476" s="899"/>
      <c r="J476" s="208"/>
      <c r="K476" s="208"/>
      <c r="L476" s="208"/>
      <c r="M476" s="900"/>
      <c r="N476" s="901"/>
      <c r="O476" s="207"/>
      <c r="P476" s="207"/>
      <c r="Q476" s="207"/>
      <c r="R476" s="207"/>
      <c r="S476" s="207"/>
      <c r="T476" s="207"/>
      <c r="U476" s="16"/>
      <c r="V476" s="805"/>
      <c r="W476" s="807"/>
      <c r="X476" s="208"/>
      <c r="Y476" s="44"/>
      <c r="Z476" s="44"/>
      <c r="AA476" s="1060" t="s">
        <v>1372</v>
      </c>
      <c r="AB476" s="1061"/>
      <c r="AC476" s="1128">
        <v>13.8</v>
      </c>
      <c r="AD476" s="1177"/>
      <c r="AE476" s="1060" t="s">
        <v>1372</v>
      </c>
      <c r="AF476" s="1061"/>
      <c r="AG476" s="1061"/>
      <c r="AH476" s="1061"/>
      <c r="AI476" s="1113"/>
    </row>
    <row r="477" spans="1:35" s="45" customFormat="1" ht="15.75" thickBot="1">
      <c r="A477" s="185"/>
      <c r="B477" s="827" t="s">
        <v>1384</v>
      </c>
      <c r="C477" s="887" t="s">
        <v>1370</v>
      </c>
      <c r="D477" s="827" t="s">
        <v>1337</v>
      </c>
      <c r="E477" s="594">
        <v>2</v>
      </c>
      <c r="F477" s="575">
        <v>29900</v>
      </c>
      <c r="G477" s="795">
        <f>+F477*E477</f>
        <v>59800</v>
      </c>
      <c r="H477" s="208"/>
      <c r="I477" s="899"/>
      <c r="J477" s="208"/>
      <c r="K477" s="208"/>
      <c r="L477" s="208"/>
      <c r="M477" s="900"/>
      <c r="N477" s="901"/>
      <c r="O477" s="207"/>
      <c r="P477" s="207"/>
      <c r="Q477" s="207"/>
      <c r="R477" s="207"/>
      <c r="S477" s="207"/>
      <c r="T477" s="207"/>
      <c r="U477" s="16"/>
      <c r="V477" s="805"/>
      <c r="W477" s="807"/>
      <c r="X477" s="208"/>
      <c r="Y477" s="44"/>
      <c r="Z477" s="44"/>
      <c r="AA477" s="102" t="s">
        <v>1365</v>
      </c>
      <c r="AB477" s="104" t="s">
        <v>500</v>
      </c>
      <c r="AC477" s="101" t="s">
        <v>1385</v>
      </c>
      <c r="AD477" s="1168"/>
      <c r="AE477" s="102" t="s">
        <v>1365</v>
      </c>
      <c r="AF477" s="104" t="s">
        <v>500</v>
      </c>
      <c r="AG477" s="103">
        <v>3</v>
      </c>
      <c r="AH477" s="575">
        <v>10451</v>
      </c>
      <c r="AI477" s="792">
        <f>+AH477*AG477</f>
        <v>31353</v>
      </c>
    </row>
    <row r="478" spans="1:35" s="45" customFormat="1" ht="15.75" thickBot="1">
      <c r="A478" s="185"/>
      <c r="B478" s="992">
        <v>13.8</v>
      </c>
      <c r="C478" s="75" t="s">
        <v>1372</v>
      </c>
      <c r="D478" s="76"/>
      <c r="E478" s="76"/>
      <c r="F478" s="76"/>
      <c r="G478" s="126"/>
      <c r="H478" s="208"/>
      <c r="I478" s="899"/>
      <c r="J478" s="208"/>
      <c r="K478" s="208"/>
      <c r="L478" s="208"/>
      <c r="M478" s="900"/>
      <c r="N478" s="901"/>
      <c r="O478" s="207"/>
      <c r="P478" s="207"/>
      <c r="Q478" s="207"/>
      <c r="R478" s="207"/>
      <c r="S478" s="207"/>
      <c r="T478" s="207"/>
      <c r="U478" s="16"/>
      <c r="V478" s="805"/>
      <c r="W478" s="807"/>
      <c r="X478" s="208"/>
      <c r="Y478" s="44"/>
      <c r="Z478" s="44"/>
      <c r="AA478" s="1074"/>
      <c r="AB478" s="1075"/>
      <c r="AC478" s="1124"/>
      <c r="AD478" s="1124"/>
      <c r="AE478" s="1074"/>
      <c r="AF478" s="1075"/>
      <c r="AG478" s="1076"/>
      <c r="AH478" s="1077" t="s">
        <v>1404</v>
      </c>
      <c r="AI478" s="1126">
        <f>SUM(AI442:AI477)</f>
        <v>2656212</v>
      </c>
    </row>
    <row r="479" spans="1:35" s="45" customFormat="1">
      <c r="A479" s="185"/>
      <c r="B479" s="101" t="s">
        <v>1385</v>
      </c>
      <c r="C479" s="102" t="s">
        <v>1365</v>
      </c>
      <c r="D479" s="104" t="s">
        <v>500</v>
      </c>
      <c r="E479" s="103">
        <v>3</v>
      </c>
      <c r="F479" s="575">
        <v>10451</v>
      </c>
      <c r="G479" s="792">
        <f>+F479*E479</f>
        <v>31353</v>
      </c>
      <c r="H479" s="208"/>
      <c r="I479" s="899"/>
      <c r="J479" s="208"/>
      <c r="K479" s="208"/>
      <c r="L479" s="208"/>
      <c r="M479" s="900"/>
      <c r="N479" s="901"/>
      <c r="O479" s="207"/>
      <c r="P479" s="207"/>
      <c r="Q479" s="207"/>
      <c r="R479" s="207"/>
      <c r="S479" s="207"/>
      <c r="T479" s="207"/>
      <c r="U479" s="16"/>
      <c r="V479" s="805"/>
      <c r="W479" s="807"/>
      <c r="X479" s="208"/>
      <c r="Y479" s="44"/>
      <c r="Z479" s="44"/>
      <c r="AA479" s="1023"/>
      <c r="AB479" s="821"/>
      <c r="AC479" s="16"/>
      <c r="AD479" s="16"/>
      <c r="AE479" s="1023"/>
      <c r="AF479" s="821"/>
      <c r="AG479" s="825"/>
      <c r="AH479" s="826"/>
      <c r="AI479" s="1024"/>
    </row>
    <row r="480" spans="1:35" s="45" customFormat="1" ht="15.75" thickBot="1">
      <c r="A480" s="185"/>
      <c r="B480" s="1025"/>
      <c r="C480" s="871"/>
      <c r="D480" s="873"/>
      <c r="E480" s="874"/>
      <c r="F480" s="947" t="s">
        <v>1404</v>
      </c>
      <c r="G480" s="1004">
        <f>SUM(G444:G479)</f>
        <v>2656212</v>
      </c>
      <c r="H480" s="208"/>
      <c r="I480" s="899"/>
      <c r="J480" s="208"/>
      <c r="K480" s="208"/>
      <c r="L480" s="208"/>
      <c r="M480" s="900"/>
      <c r="N480" s="901"/>
      <c r="O480" s="207"/>
      <c r="P480" s="207"/>
      <c r="Q480" s="207"/>
      <c r="R480" s="207"/>
      <c r="S480" s="207"/>
      <c r="T480" s="207"/>
      <c r="U480" s="16"/>
      <c r="V480" s="805"/>
      <c r="W480" s="807"/>
      <c r="X480" s="208"/>
      <c r="Y480" s="44"/>
      <c r="Z480" s="44"/>
      <c r="AA480" s="977"/>
      <c r="AB480" s="996"/>
      <c r="AC480" s="974"/>
      <c r="AD480" s="1178"/>
      <c r="AE480" s="977"/>
      <c r="AF480" s="996"/>
      <c r="AG480" s="997"/>
      <c r="AH480" s="968"/>
      <c r="AI480" s="976">
        <f>+AG480*AH480</f>
        <v>0</v>
      </c>
    </row>
    <row r="481" spans="1:35" s="45" customFormat="1">
      <c r="A481" s="185"/>
      <c r="B481" s="16"/>
      <c r="C481" s="1023"/>
      <c r="D481" s="821"/>
      <c r="E481" s="825"/>
      <c r="F481" s="826"/>
      <c r="G481" s="1024"/>
      <c r="H481" s="208"/>
      <c r="I481" s="899"/>
      <c r="J481" s="208"/>
      <c r="K481" s="208"/>
      <c r="L481" s="208"/>
      <c r="M481" s="900"/>
      <c r="N481" s="901"/>
      <c r="O481" s="207"/>
      <c r="P481" s="207"/>
      <c r="Q481" s="207"/>
      <c r="R481" s="207"/>
      <c r="S481" s="207"/>
      <c r="T481" s="207"/>
      <c r="U481" s="16"/>
      <c r="V481" s="805"/>
      <c r="W481" s="807"/>
      <c r="X481" s="208"/>
      <c r="Y481" s="44"/>
      <c r="Z481" s="44"/>
      <c r="AA481" s="1060" t="s">
        <v>1389</v>
      </c>
      <c r="AB481" s="1061"/>
      <c r="AC481" s="1111"/>
      <c r="AD481" s="1156"/>
      <c r="AE481" s="1060" t="s">
        <v>1389</v>
      </c>
      <c r="AF481" s="1061"/>
      <c r="AG481" s="1061"/>
      <c r="AH481" s="1061"/>
      <c r="AI481" s="1129"/>
    </row>
    <row r="482" spans="1:35" s="45" customFormat="1" ht="26.25" thickBot="1">
      <c r="A482" s="185"/>
      <c r="B482" s="974"/>
      <c r="C482" s="977"/>
      <c r="D482" s="993"/>
      <c r="E482" s="994"/>
      <c r="F482" s="995"/>
      <c r="G482" s="976">
        <f t="shared" ref="G482" si="91">+E482*F482</f>
        <v>0</v>
      </c>
      <c r="H482" s="208"/>
      <c r="I482" s="899"/>
      <c r="J482" s="208"/>
      <c r="K482" s="208"/>
      <c r="L482" s="208"/>
      <c r="M482" s="900"/>
      <c r="N482" s="901"/>
      <c r="O482" s="207"/>
      <c r="P482" s="207"/>
      <c r="Q482" s="207"/>
      <c r="R482" s="207"/>
      <c r="S482" s="207"/>
      <c r="T482" s="207"/>
      <c r="U482" s="16"/>
      <c r="V482" s="805"/>
      <c r="W482" s="807"/>
      <c r="X482" s="208"/>
      <c r="Y482" s="44"/>
      <c r="Z482" s="44"/>
      <c r="AA482" s="593" t="s">
        <v>1390</v>
      </c>
      <c r="AB482" s="827" t="s">
        <v>1337</v>
      </c>
      <c r="AC482" s="592"/>
      <c r="AD482" s="1159"/>
      <c r="AE482" s="593" t="s">
        <v>1390</v>
      </c>
      <c r="AF482" s="827" t="s">
        <v>1337</v>
      </c>
      <c r="AG482" s="594"/>
      <c r="AH482" s="575">
        <v>78639</v>
      </c>
      <c r="AI482" s="795"/>
    </row>
    <row r="483" spans="1:35" s="45" customFormat="1" ht="25.5">
      <c r="A483" s="185"/>
      <c r="B483" s="74"/>
      <c r="C483" s="75" t="s">
        <v>1389</v>
      </c>
      <c r="D483" s="76"/>
      <c r="E483" s="76"/>
      <c r="F483" s="76"/>
      <c r="G483" s="77"/>
      <c r="H483" s="208"/>
      <c r="I483" s="899"/>
      <c r="J483" s="208"/>
      <c r="K483" s="208"/>
      <c r="L483" s="208"/>
      <c r="M483" s="900"/>
      <c r="N483" s="901"/>
      <c r="O483" s="207"/>
      <c r="P483" s="207"/>
      <c r="Q483" s="207"/>
      <c r="R483" s="207"/>
      <c r="S483" s="207"/>
      <c r="T483" s="207"/>
      <c r="U483" s="16"/>
      <c r="V483" s="805"/>
      <c r="W483" s="807"/>
      <c r="X483" s="208"/>
      <c r="Y483" s="44"/>
      <c r="Z483" s="44"/>
      <c r="AA483" s="593" t="s">
        <v>1391</v>
      </c>
      <c r="AB483" s="827" t="s">
        <v>1337</v>
      </c>
      <c r="AC483" s="592"/>
      <c r="AD483" s="1159"/>
      <c r="AE483" s="593" t="s">
        <v>1391</v>
      </c>
      <c r="AF483" s="827" t="s">
        <v>1337</v>
      </c>
      <c r="AG483" s="594"/>
      <c r="AH483" s="575">
        <v>942239</v>
      </c>
      <c r="AI483" s="795"/>
    </row>
    <row r="484" spans="1:35" s="45" customFormat="1" ht="51">
      <c r="A484" s="185"/>
      <c r="B484" s="592"/>
      <c r="C484" s="593" t="s">
        <v>1390</v>
      </c>
      <c r="D484" s="827" t="s">
        <v>1337</v>
      </c>
      <c r="E484" s="594"/>
      <c r="F484" s="575">
        <v>78639</v>
      </c>
      <c r="G484" s="795">
        <f>+F484*E484</f>
        <v>0</v>
      </c>
      <c r="H484" s="208"/>
      <c r="I484" s="899"/>
      <c r="J484" s="208"/>
      <c r="K484" s="208"/>
      <c r="L484" s="208"/>
      <c r="M484" s="900"/>
      <c r="N484" s="901"/>
      <c r="O484" s="207"/>
      <c r="P484" s="207"/>
      <c r="Q484" s="207"/>
      <c r="R484" s="207"/>
      <c r="S484" s="207"/>
      <c r="T484" s="207"/>
      <c r="U484" s="16"/>
      <c r="V484" s="805"/>
      <c r="W484" s="807"/>
      <c r="X484" s="208"/>
      <c r="Y484" s="44"/>
      <c r="Z484" s="44"/>
      <c r="AA484" s="593" t="s">
        <v>1392</v>
      </c>
      <c r="AB484" s="827" t="s">
        <v>1337</v>
      </c>
      <c r="AC484" s="592"/>
      <c r="AD484" s="1159"/>
      <c r="AE484" s="593" t="s">
        <v>1392</v>
      </c>
      <c r="AF484" s="827" t="s">
        <v>1337</v>
      </c>
      <c r="AG484" s="594"/>
      <c r="AH484" s="575">
        <v>212089</v>
      </c>
      <c r="AI484" s="795"/>
    </row>
    <row r="485" spans="1:35" s="45" customFormat="1">
      <c r="A485" s="185"/>
      <c r="B485" s="592"/>
      <c r="C485" s="593" t="s">
        <v>1391</v>
      </c>
      <c r="D485" s="827" t="s">
        <v>1337</v>
      </c>
      <c r="E485" s="594"/>
      <c r="F485" s="575">
        <v>942239</v>
      </c>
      <c r="G485" s="795">
        <f t="shared" ref="G485:G486" si="92">+F485*E485</f>
        <v>0</v>
      </c>
      <c r="H485" s="208"/>
      <c r="I485" s="899"/>
      <c r="J485" s="208"/>
      <c r="K485" s="208"/>
      <c r="L485" s="208"/>
      <c r="M485" s="900"/>
      <c r="N485" s="901"/>
      <c r="O485" s="207"/>
      <c r="P485" s="207"/>
      <c r="Q485" s="207"/>
      <c r="R485" s="207"/>
      <c r="S485" s="207"/>
      <c r="T485" s="207"/>
      <c r="U485" s="16"/>
      <c r="V485" s="805"/>
      <c r="W485" s="807"/>
      <c r="X485" s="208"/>
      <c r="Y485" s="44"/>
      <c r="Z485" s="44"/>
      <c r="AA485" s="977"/>
      <c r="AB485" s="996"/>
      <c r="AC485" s="974"/>
      <c r="AD485" s="1178"/>
      <c r="AE485" s="977"/>
      <c r="AF485" s="996"/>
      <c r="AG485" s="997"/>
      <c r="AH485" s="968"/>
      <c r="AI485" s="976"/>
    </row>
    <row r="486" spans="1:35" s="45" customFormat="1" ht="15.75" thickBot="1">
      <c r="A486" s="185"/>
      <c r="B486" s="592"/>
      <c r="C486" s="593" t="s">
        <v>1392</v>
      </c>
      <c r="D486" s="827" t="s">
        <v>1337</v>
      </c>
      <c r="E486" s="594"/>
      <c r="F486" s="575">
        <v>212089</v>
      </c>
      <c r="G486" s="795">
        <f t="shared" si="92"/>
        <v>0</v>
      </c>
      <c r="H486" s="208"/>
      <c r="I486" s="899"/>
      <c r="J486" s="208"/>
      <c r="K486" s="208"/>
      <c r="L486" s="208"/>
      <c r="M486" s="900"/>
      <c r="N486" s="901"/>
      <c r="O486" s="207"/>
      <c r="P486" s="207"/>
      <c r="Q486" s="207"/>
      <c r="R486" s="207"/>
      <c r="S486" s="207"/>
      <c r="T486" s="207"/>
      <c r="U486" s="16"/>
      <c r="V486" s="805"/>
      <c r="W486" s="807"/>
      <c r="X486" s="208"/>
      <c r="Y486" s="44"/>
      <c r="Z486" s="44"/>
      <c r="AA486" s="1074"/>
      <c r="AB486" s="1075"/>
      <c r="AC486" s="1124"/>
      <c r="AD486" s="1124"/>
      <c r="AE486" s="1074"/>
      <c r="AF486" s="1075"/>
      <c r="AG486" s="1076"/>
      <c r="AH486" s="1077" t="s">
        <v>1403</v>
      </c>
      <c r="AI486" s="1126">
        <f>SUM(AI482:AI485)</f>
        <v>0</v>
      </c>
    </row>
    <row r="487" spans="1:35" s="45" customFormat="1" ht="15.75" thickBot="1">
      <c r="A487" s="185"/>
      <c r="B487" s="974"/>
      <c r="C487" s="977"/>
      <c r="D487" s="996"/>
      <c r="E487" s="997"/>
      <c r="F487" s="968"/>
      <c r="G487" s="976"/>
      <c r="H487" s="208"/>
      <c r="I487" s="899"/>
      <c r="J487" s="208"/>
      <c r="K487" s="208"/>
      <c r="L487" s="208"/>
      <c r="M487" s="900"/>
      <c r="N487" s="901"/>
      <c r="O487" s="207"/>
      <c r="P487" s="207"/>
      <c r="Q487" s="207"/>
      <c r="R487" s="207"/>
      <c r="S487" s="207"/>
      <c r="T487" s="207"/>
      <c r="U487" s="16"/>
      <c r="V487" s="805"/>
      <c r="W487" s="807"/>
      <c r="X487" s="208"/>
      <c r="Y487" s="44"/>
      <c r="Z487" s="44"/>
      <c r="AA487" s="887"/>
      <c r="AB487" s="827"/>
      <c r="AC487" s="827"/>
      <c r="AD487" s="1171"/>
      <c r="AE487" s="887"/>
      <c r="AF487" s="827"/>
      <c r="AG487" s="594"/>
      <c r="AH487" s="575"/>
      <c r="AI487" s="792"/>
    </row>
    <row r="488" spans="1:35" s="45" customFormat="1" ht="15.75" thickBot="1">
      <c r="A488" s="185"/>
      <c r="B488" s="1025"/>
      <c r="C488" s="871"/>
      <c r="D488" s="873"/>
      <c r="E488" s="874"/>
      <c r="F488" s="947" t="s">
        <v>1403</v>
      </c>
      <c r="G488" s="1004">
        <f>SUM(G484:G487)</f>
        <v>0</v>
      </c>
      <c r="H488" s="208"/>
      <c r="I488" s="899"/>
      <c r="J488" s="208"/>
      <c r="K488" s="208"/>
      <c r="L488" s="208"/>
      <c r="M488" s="900"/>
      <c r="N488" s="901"/>
      <c r="O488" s="207"/>
      <c r="P488" s="207"/>
      <c r="Q488" s="207"/>
      <c r="R488" s="207"/>
      <c r="S488" s="207"/>
      <c r="T488" s="207"/>
      <c r="U488" s="16"/>
      <c r="V488" s="805"/>
      <c r="W488" s="807"/>
      <c r="X488" s="208"/>
      <c r="Y488" s="44"/>
      <c r="Z488" s="44"/>
      <c r="AA488" s="1060" t="s">
        <v>1387</v>
      </c>
      <c r="AB488" s="1061"/>
      <c r="AC488" s="1111"/>
      <c r="AD488" s="1156"/>
      <c r="AE488" s="1060" t="s">
        <v>1387</v>
      </c>
      <c r="AF488" s="1061"/>
      <c r="AG488" s="1061"/>
      <c r="AH488" s="1061"/>
      <c r="AI488" s="1113"/>
    </row>
    <row r="489" spans="1:35" s="45" customFormat="1" ht="64.5" thickBot="1">
      <c r="A489" s="185"/>
      <c r="B489" s="827"/>
      <c r="C489" s="887"/>
      <c r="D489" s="827"/>
      <c r="E489" s="594"/>
      <c r="F489" s="575"/>
      <c r="G489" s="792"/>
      <c r="H489" s="208"/>
      <c r="I489" s="899"/>
      <c r="J489" s="208"/>
      <c r="K489" s="208"/>
      <c r="L489" s="208"/>
      <c r="M489" s="900"/>
      <c r="N489" s="901"/>
      <c r="O489" s="207"/>
      <c r="P489" s="207"/>
      <c r="Q489" s="207"/>
      <c r="R489" s="207"/>
      <c r="S489" s="207"/>
      <c r="T489" s="207"/>
      <c r="U489" s="16"/>
      <c r="V489" s="805"/>
      <c r="W489" s="807"/>
      <c r="X489" s="208"/>
      <c r="Y489" s="44"/>
      <c r="Z489" s="44"/>
      <c r="AA489" s="102" t="s">
        <v>1388</v>
      </c>
      <c r="AB489" s="104" t="s">
        <v>22</v>
      </c>
      <c r="AC489" s="101"/>
      <c r="AD489" s="1168"/>
      <c r="AE489" s="102" t="s">
        <v>1388</v>
      </c>
      <c r="AF489" s="104" t="s">
        <v>22</v>
      </c>
      <c r="AG489" s="103"/>
      <c r="AH489" s="575">
        <v>3177088</v>
      </c>
      <c r="AI489" s="792"/>
    </row>
    <row r="490" spans="1:35" s="45" customFormat="1" ht="15.75" thickBot="1">
      <c r="A490" s="185"/>
      <c r="B490" s="74"/>
      <c r="C490" s="75" t="s">
        <v>1387</v>
      </c>
      <c r="D490" s="76"/>
      <c r="E490" s="76"/>
      <c r="F490" s="76"/>
      <c r="G490" s="126"/>
      <c r="H490" s="208"/>
      <c r="I490" s="899"/>
      <c r="J490" s="208"/>
      <c r="K490" s="208"/>
      <c r="L490" s="208"/>
      <c r="M490" s="900"/>
      <c r="N490" s="901"/>
      <c r="O490" s="207"/>
      <c r="P490" s="207"/>
      <c r="Q490" s="207"/>
      <c r="R490" s="207"/>
      <c r="S490" s="207"/>
      <c r="T490" s="207"/>
      <c r="U490" s="16"/>
      <c r="V490" s="805"/>
      <c r="W490" s="807"/>
      <c r="X490" s="208"/>
      <c r="Y490" s="44"/>
      <c r="Z490" s="44"/>
      <c r="AA490" s="1064"/>
      <c r="AB490" s="1065"/>
      <c r="AC490" s="1130"/>
      <c r="AD490" s="1130"/>
      <c r="AE490" s="1064"/>
      <c r="AF490" s="1065"/>
      <c r="AG490" s="1066"/>
      <c r="AH490" s="1073" t="s">
        <v>1394</v>
      </c>
      <c r="AI490" s="1131">
        <f>SUM(AI486:AI489)</f>
        <v>0</v>
      </c>
    </row>
    <row r="491" spans="1:35" s="45" customFormat="1" ht="26.25" thickBot="1">
      <c r="A491" s="185"/>
      <c r="B491" s="101"/>
      <c r="C491" s="102" t="s">
        <v>1388</v>
      </c>
      <c r="D491" s="104" t="s">
        <v>22</v>
      </c>
      <c r="E491" s="103"/>
      <c r="F491" s="575">
        <v>3177088</v>
      </c>
      <c r="G491" s="792">
        <f>+F491*E491</f>
        <v>0</v>
      </c>
      <c r="H491" s="208"/>
      <c r="I491" s="899"/>
      <c r="J491" s="208"/>
      <c r="K491" s="208"/>
      <c r="L491" s="208"/>
      <c r="M491" s="900"/>
      <c r="N491" s="901"/>
      <c r="O491" s="207"/>
      <c r="P491" s="207"/>
      <c r="Q491" s="207"/>
      <c r="R491" s="207"/>
      <c r="S491" s="207"/>
      <c r="T491" s="207"/>
      <c r="U491" s="16"/>
      <c r="V491" s="805"/>
      <c r="W491" s="807"/>
      <c r="X491" s="208"/>
      <c r="Y491" s="44"/>
      <c r="Z491" s="44"/>
      <c r="AA491" s="887"/>
      <c r="AB491" s="827"/>
      <c r="AC491" s="827"/>
      <c r="AD491" s="1171"/>
      <c r="AE491" s="887"/>
      <c r="AF491" s="827"/>
      <c r="AG491" s="594"/>
      <c r="AH491" s="575"/>
      <c r="AI491" s="792"/>
    </row>
    <row r="492" spans="1:35" s="45" customFormat="1" ht="15.75" thickBot="1">
      <c r="A492" s="185"/>
      <c r="B492" s="886"/>
      <c r="C492" s="871"/>
      <c r="D492" s="873"/>
      <c r="E492" s="874"/>
      <c r="F492" s="1057" t="s">
        <v>1394</v>
      </c>
      <c r="G492" s="1004">
        <f>+G491</f>
        <v>0</v>
      </c>
      <c r="H492" s="208"/>
      <c r="I492" s="899"/>
      <c r="J492" s="208"/>
      <c r="K492" s="208"/>
      <c r="L492" s="208"/>
      <c r="M492" s="900"/>
      <c r="N492" s="901"/>
      <c r="O492" s="207"/>
      <c r="P492" s="207"/>
      <c r="Q492" s="207"/>
      <c r="R492" s="207"/>
      <c r="S492" s="207"/>
      <c r="T492" s="207"/>
      <c r="U492" s="16"/>
      <c r="V492" s="805"/>
      <c r="W492" s="807"/>
      <c r="X492" s="208"/>
      <c r="Y492" s="44"/>
      <c r="Z492" s="44"/>
      <c r="AA492" s="1060" t="s">
        <v>1408</v>
      </c>
      <c r="AB492" s="1061"/>
      <c r="AC492" s="1111"/>
      <c r="AD492" s="1156"/>
      <c r="AE492" s="1060" t="s">
        <v>1408</v>
      </c>
      <c r="AF492" s="1061"/>
      <c r="AG492" s="1061"/>
      <c r="AH492" s="1061"/>
      <c r="AI492" s="1129"/>
    </row>
    <row r="493" spans="1:35" s="45" customFormat="1" ht="26.25" thickBot="1">
      <c r="A493" s="185"/>
      <c r="B493" s="827"/>
      <c r="C493" s="887"/>
      <c r="D493" s="827"/>
      <c r="E493" s="594"/>
      <c r="F493" s="575"/>
      <c r="G493" s="792"/>
      <c r="H493" s="208"/>
      <c r="I493" s="899"/>
      <c r="J493" s="208"/>
      <c r="K493" s="208"/>
      <c r="L493" s="208"/>
      <c r="M493" s="900"/>
      <c r="N493" s="901"/>
      <c r="O493" s="207"/>
      <c r="P493" s="207"/>
      <c r="Q493" s="207"/>
      <c r="R493" s="207"/>
      <c r="S493" s="207"/>
      <c r="T493" s="207"/>
      <c r="U493" s="16"/>
      <c r="V493" s="805"/>
      <c r="W493" s="807"/>
      <c r="X493" s="208"/>
      <c r="Y493" s="44"/>
      <c r="Z493" s="44"/>
      <c r="AA493" s="86" t="s">
        <v>1400</v>
      </c>
      <c r="AB493" s="87" t="s">
        <v>139</v>
      </c>
      <c r="AC493" s="85"/>
      <c r="AD493" s="1157"/>
      <c r="AE493" s="86" t="s">
        <v>1400</v>
      </c>
      <c r="AF493" s="87" t="s">
        <v>139</v>
      </c>
      <c r="AG493" s="1045">
        <f>+(AG495+AG496+AG499+AG497+AG498+AG499)*0.7*1</f>
        <v>1163.3999999999999</v>
      </c>
      <c r="AH493" s="89">
        <v>2610</v>
      </c>
      <c r="AI493" s="795">
        <f>+AH493*AG493</f>
        <v>3036473.9999999995</v>
      </c>
    </row>
    <row r="494" spans="1:35" s="45" customFormat="1" ht="63.75">
      <c r="A494" s="185"/>
      <c r="B494" s="74"/>
      <c r="C494" s="75" t="s">
        <v>1408</v>
      </c>
      <c r="D494" s="76"/>
      <c r="E494" s="76"/>
      <c r="F494" s="76"/>
      <c r="G494" s="77"/>
      <c r="H494" s="208"/>
      <c r="I494" s="899"/>
      <c r="J494" s="208"/>
      <c r="K494" s="208"/>
      <c r="L494" s="208"/>
      <c r="M494" s="900"/>
      <c r="N494" s="901"/>
      <c r="O494" s="207"/>
      <c r="P494" s="207"/>
      <c r="Q494" s="207"/>
      <c r="R494" s="207"/>
      <c r="S494" s="207"/>
      <c r="T494" s="207"/>
      <c r="U494" s="16"/>
      <c r="V494" s="805"/>
      <c r="W494" s="807"/>
      <c r="X494" s="208"/>
      <c r="Y494" s="44"/>
      <c r="Z494" s="44"/>
      <c r="AA494" s="102" t="s">
        <v>941</v>
      </c>
      <c r="AB494" s="777" t="s">
        <v>139</v>
      </c>
      <c r="AC494" s="771"/>
      <c r="AD494" s="1154"/>
      <c r="AE494" s="102" t="s">
        <v>941</v>
      </c>
      <c r="AF494" s="777" t="s">
        <v>139</v>
      </c>
      <c r="AG494" s="587">
        <f>+AG493</f>
        <v>1163.3999999999999</v>
      </c>
      <c r="AH494" s="587">
        <v>10240</v>
      </c>
      <c r="AI494" s="587">
        <f>+AG494*AH494</f>
        <v>11913215.999999998</v>
      </c>
    </row>
    <row r="495" spans="1:35" s="45" customFormat="1">
      <c r="A495" s="185"/>
      <c r="B495" s="85"/>
      <c r="C495" s="86" t="s">
        <v>1400</v>
      </c>
      <c r="D495" s="87" t="s">
        <v>139</v>
      </c>
      <c r="E495" s="1045" t="e">
        <f>+(E497+E498+E501+E499+E500+E501)*0.7*1</f>
        <v>#REF!</v>
      </c>
      <c r="F495" s="89">
        <v>2610</v>
      </c>
      <c r="G495" s="795" t="e">
        <f>+F495*E495</f>
        <v>#REF!</v>
      </c>
      <c r="H495" s="208"/>
      <c r="I495" s="899"/>
      <c r="J495" s="208"/>
      <c r="K495" s="208"/>
      <c r="L495" s="208"/>
      <c r="M495" s="900"/>
      <c r="N495" s="901"/>
      <c r="O495" s="207"/>
      <c r="P495" s="207"/>
      <c r="Q495" s="207"/>
      <c r="R495" s="207"/>
      <c r="S495" s="207"/>
      <c r="T495" s="207"/>
      <c r="U495" s="16"/>
      <c r="V495" s="805"/>
      <c r="W495" s="807"/>
      <c r="X495" s="208"/>
      <c r="Y495" s="44"/>
      <c r="Z495" s="44"/>
      <c r="AA495" s="102" t="s">
        <v>1396</v>
      </c>
      <c r="AB495" s="104" t="s">
        <v>500</v>
      </c>
      <c r="AC495" s="101"/>
      <c r="AD495" s="1168"/>
      <c r="AE495" s="102" t="s">
        <v>1396</v>
      </c>
      <c r="AF495" s="104" t="s">
        <v>500</v>
      </c>
      <c r="AG495" s="103">
        <v>50</v>
      </c>
      <c r="AH495" s="575">
        <v>5021</v>
      </c>
      <c r="AI495" s="792">
        <f>+AH495*AG495</f>
        <v>251050</v>
      </c>
    </row>
    <row r="496" spans="1:35" s="45" customFormat="1">
      <c r="A496" s="185"/>
      <c r="B496" s="771"/>
      <c r="C496" s="102" t="s">
        <v>941</v>
      </c>
      <c r="D496" s="777" t="s">
        <v>139</v>
      </c>
      <c r="E496" s="587" t="e">
        <f>+E495</f>
        <v>#REF!</v>
      </c>
      <c r="F496" s="587">
        <v>10240</v>
      </c>
      <c r="G496" s="587" t="e">
        <f t="shared" ref="G496" si="93">+E496*F496</f>
        <v>#REF!</v>
      </c>
      <c r="H496" s="208"/>
      <c r="I496" s="899"/>
      <c r="J496" s="208"/>
      <c r="K496" s="208"/>
      <c r="L496" s="208"/>
      <c r="M496" s="900"/>
      <c r="N496" s="901"/>
      <c r="O496" s="207"/>
      <c r="P496" s="207"/>
      <c r="Q496" s="207"/>
      <c r="R496" s="207"/>
      <c r="S496" s="207"/>
      <c r="T496" s="207"/>
      <c r="U496" s="16"/>
      <c r="V496" s="805"/>
      <c r="W496" s="807"/>
      <c r="X496" s="575">
        <v>98470</v>
      </c>
      <c r="Y496" s="960">
        <v>5021</v>
      </c>
      <c r="Z496" s="960">
        <f>+X496-Y496</f>
        <v>93449</v>
      </c>
      <c r="AA496" s="102" t="s">
        <v>1397</v>
      </c>
      <c r="AB496" s="104" t="s">
        <v>500</v>
      </c>
      <c r="AC496" s="101"/>
      <c r="AD496" s="1168"/>
      <c r="AE496" s="102" t="s">
        <v>1397</v>
      </c>
      <c r="AF496" s="104" t="s">
        <v>500</v>
      </c>
      <c r="AG496" s="103">
        <f>+'[8]PRESUPUESTO-SUM'!AF28</f>
        <v>0</v>
      </c>
      <c r="AH496" s="575">
        <v>5021</v>
      </c>
      <c r="AI496" s="792">
        <f>+AH496*AG496</f>
        <v>0</v>
      </c>
    </row>
    <row r="497" spans="1:35" s="45" customFormat="1">
      <c r="A497" s="185"/>
      <c r="B497" s="101"/>
      <c r="C497" s="102" t="s">
        <v>1396</v>
      </c>
      <c r="D497" s="104" t="s">
        <v>500</v>
      </c>
      <c r="E497" s="103">
        <v>50</v>
      </c>
      <c r="F497" s="575">
        <v>5021</v>
      </c>
      <c r="G497" s="792">
        <f>+F497*E497</f>
        <v>251050</v>
      </c>
      <c r="H497" s="208"/>
      <c r="I497" s="899"/>
      <c r="J497" s="208"/>
      <c r="K497" s="208"/>
      <c r="L497" s="208"/>
      <c r="M497" s="900"/>
      <c r="N497" s="901"/>
      <c r="O497" s="207"/>
      <c r="P497" s="207"/>
      <c r="Q497" s="207"/>
      <c r="R497" s="207"/>
      <c r="S497" s="207"/>
      <c r="T497" s="207"/>
      <c r="U497" s="16"/>
      <c r="V497" s="805"/>
      <c r="W497" s="807"/>
      <c r="X497" s="575">
        <v>69240</v>
      </c>
      <c r="Y497" s="960">
        <v>5021</v>
      </c>
      <c r="Z497" s="960">
        <f t="shared" ref="Z497:Z498" si="94">+X497-Y497</f>
        <v>64219</v>
      </c>
      <c r="AA497" s="102" t="s">
        <v>1402</v>
      </c>
      <c r="AB497" s="104" t="s">
        <v>500</v>
      </c>
      <c r="AC497" s="101"/>
      <c r="AD497" s="1168"/>
      <c r="AE497" s="102" t="s">
        <v>1402</v>
      </c>
      <c r="AF497" s="104" t="s">
        <v>500</v>
      </c>
      <c r="AG497" s="103">
        <v>220</v>
      </c>
      <c r="AH497" s="575">
        <v>3632</v>
      </c>
      <c r="AI497" s="792">
        <f>+AH497*AG497</f>
        <v>799040</v>
      </c>
    </row>
    <row r="498" spans="1:35" s="45" customFormat="1">
      <c r="A498" s="185"/>
      <c r="B498" s="101"/>
      <c r="C498" s="102" t="s">
        <v>1397</v>
      </c>
      <c r="D498" s="104" t="s">
        <v>500</v>
      </c>
      <c r="E498" s="103" t="e">
        <f>+#REF!</f>
        <v>#REF!</v>
      </c>
      <c r="F498" s="575">
        <v>5021</v>
      </c>
      <c r="G498" s="792" t="e">
        <f>+F498*E498</f>
        <v>#REF!</v>
      </c>
      <c r="H498" s="208"/>
      <c r="I498" s="899"/>
      <c r="J498" s="208"/>
      <c r="K498" s="208"/>
      <c r="L498" s="208"/>
      <c r="M498" s="900"/>
      <c r="N498" s="901"/>
      <c r="O498" s="207"/>
      <c r="P498" s="207"/>
      <c r="Q498" s="207"/>
      <c r="R498" s="207"/>
      <c r="S498" s="207"/>
      <c r="T498" s="207"/>
      <c r="U498" s="16"/>
      <c r="V498" s="805"/>
      <c r="W498" s="807"/>
      <c r="X498" s="575">
        <v>42070</v>
      </c>
      <c r="Y498" s="960">
        <v>3632</v>
      </c>
      <c r="Z498" s="960">
        <f t="shared" si="94"/>
        <v>38438</v>
      </c>
      <c r="AA498" s="102" t="s">
        <v>1434</v>
      </c>
      <c r="AB498" s="104" t="s">
        <v>500</v>
      </c>
      <c r="AC498" s="101"/>
      <c r="AD498" s="1168"/>
      <c r="AE498" s="102" t="s">
        <v>1434</v>
      </c>
      <c r="AF498" s="104" t="s">
        <v>500</v>
      </c>
      <c r="AG498" s="103">
        <v>546</v>
      </c>
      <c r="AH498" s="575">
        <v>3512</v>
      </c>
      <c r="AI498" s="792">
        <f>+AH498*AG498</f>
        <v>1917552</v>
      </c>
    </row>
    <row r="499" spans="1:35" s="45" customFormat="1">
      <c r="A499" s="185"/>
      <c r="B499" s="101"/>
      <c r="C499" s="102" t="s">
        <v>1402</v>
      </c>
      <c r="D499" s="104" t="s">
        <v>500</v>
      </c>
      <c r="E499" s="103">
        <v>220</v>
      </c>
      <c r="F499" s="575">
        <v>3632</v>
      </c>
      <c r="G499" s="792">
        <f t="shared" ref="G499:G500" si="95">+F499*E499</f>
        <v>799040</v>
      </c>
      <c r="H499" s="208"/>
      <c r="I499" s="899"/>
      <c r="J499" s="208"/>
      <c r="K499" s="208"/>
      <c r="L499" s="208"/>
      <c r="M499" s="900"/>
      <c r="N499" s="901"/>
      <c r="O499" s="207"/>
      <c r="P499" s="207"/>
      <c r="Q499" s="207"/>
      <c r="R499" s="207"/>
      <c r="S499" s="207"/>
      <c r="T499" s="207"/>
      <c r="U499" s="16"/>
      <c r="V499" s="805"/>
      <c r="W499" s="807"/>
      <c r="X499" s="208">
        <v>14720</v>
      </c>
      <c r="Y499" s="44">
        <v>3514</v>
      </c>
      <c r="Z499" s="1031">
        <f>+X499-Y499</f>
        <v>11206</v>
      </c>
      <c r="AA499" s="1042" t="s">
        <v>1406</v>
      </c>
      <c r="AB499" s="104" t="s">
        <v>500</v>
      </c>
      <c r="AC499" s="998"/>
      <c r="AD499" s="1154"/>
      <c r="AE499" s="1042" t="s">
        <v>1406</v>
      </c>
      <c r="AF499" s="104" t="s">
        <v>500</v>
      </c>
      <c r="AG499" s="103">
        <v>423</v>
      </c>
      <c r="AH499" s="575">
        <v>3512</v>
      </c>
      <c r="AI499" s="792">
        <f>+AH499*AG499</f>
        <v>1485576</v>
      </c>
    </row>
    <row r="500" spans="1:35" s="45" customFormat="1" ht="15.75" thickBot="1">
      <c r="A500" s="185"/>
      <c r="B500" s="101"/>
      <c r="C500" s="102" t="s">
        <v>1434</v>
      </c>
      <c r="D500" s="104" t="s">
        <v>500</v>
      </c>
      <c r="E500" s="103">
        <v>546</v>
      </c>
      <c r="F500" s="575">
        <v>3512</v>
      </c>
      <c r="G500" s="792">
        <f t="shared" si="95"/>
        <v>1917552</v>
      </c>
      <c r="H500" s="208"/>
      <c r="I500" s="899"/>
      <c r="J500" s="208"/>
      <c r="K500" s="208"/>
      <c r="L500" s="208"/>
      <c r="M500" s="900"/>
      <c r="N500" s="901"/>
      <c r="O500" s="207"/>
      <c r="P500" s="207"/>
      <c r="Q500" s="207"/>
      <c r="R500" s="207"/>
      <c r="S500" s="207"/>
      <c r="T500" s="207"/>
      <c r="U500" s="16"/>
      <c r="V500" s="805"/>
      <c r="W500" s="807"/>
      <c r="X500" s="208"/>
      <c r="Y500" s="44"/>
      <c r="Z500" s="44"/>
      <c r="AA500" s="44"/>
      <c r="AB500" s="44">
        <f>304+242</f>
        <v>546</v>
      </c>
      <c r="AC500" s="1119"/>
      <c r="AD500" s="1165"/>
      <c r="AE500" s="1074"/>
      <c r="AF500" s="1075"/>
      <c r="AG500" s="1076"/>
      <c r="AH500" s="1077" t="s">
        <v>1398</v>
      </c>
      <c r="AI500" s="1126">
        <f>SUM(AI493:AI499)</f>
        <v>19402908</v>
      </c>
    </row>
    <row r="501" spans="1:35" s="45" customFormat="1">
      <c r="A501" s="185"/>
      <c r="B501" s="998"/>
      <c r="C501" s="1042" t="s">
        <v>1406</v>
      </c>
      <c r="D501" s="104" t="s">
        <v>500</v>
      </c>
      <c r="E501" s="103">
        <v>423</v>
      </c>
      <c r="F501" s="575">
        <v>3512</v>
      </c>
      <c r="G501" s="792">
        <f t="shared" ref="G501" si="96">+F501*E501</f>
        <v>1485576</v>
      </c>
      <c r="H501" s="208"/>
      <c r="I501" s="899"/>
      <c r="J501" s="208"/>
      <c r="K501" s="208"/>
      <c r="L501" s="208"/>
      <c r="M501" s="900"/>
      <c r="N501" s="901"/>
      <c r="O501" s="207"/>
      <c r="P501" s="207"/>
      <c r="Q501" s="207"/>
      <c r="R501" s="207"/>
      <c r="S501" s="207"/>
      <c r="T501" s="207"/>
      <c r="U501" s="16"/>
      <c r="V501" s="805"/>
      <c r="W501" s="807"/>
      <c r="X501" s="208"/>
      <c r="Y501" s="44"/>
      <c r="Z501" s="44"/>
      <c r="AA501" s="44"/>
      <c r="AB501" s="44"/>
      <c r="AC501" s="827"/>
      <c r="AD501" s="1171"/>
      <c r="AE501" s="887"/>
      <c r="AF501" s="827"/>
      <c r="AG501" s="594"/>
      <c r="AH501" s="575"/>
      <c r="AI501" s="792"/>
    </row>
    <row r="502" spans="1:35" s="45" customFormat="1" ht="15.75" thickBot="1">
      <c r="A502" s="185"/>
      <c r="B502" s="876"/>
      <c r="C502" s="871"/>
      <c r="D502" s="873"/>
      <c r="E502" s="874"/>
      <c r="F502" s="947" t="s">
        <v>1398</v>
      </c>
      <c r="G502" s="1004" t="e">
        <f>SUM(G495:G501)</f>
        <v>#REF!</v>
      </c>
      <c r="H502" s="208"/>
      <c r="I502" s="899"/>
      <c r="J502" s="208"/>
      <c r="K502" s="208"/>
      <c r="L502" s="208"/>
      <c r="M502" s="900"/>
      <c r="N502" s="901"/>
      <c r="O502" s="207"/>
      <c r="P502" s="207"/>
      <c r="Q502" s="207"/>
      <c r="R502" s="207"/>
      <c r="S502" s="207"/>
      <c r="T502" s="207"/>
      <c r="U502" s="16"/>
      <c r="V502" s="805"/>
      <c r="W502" s="807"/>
      <c r="X502" s="208"/>
      <c r="Y502" s="44"/>
      <c r="Z502" s="44"/>
      <c r="AA502" s="44"/>
      <c r="AB502" s="44"/>
      <c r="AC502" s="38"/>
      <c r="AD502" s="38"/>
      <c r="AE502" s="1132"/>
      <c r="AF502" s="1133"/>
      <c r="AG502" s="1133"/>
      <c r="AH502" s="1134" t="s">
        <v>94</v>
      </c>
      <c r="AI502" s="1135">
        <f>+AI500+AI486+AI478+AI438+AI421+AI411+AI333+AI281+AI254+AI204+AI169+AI129+AI85+AI42+AI30</f>
        <v>1621751355.74</v>
      </c>
    </row>
    <row r="503" spans="1:35" s="45" customFormat="1">
      <c r="A503" s="185"/>
      <c r="B503" s="827"/>
      <c r="C503" s="887"/>
      <c r="D503" s="827"/>
      <c r="E503" s="594"/>
      <c r="F503" s="575"/>
      <c r="G503" s="792"/>
      <c r="H503" s="208"/>
      <c r="I503" s="899"/>
      <c r="J503" s="208"/>
      <c r="K503" s="208"/>
      <c r="L503" s="208"/>
      <c r="M503" s="900"/>
      <c r="N503" s="901"/>
      <c r="O503" s="207"/>
      <c r="P503" s="207"/>
      <c r="Q503" s="207"/>
      <c r="R503" s="207"/>
      <c r="S503" s="207"/>
      <c r="T503" s="207"/>
      <c r="U503" s="16"/>
      <c r="V503" s="805"/>
      <c r="W503" s="807"/>
      <c r="X503" s="208"/>
      <c r="Y503" s="44"/>
      <c r="Z503" s="44"/>
      <c r="AA503" s="44"/>
      <c r="AB503" s="44"/>
      <c r="AC503" s="38"/>
      <c r="AD503" s="38"/>
      <c r="AE503" s="157"/>
      <c r="AI503" s="796"/>
    </row>
    <row r="504" spans="1:35" s="45" customFormat="1" ht="15.75" customHeight="1">
      <c r="A504" s="212"/>
      <c r="B504" s="38"/>
      <c r="C504" s="145"/>
      <c r="D504" s="146"/>
      <c r="E504" s="146"/>
      <c r="F504" s="147" t="s">
        <v>94</v>
      </c>
      <c r="G504" s="946" t="e">
        <f>+G502+G492+G488+G480+G440+G423+G413+G335+G281+G254+G204+G169+G129+G85+G42+G30</f>
        <v>#REF!</v>
      </c>
      <c r="H504" s="214"/>
      <c r="I504" s="214" t="e">
        <v>#DIV/0!</v>
      </c>
      <c r="J504" s="214"/>
      <c r="K504" s="214"/>
      <c r="L504" s="214"/>
      <c r="M504" s="214"/>
      <c r="N504" s="214"/>
      <c r="O504" s="214"/>
      <c r="P504" s="214"/>
      <c r="Q504" s="214"/>
      <c r="R504" s="214"/>
      <c r="S504" s="214"/>
      <c r="T504" s="214"/>
      <c r="U504" s="16"/>
      <c r="V504" s="805"/>
      <c r="W504" s="44"/>
      <c r="X504" s="44"/>
      <c r="Y504" s="44"/>
      <c r="Z504" s="44"/>
      <c r="AA504" s="44"/>
      <c r="AB504" s="44"/>
      <c r="AC504" s="38"/>
      <c r="AD504" s="38"/>
      <c r="AE504" s="1136" t="s">
        <v>96</v>
      </c>
      <c r="AF504" s="1137"/>
      <c r="AG504" s="1138"/>
      <c r="AH504" s="1139"/>
      <c r="AI504" s="1140"/>
    </row>
    <row r="505" spans="1:35" s="45" customFormat="1">
      <c r="A505" s="212"/>
      <c r="B505" s="38"/>
      <c r="C505" s="157"/>
      <c r="G505" s="796"/>
      <c r="H505" s="38"/>
      <c r="I505" s="38"/>
      <c r="J505" s="38"/>
      <c r="K505" s="38"/>
      <c r="L505" s="38"/>
      <c r="M505" s="38"/>
      <c r="N505" s="38"/>
      <c r="O505" s="38"/>
      <c r="P505" s="38"/>
      <c r="Q505" s="38"/>
      <c r="R505" s="38"/>
      <c r="S505" s="38"/>
      <c r="T505" s="38"/>
      <c r="U505" s="16"/>
      <c r="V505" s="805"/>
      <c r="W505" s="44"/>
      <c r="X505" s="44"/>
      <c r="Y505" s="44"/>
      <c r="Z505" s="44"/>
      <c r="AA505" s="44"/>
      <c r="AB505" s="44"/>
      <c r="AC505" s="38"/>
      <c r="AD505" s="38"/>
      <c r="AE505" s="170"/>
      <c r="AF505" s="171"/>
      <c r="AG505" s="171"/>
      <c r="AH505" s="172" t="s">
        <v>98</v>
      </c>
      <c r="AI505" s="799">
        <f>+AI502</f>
        <v>1621751355.74</v>
      </c>
    </row>
    <row r="506" spans="1:35" s="45" customFormat="1">
      <c r="A506" s="212"/>
      <c r="B506" s="38"/>
      <c r="C506" s="162" t="s">
        <v>96</v>
      </c>
      <c r="D506" s="163"/>
      <c r="E506" s="164"/>
      <c r="F506" s="165"/>
      <c r="G506" s="798"/>
      <c r="H506" s="95"/>
      <c r="I506" s="95"/>
      <c r="J506" s="95"/>
      <c r="K506" s="95"/>
      <c r="L506" s="95"/>
      <c r="M506" s="95"/>
      <c r="N506" s="95"/>
      <c r="O506" s="95"/>
      <c r="P506" s="95"/>
      <c r="Q506" s="95"/>
      <c r="R506" s="95"/>
      <c r="S506" s="95"/>
      <c r="T506" s="95"/>
      <c r="U506" s="16"/>
      <c r="V506" s="805"/>
      <c r="W506" s="44"/>
      <c r="X506" s="44"/>
      <c r="Y506" s="44"/>
      <c r="Z506" s="44"/>
      <c r="AA506" s="44"/>
      <c r="AB506" s="44"/>
      <c r="AC506" s="917"/>
      <c r="AD506" s="917"/>
      <c r="AE506" s="177"/>
      <c r="AF506" s="178"/>
      <c r="AG506" s="179" t="s">
        <v>100</v>
      </c>
      <c r="AH506" s="180">
        <v>0.17499999999999999</v>
      </c>
      <c r="AI506" s="800">
        <f>+AI505*AH506</f>
        <v>283806487.25449997</v>
      </c>
    </row>
    <row r="507" spans="1:35" s="45" customFormat="1">
      <c r="A507" s="212"/>
      <c r="B507" s="38"/>
      <c r="C507" s="170"/>
      <c r="D507" s="171"/>
      <c r="E507" s="171"/>
      <c r="F507" s="172" t="s">
        <v>98</v>
      </c>
      <c r="G507" s="799" t="e">
        <f>+G504</f>
        <v>#REF!</v>
      </c>
      <c r="H507" s="95"/>
      <c r="I507" s="95"/>
      <c r="J507" s="95"/>
      <c r="K507" s="95"/>
      <c r="L507" s="95"/>
      <c r="M507" s="95"/>
      <c r="N507" s="95"/>
      <c r="O507" s="95"/>
      <c r="P507" s="95"/>
      <c r="Q507" s="95"/>
      <c r="R507" s="95"/>
      <c r="S507" s="95"/>
      <c r="T507" s="95"/>
      <c r="U507" s="16"/>
      <c r="V507" s="805"/>
      <c r="W507" s="44"/>
      <c r="X507" s="44"/>
      <c r="Y507" s="44"/>
      <c r="Z507" s="44"/>
      <c r="AA507" s="44"/>
      <c r="AB507" s="44"/>
      <c r="AC507" s="917"/>
      <c r="AD507" s="917"/>
      <c r="AE507" s="1141"/>
      <c r="AF507" s="1142"/>
      <c r="AG507" s="1143" t="s">
        <v>102</v>
      </c>
      <c r="AH507" s="1144">
        <v>8.5000000000000006E-2</v>
      </c>
      <c r="AI507" s="801">
        <f>+AI505*AH507</f>
        <v>137848865.23790002</v>
      </c>
    </row>
    <row r="508" spans="1:35">
      <c r="C508" s="177"/>
      <c r="D508" s="178"/>
      <c r="E508" s="179" t="s">
        <v>100</v>
      </c>
      <c r="F508" s="180">
        <v>0.17</v>
      </c>
      <c r="G508" s="800" t="e">
        <f>+G507*F508</f>
        <v>#REF!</v>
      </c>
      <c r="W508" s="419"/>
      <c r="AE508" s="1141"/>
      <c r="AF508" s="1142"/>
      <c r="AG508" s="1143" t="s">
        <v>104</v>
      </c>
      <c r="AH508" s="1144">
        <v>0.05</v>
      </c>
      <c r="AI508" s="801">
        <f>+AI505*AH508</f>
        <v>81087567.787</v>
      </c>
    </row>
    <row r="509" spans="1:35">
      <c r="C509" s="186"/>
      <c r="D509" s="187"/>
      <c r="E509" s="188" t="s">
        <v>102</v>
      </c>
      <c r="F509" s="189">
        <v>0.08</v>
      </c>
      <c r="G509" s="801" t="e">
        <f>+G507*F509</f>
        <v>#REF!</v>
      </c>
      <c r="W509" s="419"/>
      <c r="AE509" s="191"/>
      <c r="AF509" s="1145"/>
      <c r="AG509" s="1146" t="s">
        <v>105</v>
      </c>
      <c r="AH509" s="194">
        <f>+AH508+AH507+AH506</f>
        <v>0.31</v>
      </c>
      <c r="AI509" s="802">
        <f>+AI506+AI507+AI508</f>
        <v>502742920.27939999</v>
      </c>
    </row>
    <row r="510" spans="1:35">
      <c r="C510" s="186"/>
      <c r="D510" s="187"/>
      <c r="E510" s="188" t="s">
        <v>104</v>
      </c>
      <c r="F510" s="189">
        <v>0.05</v>
      </c>
      <c r="G510" s="801" t="e">
        <f>+G507*F510</f>
        <v>#REF!</v>
      </c>
      <c r="W510" s="419"/>
      <c r="AE510" s="191"/>
      <c r="AF510" s="1145"/>
      <c r="AG510" s="1146" t="s">
        <v>107</v>
      </c>
      <c r="AH510" s="194">
        <v>0.16</v>
      </c>
      <c r="AI510" s="803">
        <f>+AI508*AH510</f>
        <v>12974010.84592</v>
      </c>
    </row>
    <row r="511" spans="1:35">
      <c r="C511" s="191"/>
      <c r="D511" s="192"/>
      <c r="E511" s="193" t="s">
        <v>105</v>
      </c>
      <c r="F511" s="194">
        <f>+F510+F509+F508</f>
        <v>0.30000000000000004</v>
      </c>
      <c r="G511" s="802" t="e">
        <f>+G508+G509+G510</f>
        <v>#REF!</v>
      </c>
      <c r="AE511" s="1147"/>
      <c r="AF511" s="1148"/>
      <c r="AG511" s="1148"/>
      <c r="AH511" s="1149" t="s">
        <v>109</v>
      </c>
      <c r="AI511" s="1150">
        <f>+AI505+AI509+AI510</f>
        <v>2137468286.8653202</v>
      </c>
    </row>
    <row r="512" spans="1:35">
      <c r="C512" s="191"/>
      <c r="D512" s="192"/>
      <c r="E512" s="193" t="s">
        <v>107</v>
      </c>
      <c r="F512" s="194">
        <v>0.16</v>
      </c>
      <c r="G512" s="803" t="e">
        <f>+G510*F512</f>
        <v>#REF!</v>
      </c>
      <c r="AC512" s="45"/>
      <c r="AD512" s="45"/>
      <c r="AE512" s="45"/>
    </row>
    <row r="513" spans="3:31">
      <c r="C513" s="200"/>
      <c r="D513" s="201"/>
      <c r="E513" s="201"/>
      <c r="F513" s="202" t="s">
        <v>109</v>
      </c>
      <c r="G513" s="804" t="e">
        <f>+G507+G511+G512</f>
        <v>#REF!</v>
      </c>
      <c r="X513" s="885" t="e">
        <f>+G513*1.08</f>
        <v>#REF!</v>
      </c>
      <c r="AC513" s="45"/>
      <c r="AD513" s="45"/>
      <c r="AE513" s="45"/>
    </row>
    <row r="514" spans="3:31">
      <c r="C514" s="38"/>
      <c r="G514" s="810"/>
      <c r="X514" s="917">
        <v>2406339517</v>
      </c>
    </row>
    <row r="515" spans="3:31">
      <c r="C515" s="38"/>
      <c r="G515" s="1046"/>
    </row>
    <row r="516" spans="3:31">
      <c r="C516" s="38"/>
      <c r="G516" s="1046"/>
      <c r="AE516" s="1040" t="e">
        <f>+AE546</f>
        <v>#REF!</v>
      </c>
    </row>
    <row r="517" spans="3:31">
      <c r="C517" s="38"/>
      <c r="G517" s="1046"/>
    </row>
    <row r="518" spans="3:31">
      <c r="C518" s="38"/>
      <c r="G518" s="1046"/>
    </row>
    <row r="519" spans="3:31">
      <c r="C519" s="38"/>
      <c r="G519" s="1046"/>
    </row>
    <row r="520" spans="3:31">
      <c r="C520" s="38"/>
      <c r="G520" s="1046"/>
    </row>
    <row r="521" spans="3:31">
      <c r="C521" s="38"/>
      <c r="G521" s="1046"/>
    </row>
    <row r="522" spans="3:31">
      <c r="C522" s="38"/>
      <c r="G522" s="1046"/>
    </row>
    <row r="523" spans="3:31">
      <c r="C523" s="38"/>
      <c r="G523" s="1046"/>
    </row>
    <row r="524" spans="3:31">
      <c r="C524" s="38"/>
      <c r="G524" s="1046"/>
    </row>
    <row r="525" spans="3:31">
      <c r="C525" s="38"/>
      <c r="G525" s="1046"/>
    </row>
    <row r="526" spans="3:31">
      <c r="C526" s="38"/>
      <c r="G526" s="1046"/>
    </row>
    <row r="527" spans="3:31">
      <c r="C527" s="38"/>
      <c r="G527" s="1046"/>
    </row>
    <row r="528" spans="3:31">
      <c r="C528" s="38"/>
      <c r="G528" s="1046"/>
    </row>
    <row r="529" spans="2:31">
      <c r="C529" s="38"/>
      <c r="G529" s="1046"/>
    </row>
    <row r="530" spans="2:31">
      <c r="C530" s="38"/>
      <c r="G530" s="1046"/>
    </row>
    <row r="531" spans="2:31">
      <c r="C531" s="38"/>
      <c r="G531" s="1046"/>
    </row>
    <row r="532" spans="2:31" ht="23.25">
      <c r="B532" s="1909" t="s">
        <v>1421</v>
      </c>
      <c r="C532" s="1909"/>
      <c r="D532" s="1909"/>
      <c r="E532" s="1909"/>
      <c r="F532" s="1909"/>
      <c r="G532" s="1909"/>
    </row>
    <row r="533" spans="2:31">
      <c r="C533" s="38"/>
      <c r="D533" s="38"/>
      <c r="E533" s="38"/>
      <c r="F533" s="38"/>
      <c r="G533" s="211"/>
    </row>
    <row r="534" spans="2:31">
      <c r="C534" s="38"/>
      <c r="D534" s="38"/>
      <c r="E534" s="38"/>
      <c r="F534" s="38"/>
      <c r="G534" s="211"/>
    </row>
    <row r="535" spans="2:31">
      <c r="C535" s="38"/>
      <c r="D535" s="216"/>
      <c r="E535" s="217"/>
      <c r="F535" s="95"/>
      <c r="G535" s="95"/>
    </row>
    <row r="536" spans="2:31" ht="15.75">
      <c r="C536" s="1920" t="s">
        <v>947</v>
      </c>
      <c r="D536" s="1920"/>
      <c r="E536" s="1920"/>
      <c r="F536" s="1920"/>
      <c r="G536" s="1038" t="e">
        <f>+G513</f>
        <v>#REF!</v>
      </c>
    </row>
    <row r="537" spans="2:31" ht="15.75">
      <c r="C537" s="1919" t="s">
        <v>1435</v>
      </c>
      <c r="D537" s="1919"/>
      <c r="E537" s="1919"/>
      <c r="F537" s="1919"/>
      <c r="G537" s="1003" t="e">
        <f>+G536*0.06</f>
        <v>#REF!</v>
      </c>
      <c r="AB537" s="419">
        <f>1231.45+0.12</f>
        <v>1231.57</v>
      </c>
    </row>
    <row r="538" spans="2:31" ht="15.75">
      <c r="C538" s="971"/>
      <c r="D538" s="971"/>
      <c r="E538" s="971"/>
      <c r="F538" s="971"/>
      <c r="G538" s="1003"/>
      <c r="AB538" s="419">
        <f>+AB537-0.06</f>
        <v>1231.51</v>
      </c>
    </row>
    <row r="539" spans="2:31" ht="15.75">
      <c r="C539" s="1921" t="s">
        <v>948</v>
      </c>
      <c r="D539" s="1921"/>
      <c r="E539" s="1921"/>
      <c r="F539" s="1921"/>
      <c r="G539" s="1003" t="e">
        <f>+#REF!</f>
        <v>#REF!</v>
      </c>
    </row>
    <row r="540" spans="2:31" ht="15.75">
      <c r="C540" s="1921" t="s">
        <v>1322</v>
      </c>
      <c r="D540" s="1921"/>
      <c r="E540" s="1921"/>
      <c r="F540" s="1921"/>
      <c r="G540" s="1003" t="e">
        <f>+G539*0.04</f>
        <v>#REF!</v>
      </c>
      <c r="X540" s="1029" t="e">
        <f>+X514-G540</f>
        <v>#REF!</v>
      </c>
    </row>
    <row r="541" spans="2:31" ht="15.75">
      <c r="C541" s="1036"/>
      <c r="D541" s="1036"/>
      <c r="E541" s="1036"/>
      <c r="F541" s="1036"/>
      <c r="G541" s="1037"/>
    </row>
    <row r="542" spans="2:31" ht="15.75">
      <c r="C542" s="1921" t="s">
        <v>570</v>
      </c>
      <c r="D542" s="1921"/>
      <c r="E542" s="1921"/>
      <c r="F542" s="1921"/>
      <c r="G542" s="1037" t="e">
        <f>SUM(G536:G541)</f>
        <v>#REF!</v>
      </c>
    </row>
    <row r="543" spans="2:31" ht="15.75">
      <c r="C543" s="1919" t="s">
        <v>1401</v>
      </c>
      <c r="D543" s="1919"/>
      <c r="E543" s="1919"/>
      <c r="F543" s="1919"/>
      <c r="G543" s="1003" t="e">
        <f>+(G542/0.98)*0.02</f>
        <v>#REF!</v>
      </c>
    </row>
    <row r="544" spans="2:31" ht="15.75">
      <c r="C544" s="1919" t="s">
        <v>484</v>
      </c>
      <c r="D544" s="1919"/>
      <c r="E544" s="1919"/>
      <c r="F544" s="1919"/>
      <c r="G544" s="1039" t="e">
        <f>+G542+G543</f>
        <v>#REF!</v>
      </c>
      <c r="X544" s="945" t="e">
        <f>+X514-G544</f>
        <v>#REF!</v>
      </c>
      <c r="AB544" s="424">
        <v>2401551544.4549584</v>
      </c>
      <c r="AE544" s="424">
        <v>2401551544.4549584</v>
      </c>
    </row>
    <row r="546" spans="28:31">
      <c r="AE546" s="1040" t="e">
        <f>+AE544-G544</f>
        <v>#REF!</v>
      </c>
    </row>
    <row r="547" spans="28:31">
      <c r="AB547" s="424" t="e">
        <f>+#REF!/1.3125</f>
        <v>#REF!</v>
      </c>
    </row>
  </sheetData>
  <mergeCells count="24">
    <mergeCell ref="AA30:AB30"/>
    <mergeCell ref="AA42:AB42"/>
    <mergeCell ref="AE30:AH30"/>
    <mergeCell ref="AE42:AH42"/>
    <mergeCell ref="P6:T6"/>
    <mergeCell ref="C30:F30"/>
    <mergeCell ref="C42:F42"/>
    <mergeCell ref="E1:F1"/>
    <mergeCell ref="E2:F2"/>
    <mergeCell ref="B3:D3"/>
    <mergeCell ref="E3:G3"/>
    <mergeCell ref="B4:D4"/>
    <mergeCell ref="E4:G4"/>
    <mergeCell ref="B5:B6"/>
    <mergeCell ref="C5:E6"/>
    <mergeCell ref="F6:G6"/>
    <mergeCell ref="B532:G532"/>
    <mergeCell ref="C543:F543"/>
    <mergeCell ref="C544:F544"/>
    <mergeCell ref="C536:F536"/>
    <mergeCell ref="C537:F537"/>
    <mergeCell ref="C539:F539"/>
    <mergeCell ref="C540:F540"/>
    <mergeCell ref="C542:F542"/>
  </mergeCells>
  <conditionalFormatting sqref="H504:T504">
    <cfRule type="cellIs" dxfId="87" priority="40" stopIfTrue="1" operator="equal">
      <formula>1</formula>
    </cfRule>
  </conditionalFormatting>
  <conditionalFormatting sqref="G513 X336:X495 X499:X503 J336:N503 H336:H503">
    <cfRule type="expression" dxfId="86" priority="41" stopIfTrue="1">
      <formula>"&gt;G29"</formula>
    </cfRule>
    <cfRule type="expression" dxfId="85" priority="42" stopIfTrue="1">
      <formula>"&lt;G29"""</formula>
    </cfRule>
  </conditionalFormatting>
  <conditionalFormatting sqref="N326">
    <cfRule type="cellIs" dxfId="84" priority="43" stopIfTrue="1" operator="notEqual">
      <formula>0</formula>
    </cfRule>
  </conditionalFormatting>
  <conditionalFormatting sqref="B5">
    <cfRule type="cellIs" dxfId="83" priority="44" stopIfTrue="1" operator="equal">
      <formula>"ESCRIBA AQUÍ EL NOMBRE DE LA OBRA"</formula>
    </cfRule>
  </conditionalFormatting>
  <conditionalFormatting sqref="O2:U2">
    <cfRule type="cellIs" dxfId="82" priority="45" stopIfTrue="1" operator="equal">
      <formula>"ESCRIBA AQUÍ EL NOMBRE DE LA OBRA"</formula>
    </cfRule>
  </conditionalFormatting>
  <conditionalFormatting sqref="G1:T1">
    <cfRule type="cellIs" dxfId="81" priority="46" stopIfTrue="1" operator="equal">
      <formula>"CHEQ. INSUMOS"</formula>
    </cfRule>
  </conditionalFormatting>
  <conditionalFormatting sqref="G2:T2">
    <cfRule type="cellIs" dxfId="80" priority="47" stopIfTrue="1" operator="equal">
      <formula>"CHEQ. INSUMOS"</formula>
    </cfRule>
  </conditionalFormatting>
  <conditionalFormatting sqref="O11:T11">
    <cfRule type="cellIs" dxfId="79" priority="37" stopIfTrue="1" operator="notEqual">
      <formula>0</formula>
    </cfRule>
  </conditionalFormatting>
  <conditionalFormatting sqref="U11">
    <cfRule type="cellIs" dxfId="78" priority="38" stopIfTrue="1" operator="notEqual">
      <formula>0</formula>
    </cfRule>
    <cfRule type="cellIs" dxfId="77" priority="39" stopIfTrue="1" operator="equal">
      <formula>0</formula>
    </cfRule>
  </conditionalFormatting>
  <conditionalFormatting sqref="B11:C11 B170:C170 B207:C207 C283">
    <cfRule type="cellIs" dxfId="76" priority="36" stopIfTrue="1" operator="equal">
      <formula>"ESCRIBA AQUÍ EL NOMBRE DEL CAPITULO"</formula>
    </cfRule>
  </conditionalFormatting>
  <conditionalFormatting sqref="O18:T18">
    <cfRule type="cellIs" dxfId="75" priority="33" stopIfTrue="1" operator="notEqual">
      <formula>0</formula>
    </cfRule>
  </conditionalFormatting>
  <conditionalFormatting sqref="U18">
    <cfRule type="cellIs" dxfId="74" priority="34" stopIfTrue="1" operator="notEqual">
      <formula>0</formula>
    </cfRule>
    <cfRule type="cellIs" dxfId="73" priority="35" stopIfTrue="1" operator="equal">
      <formula>0</formula>
    </cfRule>
  </conditionalFormatting>
  <conditionalFormatting sqref="B18:C18">
    <cfRule type="cellIs" dxfId="72" priority="32" stopIfTrue="1" operator="equal">
      <formula>"ESCRIBA AQUÍ EL NOMBRE DEL CAPITULO"</formula>
    </cfRule>
  </conditionalFormatting>
  <conditionalFormatting sqref="O45:T45">
    <cfRule type="cellIs" dxfId="71" priority="29" stopIfTrue="1" operator="notEqual">
      <formula>0</formula>
    </cfRule>
  </conditionalFormatting>
  <conditionalFormatting sqref="U45">
    <cfRule type="cellIs" dxfId="70" priority="30" stopIfTrue="1" operator="notEqual">
      <formula>0</formula>
    </cfRule>
    <cfRule type="cellIs" dxfId="69" priority="31" stopIfTrue="1" operator="equal">
      <formula>0</formula>
    </cfRule>
  </conditionalFormatting>
  <conditionalFormatting sqref="B45:C45">
    <cfRule type="cellIs" dxfId="68" priority="28" stopIfTrue="1" operator="equal">
      <formula>"ESCRIBA AQUÍ EL NOMBRE DEL CAPITULO"</formula>
    </cfRule>
  </conditionalFormatting>
  <conditionalFormatting sqref="O25:T25">
    <cfRule type="cellIs" dxfId="67" priority="25" stopIfTrue="1" operator="notEqual">
      <formula>0</formula>
    </cfRule>
  </conditionalFormatting>
  <conditionalFormatting sqref="U25">
    <cfRule type="cellIs" dxfId="66" priority="26" stopIfTrue="1" operator="notEqual">
      <formula>0</formula>
    </cfRule>
    <cfRule type="cellIs" dxfId="65" priority="27" stopIfTrue="1" operator="equal">
      <formula>0</formula>
    </cfRule>
  </conditionalFormatting>
  <conditionalFormatting sqref="B25:C25">
    <cfRule type="cellIs" dxfId="64" priority="24" stopIfTrue="1" operator="equal">
      <formula>"ESCRIBA AQUÍ EL NOMBRE DEL CAPITULO"</formula>
    </cfRule>
  </conditionalFormatting>
  <conditionalFormatting sqref="B87:C87">
    <cfRule type="cellIs" dxfId="63" priority="23" stopIfTrue="1" operator="equal">
      <formula>"ESCRIBA AQUÍ EL NOMBRE DEL CAPITULO"</formula>
    </cfRule>
  </conditionalFormatting>
  <conditionalFormatting sqref="B131:C131">
    <cfRule type="cellIs" dxfId="62" priority="22" stopIfTrue="1" operator="equal">
      <formula>"ESCRIBA AQUÍ EL NOMBRE DEL CAPITULO"</formula>
    </cfRule>
  </conditionalFormatting>
  <conditionalFormatting sqref="B172:C172">
    <cfRule type="cellIs" dxfId="61" priority="21" stopIfTrue="1" operator="equal">
      <formula>"ESCRIBA AQUÍ EL NOMBRE DEL CAPITULO"</formula>
    </cfRule>
  </conditionalFormatting>
  <conditionalFormatting sqref="B208:C208">
    <cfRule type="cellIs" dxfId="60" priority="20" stopIfTrue="1" operator="equal">
      <formula>"ESCRIBA AQUÍ EL NOMBRE DEL CAPITULO"</formula>
    </cfRule>
  </conditionalFormatting>
  <conditionalFormatting sqref="B32:C32">
    <cfRule type="cellIs" dxfId="59" priority="19" stopIfTrue="1" operator="equal">
      <formula>"ESCRIBA AQUÍ EL NOMBRE DEL CAPITULO"</formula>
    </cfRule>
  </conditionalFormatting>
  <conditionalFormatting sqref="B256:C256">
    <cfRule type="cellIs" dxfId="58" priority="18" stopIfTrue="1" operator="equal">
      <formula>"ESCRIBA AQUÍ EL NOMBRE DEL CAPITULO"</formula>
    </cfRule>
  </conditionalFormatting>
  <conditionalFormatting sqref="C337:C338">
    <cfRule type="cellIs" dxfId="57" priority="17" stopIfTrue="1" operator="equal">
      <formula>"ESCRIBA AQUÍ EL NOMBRE DEL CAPITULO"</formula>
    </cfRule>
  </conditionalFormatting>
  <conditionalFormatting sqref="C415">
    <cfRule type="cellIs" dxfId="56" priority="16" stopIfTrue="1" operator="equal">
      <formula>"ESCRIBA AQUÍ EL NOMBRE DEL CAPITULO"</formula>
    </cfRule>
  </conditionalFormatting>
  <conditionalFormatting sqref="C426">
    <cfRule type="cellIs" dxfId="55" priority="15" stopIfTrue="1" operator="equal">
      <formula>"ESCRIBA AQUÍ EL NOMBRE DEL CAPITULO"</formula>
    </cfRule>
  </conditionalFormatting>
  <conditionalFormatting sqref="C442:C443">
    <cfRule type="cellIs" dxfId="54" priority="14" stopIfTrue="1" operator="equal">
      <formula>"ESCRIBA AQUÍ EL NOMBRE DEL CAPITULO"</formula>
    </cfRule>
  </conditionalFormatting>
  <conditionalFormatting sqref="C468">
    <cfRule type="cellIs" dxfId="53" priority="13" stopIfTrue="1" operator="equal">
      <formula>"ESCRIBA AQUÍ EL NOMBRE DEL CAPITULO"</formula>
    </cfRule>
  </conditionalFormatting>
  <conditionalFormatting sqref="B472:C472">
    <cfRule type="cellIs" dxfId="52" priority="12" stopIfTrue="1" operator="equal">
      <formula>"ESCRIBA AQUÍ EL NOMBRE DEL CAPITULO"</formula>
    </cfRule>
  </conditionalFormatting>
  <conditionalFormatting sqref="B475:C475">
    <cfRule type="cellIs" dxfId="51" priority="11" stopIfTrue="1" operator="equal">
      <formula>"ESCRIBA AQUÍ EL NOMBRE DEL CAPITULO"</formula>
    </cfRule>
  </conditionalFormatting>
  <conditionalFormatting sqref="B478:C478">
    <cfRule type="cellIs" dxfId="50" priority="10" stopIfTrue="1" operator="equal">
      <formula>"ESCRIBA AQUÍ EL NOMBRE DEL CAPITULO"</formula>
    </cfRule>
  </conditionalFormatting>
  <conditionalFormatting sqref="B483:C483">
    <cfRule type="cellIs" dxfId="49" priority="8" stopIfTrue="1" operator="equal">
      <formula>"ESCRIBA AQUÍ EL NOMBRE DEL CAPITULO"</formula>
    </cfRule>
  </conditionalFormatting>
  <conditionalFormatting sqref="B490:C490">
    <cfRule type="cellIs" dxfId="48" priority="6" stopIfTrue="1" operator="equal">
      <formula>"ESCRIBA AQUÍ EL NOMBRE DEL CAPITULO"</formula>
    </cfRule>
  </conditionalFormatting>
  <conditionalFormatting sqref="B494:C494">
    <cfRule type="cellIs" dxfId="47" priority="5" stopIfTrue="1" operator="equal">
      <formula>"ESCRIBA AQUÍ EL NOMBRE DEL CAPITULO"</formula>
    </cfRule>
  </conditionalFormatting>
  <conditionalFormatting sqref="AA335:AA336 AA413 AA424 AA440:AA441 AA466 AA470 AA473 AA476 AA481 AA488 AA492 AA170 AA283 AA45 AA87 AA32 AA131 AA172 AA207:AA208 AA256">
    <cfRule type="cellIs" dxfId="46" priority="4" stopIfTrue="1" operator="equal">
      <formula>"ESCRIBA AQUÍ EL NOMBRE DEL CAPITULO"</formula>
    </cfRule>
  </conditionalFormatting>
  <conditionalFormatting sqref="AI511">
    <cfRule type="expression" dxfId="45" priority="2" stopIfTrue="1">
      <formula>"&gt;G29"</formula>
    </cfRule>
    <cfRule type="expression" dxfId="44" priority="3" stopIfTrue="1">
      <formula>"&lt;G29"""</formula>
    </cfRule>
  </conditionalFormatting>
  <conditionalFormatting sqref="AE335:AE336 AE413 AE424 AE440:AE441 AE466 AC470:AE470 AC473:AE473 AC476:AE476 AC481:AE481 AC488:AE488 AC492:AE492 AC170:AE170 AE283 AC45:AE45 AC25:AE25 AC87:AE87 AC32:AE32 AC131:AE131 AC172:AE172 AC207:AE208 AC256:AE256">
    <cfRule type="cellIs" dxfId="43" priority="1" stopIfTrue="1" operator="equal">
      <formula>"ESCRIBA AQUÍ EL NOMBRE DEL CAPITULO"</formula>
    </cfRule>
  </conditionalFormatting>
  <pageMargins left="0.7" right="0.7" top="0.75" bottom="0.75" header="0.3" footer="0.3"/>
  <pageSetup scale="9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Q498"/>
  <sheetViews>
    <sheetView showGridLines="0" topLeftCell="B172" zoomScale="85" zoomScaleNormal="85" workbookViewId="0">
      <pane xSplit="1" topLeftCell="C1" activePane="topRight" state="frozen"/>
      <selection activeCell="B6" sqref="B6"/>
      <selection pane="topRight" activeCell="W189" sqref="W189"/>
    </sheetView>
  </sheetViews>
  <sheetFormatPr baseColWidth="10" defaultRowHeight="15"/>
  <cols>
    <col min="1" max="1" width="0" hidden="1" customWidth="1"/>
    <col min="2" max="2" width="9.140625" customWidth="1"/>
    <col min="3" max="3" width="44" customWidth="1"/>
    <col min="4" max="4" width="6.140625" customWidth="1"/>
    <col min="5" max="5" width="9" customWidth="1"/>
    <col min="6" max="6" width="12.28515625" bestFit="1" customWidth="1"/>
    <col min="7" max="7" width="19.5703125" customWidth="1"/>
    <col min="8" max="11" width="11.42578125" hidden="1" customWidth="1"/>
    <col min="12" max="12" width="17.42578125" hidden="1" customWidth="1"/>
    <col min="13" max="13" width="16.42578125" hidden="1" customWidth="1"/>
    <col min="14" max="14" width="15.140625" hidden="1" customWidth="1"/>
    <col min="15" max="15" width="3.85546875" hidden="1" customWidth="1"/>
    <col min="16" max="18" width="11.42578125" hidden="1" customWidth="1"/>
    <col min="19" max="19" width="15.140625" hidden="1" customWidth="1"/>
    <col min="20" max="21" width="11.42578125" hidden="1" customWidth="1"/>
    <col min="22" max="22" width="1.85546875" hidden="1" customWidth="1"/>
    <col min="23" max="23" width="19.28515625" customWidth="1"/>
    <col min="24" max="24" width="16.5703125" customWidth="1"/>
    <col min="25" max="25" width="11.42578125" style="419"/>
    <col min="26" max="26" width="13.7109375" style="419" customWidth="1"/>
    <col min="27" max="27" width="12.85546875" style="419" customWidth="1"/>
    <col min="28" max="28" width="17.42578125" style="419" customWidth="1"/>
    <col min="29" max="29" width="5.7109375" customWidth="1"/>
    <col min="32" max="32" width="11.42578125" customWidth="1"/>
    <col min="93" max="95" width="0" hidden="1" customWidth="1"/>
  </cols>
  <sheetData>
    <row r="1" spans="1:95" s="19" customFormat="1" ht="12" hidden="1" customHeight="1" thickTop="1">
      <c r="A1" s="1"/>
      <c r="B1" s="2">
        <v>2012.2</v>
      </c>
      <c r="C1" s="3"/>
      <c r="D1" s="4"/>
      <c r="E1" s="1885" t="s">
        <v>0</v>
      </c>
      <c r="F1" s="1885"/>
      <c r="G1" s="5">
        <v>408578100</v>
      </c>
      <c r="H1" s="6" t="s">
        <v>1</v>
      </c>
      <c r="I1" s="6" t="s">
        <v>2</v>
      </c>
      <c r="J1" s="7" t="s">
        <v>3</v>
      </c>
      <c r="K1" s="7" t="s">
        <v>4</v>
      </c>
      <c r="L1" s="6" t="s">
        <v>5</v>
      </c>
      <c r="M1" s="6" t="s">
        <v>6</v>
      </c>
      <c r="N1" s="8" t="s">
        <v>7</v>
      </c>
      <c r="O1" s="9" t="s">
        <v>6</v>
      </c>
      <c r="P1" s="10"/>
      <c r="Q1" s="10"/>
      <c r="R1" s="10"/>
      <c r="S1" s="10"/>
      <c r="T1" s="10"/>
      <c r="U1" s="11"/>
      <c r="V1" s="12"/>
      <c r="W1" s="13"/>
      <c r="X1" s="14" t="s">
        <v>8</v>
      </c>
      <c r="Y1" s="16"/>
      <c r="Z1" s="16"/>
      <c r="AA1" s="16"/>
      <c r="AB1" s="16"/>
      <c r="AC1" s="17"/>
      <c r="AD1" s="18"/>
      <c r="AE1" s="18"/>
      <c r="AF1" s="18"/>
      <c r="AG1" s="18"/>
      <c r="AH1" s="18"/>
      <c r="BI1" s="20"/>
      <c r="BJ1" s="21"/>
      <c r="BK1" s="22"/>
      <c r="BL1" s="23"/>
      <c r="BM1" s="24"/>
      <c r="BN1" s="25">
        <v>0</v>
      </c>
      <c r="BO1" s="26">
        <v>0</v>
      </c>
      <c r="BP1" s="27"/>
      <c r="BQ1" s="25"/>
      <c r="BR1" s="25">
        <v>1</v>
      </c>
      <c r="BS1" s="25"/>
      <c r="BT1" s="28">
        <v>0</v>
      </c>
      <c r="BU1" s="29">
        <v>0</v>
      </c>
      <c r="BV1" s="29">
        <v>0</v>
      </c>
      <c r="CO1" s="19" t="s">
        <v>9</v>
      </c>
      <c r="CQ1" s="19">
        <v>0</v>
      </c>
    </row>
    <row r="2" spans="1:95" s="19" customFormat="1" ht="12" hidden="1" customHeight="1" thickBot="1">
      <c r="A2" s="1" t="s">
        <v>6</v>
      </c>
      <c r="B2" s="30" t="s">
        <v>6</v>
      </c>
      <c r="C2" s="31"/>
      <c r="D2" s="32"/>
      <c r="E2" s="1886"/>
      <c r="F2" s="1886"/>
      <c r="G2" s="33" t="s">
        <v>10</v>
      </c>
      <c r="H2" s="34">
        <v>2</v>
      </c>
      <c r="I2" s="34">
        <v>3</v>
      </c>
      <c r="J2" s="34"/>
      <c r="K2" s="34"/>
      <c r="L2" s="34"/>
      <c r="M2" s="34"/>
      <c r="N2" s="35">
        <v>1</v>
      </c>
      <c r="O2" s="36"/>
      <c r="P2" s="37"/>
      <c r="Q2" s="37"/>
      <c r="R2" s="37"/>
      <c r="S2" s="37"/>
      <c r="T2" s="37"/>
      <c r="U2" s="37"/>
      <c r="V2" s="12"/>
      <c r="W2" s="15"/>
      <c r="X2" s="15"/>
      <c r="Y2" s="16"/>
      <c r="Z2" s="16"/>
      <c r="AA2" s="16"/>
      <c r="AB2" s="16"/>
      <c r="AC2" s="38"/>
      <c r="AD2" s="38"/>
      <c r="AE2" s="38"/>
      <c r="AF2" s="38"/>
      <c r="AG2" s="38"/>
      <c r="AH2" s="38"/>
    </row>
    <row r="3" spans="1:95" s="45" customFormat="1" ht="21" customHeight="1" thickTop="1">
      <c r="A3" s="39"/>
      <c r="B3" s="1887"/>
      <c r="C3" s="1888"/>
      <c r="D3" s="1888"/>
      <c r="E3" s="1889" t="s">
        <v>12</v>
      </c>
      <c r="F3" s="1890"/>
      <c r="G3" s="1891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1"/>
      <c r="V3" s="12"/>
      <c r="W3" s="42"/>
      <c r="X3" s="42"/>
      <c r="Y3" s="43"/>
      <c r="Z3" s="43"/>
      <c r="AA3" s="43"/>
      <c r="AB3" s="43"/>
      <c r="AC3" s="44"/>
      <c r="AD3" s="44"/>
      <c r="AE3" s="44"/>
      <c r="AF3" s="44"/>
      <c r="AG3" s="44"/>
      <c r="AH3" s="44"/>
    </row>
    <row r="4" spans="1:95" s="45" customFormat="1" ht="21" customHeight="1">
      <c r="A4" s="39"/>
      <c r="B4" s="1892"/>
      <c r="C4" s="1893"/>
      <c r="D4" s="1893"/>
      <c r="E4" s="1894" t="s">
        <v>14</v>
      </c>
      <c r="F4" s="1895"/>
      <c r="G4" s="1896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1"/>
      <c r="V4" s="12"/>
      <c r="W4" s="42"/>
      <c r="X4" s="42"/>
      <c r="Y4" s="43"/>
      <c r="Z4" s="43"/>
      <c r="AA4" s="43"/>
      <c r="AB4" s="43"/>
      <c r="AC4" s="44"/>
      <c r="AD4" s="44"/>
      <c r="AE4" s="44"/>
      <c r="AF4" s="44"/>
      <c r="AG4" s="44"/>
      <c r="AH4" s="44"/>
    </row>
    <row r="5" spans="1:95" s="45" customFormat="1" ht="15" customHeight="1" thickBot="1">
      <c r="A5" s="39"/>
      <c r="B5" s="1897" t="s">
        <v>15</v>
      </c>
      <c r="C5" s="1899" t="s">
        <v>480</v>
      </c>
      <c r="D5" s="1900"/>
      <c r="E5" s="1901"/>
      <c r="F5" s="46" t="s">
        <v>17</v>
      </c>
      <c r="G5" s="47">
        <v>41751</v>
      </c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9"/>
      <c r="V5" s="12"/>
      <c r="W5" s="42"/>
      <c r="X5" s="42"/>
      <c r="Y5" s="43"/>
      <c r="Z5" s="43"/>
      <c r="AA5" s="43"/>
      <c r="AB5" s="43"/>
      <c r="AC5" s="44"/>
      <c r="AD5" s="44"/>
      <c r="AE5" s="44"/>
      <c r="AF5" s="44"/>
      <c r="AG5" s="44"/>
      <c r="AH5" s="44"/>
    </row>
    <row r="6" spans="1:95" s="45" customFormat="1" ht="21" customHeight="1" thickBot="1">
      <c r="A6" s="39"/>
      <c r="B6" s="1898"/>
      <c r="C6" s="1902"/>
      <c r="D6" s="1903"/>
      <c r="E6" s="1904"/>
      <c r="F6" s="1905"/>
      <c r="G6" s="1906"/>
      <c r="H6" s="50"/>
      <c r="I6" s="50"/>
      <c r="J6" s="50"/>
      <c r="K6" s="50"/>
      <c r="L6" s="50"/>
      <c r="M6" s="50"/>
      <c r="N6" s="50"/>
      <c r="O6" s="50"/>
      <c r="P6" s="1881" t="s">
        <v>18</v>
      </c>
      <c r="Q6" s="1882"/>
      <c r="R6" s="1882"/>
      <c r="S6" s="1882"/>
      <c r="T6" s="1883"/>
      <c r="U6" s="51"/>
      <c r="V6" s="12"/>
      <c r="W6" s="42"/>
      <c r="X6" s="42"/>
      <c r="Y6" s="43"/>
      <c r="Z6" s="43"/>
      <c r="AA6" s="43"/>
      <c r="AB6" s="43"/>
      <c r="AC6" s="44"/>
      <c r="AD6" s="44"/>
      <c r="AE6" s="44"/>
      <c r="AF6" s="44"/>
      <c r="AG6" s="44"/>
      <c r="AH6" s="44"/>
    </row>
    <row r="7" spans="1:95" s="45" customFormat="1" ht="20.100000000000001" customHeight="1" thickTop="1">
      <c r="A7" s="39"/>
      <c r="B7" s="52"/>
      <c r="C7" s="53"/>
      <c r="D7" s="54"/>
      <c r="E7" s="55"/>
      <c r="F7" s="52"/>
      <c r="G7" s="56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8"/>
      <c r="V7" s="12"/>
      <c r="Y7" s="44"/>
      <c r="Z7" s="44"/>
      <c r="AA7" s="44"/>
      <c r="AB7" s="44"/>
    </row>
    <row r="8" spans="1:95" s="45" customFormat="1" ht="15.75" customHeight="1">
      <c r="A8" s="59" t="s">
        <v>19</v>
      </c>
      <c r="B8" s="60" t="s">
        <v>20</v>
      </c>
      <c r="C8" s="60" t="s">
        <v>21</v>
      </c>
      <c r="D8" s="60" t="s">
        <v>22</v>
      </c>
      <c r="E8" s="60" t="s">
        <v>23</v>
      </c>
      <c r="F8" s="60" t="s">
        <v>24</v>
      </c>
      <c r="G8" s="61" t="s">
        <v>25</v>
      </c>
      <c r="H8" s="62" t="s">
        <v>26</v>
      </c>
      <c r="I8" s="62" t="s">
        <v>27</v>
      </c>
      <c r="J8" s="62" t="s">
        <v>28</v>
      </c>
      <c r="K8" s="62" t="s">
        <v>29</v>
      </c>
      <c r="L8" s="62" t="s">
        <v>30</v>
      </c>
      <c r="M8" s="62" t="s">
        <v>31</v>
      </c>
      <c r="N8" s="63" t="s">
        <v>32</v>
      </c>
      <c r="O8" s="57"/>
      <c r="P8" s="64" t="s">
        <v>33</v>
      </c>
      <c r="Q8" s="64" t="s">
        <v>34</v>
      </c>
      <c r="R8" s="64" t="s">
        <v>35</v>
      </c>
      <c r="S8" s="64" t="s">
        <v>36</v>
      </c>
      <c r="T8" s="65" t="s">
        <v>37</v>
      </c>
      <c r="U8" s="58"/>
      <c r="V8" s="12"/>
      <c r="Y8" s="44"/>
      <c r="Z8" s="44"/>
      <c r="AA8" s="44"/>
      <c r="AB8" s="44"/>
    </row>
    <row r="9" spans="1:95" s="45" customFormat="1" ht="14.25" customHeight="1" thickBot="1">
      <c r="A9" s="66"/>
      <c r="B9" s="67"/>
      <c r="C9" s="68"/>
      <c r="D9" s="69"/>
      <c r="E9" s="70"/>
      <c r="F9" s="67"/>
      <c r="G9" s="71"/>
      <c r="H9"/>
      <c r="I9"/>
      <c r="J9"/>
      <c r="K9"/>
      <c r="L9"/>
      <c r="M9"/>
      <c r="N9"/>
      <c r="O9"/>
      <c r="P9"/>
      <c r="Q9"/>
      <c r="R9"/>
      <c r="S9"/>
      <c r="T9"/>
      <c r="U9"/>
      <c r="V9" s="72"/>
      <c r="Y9" s="44"/>
      <c r="Z9" s="44"/>
      <c r="AA9" s="44"/>
      <c r="AB9" s="44"/>
    </row>
    <row r="10" spans="1:95" s="45" customFormat="1" ht="23.1" hidden="1" customHeight="1">
      <c r="A10" s="66"/>
      <c r="B10" s="67"/>
      <c r="C10" s="68"/>
      <c r="D10" s="69"/>
      <c r="E10" s="70"/>
      <c r="F10" s="67"/>
      <c r="G10" s="71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 s="72"/>
      <c r="Y10" s="44"/>
      <c r="Z10" s="44"/>
      <c r="AA10" s="44"/>
      <c r="AB10" s="44"/>
    </row>
    <row r="11" spans="1:95" s="45" customFormat="1" ht="12.75" hidden="1" customHeight="1">
      <c r="A11" s="73" t="s">
        <v>38</v>
      </c>
      <c r="B11" s="74"/>
      <c r="C11" s="75" t="s">
        <v>39</v>
      </c>
      <c r="D11" s="76"/>
      <c r="E11" s="76"/>
      <c r="F11" s="76"/>
      <c r="G11" s="77">
        <f>+G16</f>
        <v>1224780</v>
      </c>
      <c r="H11" s="19"/>
      <c r="I11" s="19"/>
      <c r="J11" s="19"/>
      <c r="K11" s="19"/>
      <c r="L11" s="19"/>
      <c r="M11" s="19"/>
      <c r="N11" s="78">
        <v>689000</v>
      </c>
      <c r="O11" s="79"/>
      <c r="P11" s="80"/>
      <c r="Q11" s="81"/>
      <c r="R11" s="81"/>
      <c r="S11" s="82"/>
      <c r="T11" s="83"/>
      <c r="U11" s="79">
        <v>0</v>
      </c>
      <c r="V11" s="12" t="s">
        <v>9</v>
      </c>
      <c r="Y11" s="44"/>
      <c r="Z11" s="44"/>
      <c r="AA11" s="44"/>
      <c r="AB11" s="44"/>
    </row>
    <row r="12" spans="1:95" s="45" customFormat="1" ht="12.75" hidden="1" customHeight="1">
      <c r="A12" s="84" t="s">
        <v>40</v>
      </c>
      <c r="B12" s="85"/>
      <c r="C12" s="86"/>
      <c r="D12" s="87"/>
      <c r="E12" s="88"/>
      <c r="F12" s="89"/>
      <c r="G12" s="90"/>
      <c r="H12" s="91"/>
      <c r="I12" s="89"/>
      <c r="J12" s="89"/>
      <c r="K12" s="89"/>
      <c r="L12" s="92"/>
      <c r="M12" s="93"/>
      <c r="N12" s="94"/>
      <c r="O12" s="95"/>
      <c r="P12" s="96"/>
      <c r="Q12" s="97"/>
      <c r="R12" s="97"/>
      <c r="S12" s="98"/>
      <c r="T12" s="99"/>
      <c r="U12" s="79"/>
      <c r="V12" s="72"/>
      <c r="Y12" s="44"/>
      <c r="Z12" s="44"/>
      <c r="AA12" s="44"/>
      <c r="AB12" s="44"/>
    </row>
    <row r="13" spans="1:95" s="45" customFormat="1" ht="15.75" hidden="1" thickBot="1">
      <c r="A13" s="100" t="s">
        <v>41</v>
      </c>
      <c r="B13" s="101"/>
      <c r="C13" s="102" t="s">
        <v>42</v>
      </c>
      <c r="D13" s="574" t="s">
        <v>43</v>
      </c>
      <c r="E13" s="103">
        <v>298</v>
      </c>
      <c r="F13" s="25">
        <v>2760</v>
      </c>
      <c r="G13" s="26">
        <f>+F13*E13</f>
        <v>822480</v>
      </c>
      <c r="H13" s="27">
        <v>1300</v>
      </c>
      <c r="I13" s="25">
        <v>1726</v>
      </c>
      <c r="J13" s="25">
        <v>1</v>
      </c>
      <c r="K13" s="25">
        <v>1</v>
      </c>
      <c r="L13" s="28">
        <v>448760</v>
      </c>
      <c r="M13" s="29">
        <v>338000</v>
      </c>
      <c r="N13" s="29">
        <v>338000</v>
      </c>
      <c r="O13" s="95"/>
      <c r="P13" s="96"/>
      <c r="Q13" s="97">
        <v>13369</v>
      </c>
      <c r="R13" s="97">
        <v>267417</v>
      </c>
      <c r="S13" s="98">
        <v>57200</v>
      </c>
      <c r="T13" s="99"/>
      <c r="U13" s="79"/>
      <c r="V13" s="72">
        <v>10</v>
      </c>
      <c r="Y13" s="44"/>
      <c r="Z13" s="44"/>
      <c r="AA13" s="44"/>
      <c r="AB13" s="44"/>
    </row>
    <row r="14" spans="1:95" s="45" customFormat="1" ht="15.75" hidden="1" thickBot="1">
      <c r="A14" s="100" t="s">
        <v>44</v>
      </c>
      <c r="B14" s="101"/>
      <c r="C14" s="102" t="s">
        <v>45</v>
      </c>
      <c r="D14" s="104" t="s">
        <v>43</v>
      </c>
      <c r="E14" s="103">
        <v>298</v>
      </c>
      <c r="F14" s="25">
        <v>1350</v>
      </c>
      <c r="G14" s="26">
        <f t="shared" ref="G14" si="0">+F14*E14</f>
        <v>402300</v>
      </c>
      <c r="H14" s="27">
        <v>1350</v>
      </c>
      <c r="I14" s="25">
        <v>1793</v>
      </c>
      <c r="J14" s="25">
        <v>1</v>
      </c>
      <c r="K14" s="25"/>
      <c r="L14" s="28">
        <v>466180</v>
      </c>
      <c r="M14" s="29">
        <v>351000</v>
      </c>
      <c r="N14" s="29">
        <v>351000</v>
      </c>
      <c r="O14" s="95"/>
      <c r="P14" s="96"/>
      <c r="Q14" s="97">
        <v>351003</v>
      </c>
      <c r="R14" s="97"/>
      <c r="S14" s="98"/>
      <c r="T14" s="99"/>
      <c r="U14" s="79"/>
      <c r="V14" s="72">
        <v>11</v>
      </c>
      <c r="Y14" s="44"/>
      <c r="Z14" s="44"/>
      <c r="AA14" s="44"/>
      <c r="AB14" s="44"/>
    </row>
    <row r="15" spans="1:95" s="45" customFormat="1" ht="15.75" hidden="1" thickBot="1">
      <c r="A15" s="105"/>
      <c r="B15" s="106"/>
      <c r="C15" s="22"/>
      <c r="D15" s="23"/>
      <c r="E15" s="107"/>
      <c r="F15" s="25"/>
      <c r="G15" s="108"/>
      <c r="H15" s="27"/>
      <c r="I15" s="25"/>
      <c r="J15" s="25"/>
      <c r="K15" s="25"/>
      <c r="L15" s="109"/>
      <c r="M15" s="110"/>
      <c r="N15" s="111"/>
      <c r="O15" s="95"/>
      <c r="P15" s="96"/>
      <c r="Q15" s="97"/>
      <c r="R15" s="97"/>
      <c r="S15" s="98"/>
      <c r="T15" s="99"/>
      <c r="U15" s="79"/>
      <c r="V15" s="72"/>
      <c r="Y15" s="44"/>
      <c r="Z15" s="44"/>
      <c r="AA15" s="44"/>
      <c r="AB15" s="44"/>
    </row>
    <row r="16" spans="1:95" s="45" customFormat="1" ht="12.75" hidden="1" customHeight="1" thickBot="1">
      <c r="A16" s="112" t="s">
        <v>46</v>
      </c>
      <c r="B16" s="113"/>
      <c r="C16" s="114"/>
      <c r="D16" s="115"/>
      <c r="E16" s="116"/>
      <c r="F16" s="117" t="s">
        <v>47</v>
      </c>
      <c r="G16" s="118">
        <f>SUM(G13:G15)</f>
        <v>1224780</v>
      </c>
      <c r="H16" s="27"/>
      <c r="I16" s="25"/>
      <c r="J16" s="25"/>
      <c r="K16" s="25"/>
      <c r="L16" s="109"/>
      <c r="M16" s="110"/>
      <c r="N16" s="119">
        <v>689000</v>
      </c>
      <c r="O16" s="95"/>
      <c r="P16" s="120">
        <v>0</v>
      </c>
      <c r="Q16" s="121">
        <v>364372</v>
      </c>
      <c r="R16" s="121">
        <v>267417</v>
      </c>
      <c r="S16" s="122">
        <v>57200</v>
      </c>
      <c r="T16" s="123">
        <v>0</v>
      </c>
      <c r="U16" s="79"/>
      <c r="V16" s="72"/>
      <c r="Y16" s="44"/>
      <c r="Z16" s="44"/>
      <c r="AA16" s="44"/>
      <c r="AB16" s="44"/>
    </row>
    <row r="17" spans="1:28" s="45" customFormat="1" ht="23.1" hidden="1" customHeight="1" thickBot="1">
      <c r="A17" s="124"/>
      <c r="B17" s="67"/>
      <c r="C17" s="68"/>
      <c r="D17" s="69"/>
      <c r="E17" s="70"/>
      <c r="F17" s="67"/>
      <c r="G17" s="125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 s="72"/>
      <c r="Y17" s="44"/>
      <c r="Z17" s="44"/>
      <c r="AA17" s="44"/>
      <c r="AB17" s="44"/>
    </row>
    <row r="18" spans="1:28" s="45" customFormat="1" ht="15.75" hidden="1" thickBot="1">
      <c r="A18" s="73" t="s">
        <v>38</v>
      </c>
      <c r="B18" s="74"/>
      <c r="C18" s="75" t="s">
        <v>48</v>
      </c>
      <c r="D18" s="76"/>
      <c r="E18" s="76"/>
      <c r="F18" s="76"/>
      <c r="G18" s="126">
        <f>+G24</f>
        <v>85268164</v>
      </c>
      <c r="H18" s="19"/>
      <c r="I18" s="19"/>
      <c r="J18" s="19"/>
      <c r="K18" s="19"/>
      <c r="L18" s="19"/>
      <c r="M18" s="19"/>
      <c r="N18" s="78">
        <v>495900</v>
      </c>
      <c r="O18" s="79"/>
      <c r="P18" s="80"/>
      <c r="Q18" s="81"/>
      <c r="R18" s="81"/>
      <c r="S18" s="82"/>
      <c r="T18" s="83"/>
      <c r="U18" s="79">
        <v>0</v>
      </c>
      <c r="V18" s="12" t="s">
        <v>9</v>
      </c>
      <c r="Y18" s="44"/>
      <c r="Z18" s="44"/>
      <c r="AA18" s="44"/>
      <c r="AB18" s="44"/>
    </row>
    <row r="19" spans="1:28" s="45" customFormat="1" ht="15.75" hidden="1" thickBot="1">
      <c r="A19" s="84" t="s">
        <v>40</v>
      </c>
      <c r="B19" s="85"/>
      <c r="C19" s="86"/>
      <c r="D19" s="87"/>
      <c r="E19" s="88"/>
      <c r="F19" s="89"/>
      <c r="G19" s="90"/>
      <c r="H19" s="91"/>
      <c r="I19" s="89"/>
      <c r="J19" s="89"/>
      <c r="K19" s="89"/>
      <c r="L19" s="92"/>
      <c r="M19" s="93"/>
      <c r="N19" s="94"/>
      <c r="O19" s="95"/>
      <c r="P19" s="96"/>
      <c r="Q19" s="97"/>
      <c r="R19" s="97"/>
      <c r="S19" s="98"/>
      <c r="T19" s="99"/>
      <c r="U19" s="79"/>
      <c r="V19" s="72"/>
      <c r="Y19" s="44"/>
      <c r="Z19" s="44"/>
      <c r="AA19" s="44"/>
      <c r="AB19" s="44"/>
    </row>
    <row r="20" spans="1:28" s="45" customFormat="1" ht="20.25" hidden="1" customHeight="1">
      <c r="A20" s="127" t="s">
        <v>49</v>
      </c>
      <c r="B20" s="128"/>
      <c r="C20" s="129" t="s">
        <v>50</v>
      </c>
      <c r="D20" s="130" t="s">
        <v>51</v>
      </c>
      <c r="E20" s="131">
        <f>(111+218+146+116+780+2150)*1.2</f>
        <v>4225.2</v>
      </c>
      <c r="F20" s="25">
        <v>2610</v>
      </c>
      <c r="G20" s="26">
        <f>+F20*E20</f>
        <v>11027772</v>
      </c>
      <c r="H20" s="27">
        <v>2610</v>
      </c>
      <c r="I20" s="25">
        <v>3466</v>
      </c>
      <c r="J20" s="25">
        <v>1</v>
      </c>
      <c r="K20" s="25"/>
      <c r="L20" s="28">
        <v>450580</v>
      </c>
      <c r="M20" s="29">
        <v>339300</v>
      </c>
      <c r="N20" s="29">
        <v>339300</v>
      </c>
      <c r="O20" s="95"/>
      <c r="P20" s="96"/>
      <c r="Q20" s="97">
        <v>339300</v>
      </c>
      <c r="R20" s="97"/>
      <c r="S20" s="98"/>
      <c r="T20" s="99"/>
      <c r="U20" s="79"/>
      <c r="V20" s="72">
        <v>13</v>
      </c>
      <c r="Y20" s="44"/>
      <c r="Z20" s="44"/>
      <c r="AA20" s="44"/>
      <c r="AB20" s="44"/>
    </row>
    <row r="21" spans="1:28" s="45" customFormat="1" ht="24.75" hidden="1" customHeight="1">
      <c r="A21" s="584"/>
      <c r="B21" s="592"/>
      <c r="C21" s="593" t="s">
        <v>481</v>
      </c>
      <c r="D21" s="130" t="s">
        <v>51</v>
      </c>
      <c r="E21" s="594">
        <f>7.2+5.3+7.5+6+20+15</f>
        <v>61</v>
      </c>
      <c r="F21" s="575">
        <v>74380</v>
      </c>
      <c r="G21" s="26">
        <f>+F21*E21</f>
        <v>4537180</v>
      </c>
      <c r="H21" s="576"/>
      <c r="I21" s="575"/>
      <c r="J21" s="575"/>
      <c r="K21" s="575"/>
      <c r="L21" s="577"/>
      <c r="M21" s="578"/>
      <c r="N21" s="578"/>
      <c r="O21" s="95"/>
      <c r="P21" s="579"/>
      <c r="Q21" s="580"/>
      <c r="R21" s="580"/>
      <c r="S21" s="581"/>
      <c r="T21" s="582"/>
      <c r="U21" s="79"/>
      <c r="V21" s="72"/>
      <c r="Y21" s="44"/>
      <c r="Z21" s="44"/>
      <c r="AA21" s="44"/>
      <c r="AB21" s="44"/>
    </row>
    <row r="22" spans="1:28" s="45" customFormat="1" ht="15.75" hidden="1" thickBot="1">
      <c r="A22" s="132" t="s">
        <v>52</v>
      </c>
      <c r="B22" s="133"/>
      <c r="C22" s="134" t="s">
        <v>474</v>
      </c>
      <c r="D22" s="135" t="s">
        <v>51</v>
      </c>
      <c r="E22" s="136">
        <f>+E20</f>
        <v>4225.2</v>
      </c>
      <c r="F22" s="25">
        <v>15560</v>
      </c>
      <c r="G22" s="26">
        <f>+F22*E22</f>
        <v>65744112</v>
      </c>
      <c r="H22" s="27">
        <v>2610</v>
      </c>
      <c r="I22" s="25">
        <v>3466</v>
      </c>
      <c r="J22" s="25">
        <v>1</v>
      </c>
      <c r="K22" s="25"/>
      <c r="L22" s="28">
        <v>207960</v>
      </c>
      <c r="M22" s="29">
        <v>156600</v>
      </c>
      <c r="N22" s="29">
        <v>156600</v>
      </c>
      <c r="O22" s="95"/>
      <c r="P22" s="96"/>
      <c r="Q22" s="97">
        <v>156600</v>
      </c>
      <c r="R22" s="97"/>
      <c r="S22" s="98"/>
      <c r="T22" s="99"/>
      <c r="U22" s="79"/>
      <c r="V22" s="72">
        <v>14</v>
      </c>
      <c r="Y22" s="44"/>
      <c r="Z22" s="44"/>
      <c r="AA22" s="44"/>
      <c r="AB22" s="44"/>
    </row>
    <row r="23" spans="1:28" s="45" customFormat="1" ht="15.75" hidden="1" thickBot="1">
      <c r="A23" s="105"/>
      <c r="B23" s="106"/>
      <c r="C23" s="22" t="s">
        <v>482</v>
      </c>
      <c r="D23" s="23" t="s">
        <v>483</v>
      </c>
      <c r="E23" s="107">
        <f>68+40+100+30+80</f>
        <v>318</v>
      </c>
      <c r="F23" s="25">
        <v>12450</v>
      </c>
      <c r="G23" s="26">
        <f>+F23*E23</f>
        <v>3959100</v>
      </c>
      <c r="H23" s="27"/>
      <c r="I23" s="25"/>
      <c r="J23" s="25"/>
      <c r="K23" s="25"/>
      <c r="L23" s="109"/>
      <c r="M23" s="110"/>
      <c r="N23" s="111"/>
      <c r="O23" s="95"/>
      <c r="P23" s="96"/>
      <c r="Q23" s="97"/>
      <c r="R23" s="97"/>
      <c r="S23" s="98"/>
      <c r="T23" s="99"/>
      <c r="U23" s="79"/>
      <c r="V23" s="72"/>
      <c r="Y23" s="44"/>
      <c r="Z23" s="44"/>
      <c r="AA23" s="44"/>
      <c r="AB23" s="44"/>
    </row>
    <row r="24" spans="1:28" s="45" customFormat="1" ht="15.75" hidden="1" thickBot="1">
      <c r="A24" s="112" t="s">
        <v>46</v>
      </c>
      <c r="B24" s="113"/>
      <c r="C24" s="114"/>
      <c r="D24" s="115"/>
      <c r="E24" s="116"/>
      <c r="F24" s="117" t="s">
        <v>54</v>
      </c>
      <c r="G24" s="137">
        <f>SUM(G20:G23)</f>
        <v>85268164</v>
      </c>
      <c r="H24" s="27"/>
      <c r="I24" s="25"/>
      <c r="J24" s="25"/>
      <c r="K24" s="25"/>
      <c r="L24" s="109"/>
      <c r="M24" s="110"/>
      <c r="N24" s="119">
        <v>495900</v>
      </c>
      <c r="O24" s="95"/>
      <c r="P24" s="120">
        <v>0</v>
      </c>
      <c r="Q24" s="121">
        <v>495900</v>
      </c>
      <c r="R24" s="121">
        <v>0</v>
      </c>
      <c r="S24" s="122">
        <v>0</v>
      </c>
      <c r="T24" s="123">
        <v>0</v>
      </c>
      <c r="U24" s="79"/>
      <c r="V24" s="72"/>
      <c r="Y24" s="44"/>
      <c r="Z24" s="44"/>
      <c r="AA24" s="44"/>
      <c r="AB24" s="44"/>
    </row>
    <row r="25" spans="1:28" s="45" customFormat="1">
      <c r="A25" s="73"/>
      <c r="B25" s="74">
        <v>1</v>
      </c>
      <c r="C25" s="775" t="s">
        <v>1114</v>
      </c>
      <c r="D25" s="76"/>
      <c r="E25" s="76"/>
      <c r="F25" s="76"/>
      <c r="G25" s="126"/>
      <c r="H25" s="19"/>
      <c r="I25" s="19"/>
      <c r="J25" s="19"/>
      <c r="K25" s="19"/>
      <c r="L25" s="19"/>
      <c r="M25" s="19"/>
      <c r="N25" s="78"/>
      <c r="O25" s="79"/>
      <c r="P25" s="80"/>
      <c r="Q25" s="81"/>
      <c r="R25" s="81"/>
      <c r="S25" s="82"/>
      <c r="T25" s="83"/>
      <c r="U25" s="79"/>
      <c r="V25" s="12"/>
      <c r="Y25" s="44"/>
      <c r="Z25" s="44"/>
      <c r="AA25" s="44"/>
      <c r="AB25" s="44"/>
    </row>
    <row r="26" spans="1:28" s="45" customFormat="1" ht="15" customHeight="1">
      <c r="A26" s="124"/>
      <c r="B26" s="771">
        <v>1.1000000000000001</v>
      </c>
      <c r="C26" s="102" t="s">
        <v>975</v>
      </c>
      <c r="D26" s="772" t="s">
        <v>56</v>
      </c>
      <c r="E26" s="773">
        <v>890</v>
      </c>
      <c r="F26" s="587">
        <v>1320</v>
      </c>
      <c r="G26" s="774">
        <f>+F26*E26</f>
        <v>1174800</v>
      </c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 s="72"/>
      <c r="Y26" s="44"/>
      <c r="Z26" s="44"/>
      <c r="AA26" s="44"/>
      <c r="AB26" s="44"/>
    </row>
    <row r="27" spans="1:28" s="45" customFormat="1" ht="15" customHeight="1">
      <c r="A27" s="124"/>
      <c r="B27" s="771">
        <f>+B26+0.1</f>
        <v>1.2000000000000002</v>
      </c>
      <c r="C27" s="102" t="s">
        <v>940</v>
      </c>
      <c r="D27" s="820" t="s">
        <v>56</v>
      </c>
      <c r="E27" s="773">
        <v>896</v>
      </c>
      <c r="F27" s="587">
        <v>1350</v>
      </c>
      <c r="G27" s="774">
        <f t="shared" ref="G27:G29" si="1">+F27*E27</f>
        <v>1209600</v>
      </c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 s="72"/>
      <c r="W27" s="45">
        <f>890+6</f>
        <v>896</v>
      </c>
      <c r="Y27" s="44"/>
      <c r="Z27" s="44"/>
      <c r="AA27" s="44"/>
      <c r="AB27" s="44"/>
    </row>
    <row r="28" spans="1:28" s="45" customFormat="1" ht="15" customHeight="1">
      <c r="A28" s="124"/>
      <c r="B28" s="771">
        <f t="shared" ref="B28:B29" si="2">+B27+0.1</f>
        <v>1.3000000000000003</v>
      </c>
      <c r="C28" s="593" t="s">
        <v>974</v>
      </c>
      <c r="D28" s="827" t="s">
        <v>22</v>
      </c>
      <c r="E28" s="594">
        <v>1</v>
      </c>
      <c r="F28" s="575">
        <v>1533150</v>
      </c>
      <c r="G28" s="795">
        <f t="shared" si="1"/>
        <v>1533150</v>
      </c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 s="72"/>
      <c r="Y28" s="44"/>
      <c r="Z28" s="44"/>
      <c r="AA28" s="44"/>
      <c r="AB28" s="44"/>
    </row>
    <row r="29" spans="1:28" s="45" customFormat="1" ht="15" customHeight="1" thickBot="1">
      <c r="A29" s="124"/>
      <c r="B29" s="771">
        <f t="shared" si="2"/>
        <v>1.4000000000000004</v>
      </c>
      <c r="C29" s="102" t="s">
        <v>1001</v>
      </c>
      <c r="D29" s="772" t="s">
        <v>139</v>
      </c>
      <c r="E29" s="780">
        <v>40</v>
      </c>
      <c r="F29" s="587">
        <v>194600</v>
      </c>
      <c r="G29" s="795">
        <f t="shared" si="1"/>
        <v>7784000</v>
      </c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 s="72"/>
      <c r="Y29" s="44"/>
      <c r="Z29" s="44"/>
      <c r="AA29" s="44"/>
      <c r="AB29" s="44"/>
    </row>
    <row r="30" spans="1:28" s="45" customFormat="1" ht="15" customHeight="1" thickBot="1">
      <c r="A30" s="124"/>
      <c r="B30" s="869"/>
      <c r="C30" s="1884" t="s">
        <v>982</v>
      </c>
      <c r="D30" s="1884"/>
      <c r="E30" s="1884"/>
      <c r="F30" s="1884"/>
      <c r="G30" s="870">
        <f>SUM(G26:G29)</f>
        <v>11701550</v>
      </c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 s="72"/>
      <c r="Y30" s="44"/>
      <c r="Z30" s="44"/>
      <c r="AA30" s="44"/>
      <c r="AB30" s="44"/>
    </row>
    <row r="31" spans="1:28" s="45" customFormat="1" ht="15" customHeight="1" thickBot="1">
      <c r="A31" s="124"/>
      <c r="B31" s="823"/>
      <c r="C31" s="824"/>
      <c r="D31" s="821"/>
      <c r="E31" s="825"/>
      <c r="F31" s="43"/>
      <c r="G31" s="826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 s="72"/>
      <c r="Y31" s="44"/>
      <c r="Z31" s="44"/>
      <c r="AA31" s="44"/>
      <c r="AB31" s="44"/>
    </row>
    <row r="32" spans="1:28" s="45" customFormat="1" ht="15" customHeight="1">
      <c r="A32" s="124"/>
      <c r="B32" s="74">
        <v>2</v>
      </c>
      <c r="C32" s="75" t="s">
        <v>85</v>
      </c>
      <c r="D32" s="76"/>
      <c r="E32" s="76"/>
      <c r="F32" s="76"/>
      <c r="G32" s="126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 s="72"/>
      <c r="Y32" s="44"/>
      <c r="Z32" s="44"/>
      <c r="AA32" s="44"/>
      <c r="AB32" s="44"/>
    </row>
    <row r="33" spans="1:28" s="45" customFormat="1" ht="15" customHeight="1">
      <c r="A33" s="124"/>
      <c r="B33" s="85"/>
      <c r="C33" s="86"/>
      <c r="D33" s="87"/>
      <c r="E33" s="88"/>
      <c r="F33" s="89"/>
      <c r="G33" s="90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 s="72"/>
      <c r="Y33" s="44"/>
      <c r="Z33" s="44"/>
      <c r="AA33" s="44"/>
      <c r="AB33" s="44"/>
    </row>
    <row r="34" spans="1:28" s="45" customFormat="1" ht="28.5" customHeight="1">
      <c r="A34" s="124"/>
      <c r="B34" s="592">
        <v>2.1</v>
      </c>
      <c r="C34" s="822" t="s">
        <v>86</v>
      </c>
      <c r="D34" s="827" t="s">
        <v>483</v>
      </c>
      <c r="E34" s="594">
        <v>360</v>
      </c>
      <c r="F34" s="575">
        <v>21831</v>
      </c>
      <c r="G34" s="795">
        <f>+F34*E34</f>
        <v>7859160</v>
      </c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 s="72"/>
      <c r="Y34" s="44"/>
      <c r="Z34" s="44"/>
      <c r="AA34" s="44"/>
      <c r="AB34" s="44"/>
    </row>
    <row r="35" spans="1:28" s="45" customFormat="1" ht="15" customHeight="1">
      <c r="A35" s="124"/>
      <c r="B35" s="592">
        <f>+B34+0.1</f>
        <v>2.2000000000000002</v>
      </c>
      <c r="C35" s="593" t="s">
        <v>87</v>
      </c>
      <c r="D35" s="827" t="s">
        <v>43</v>
      </c>
      <c r="E35" s="594">
        <f>+E34*2</f>
        <v>720</v>
      </c>
      <c r="F35" s="575">
        <v>20403</v>
      </c>
      <c r="G35" s="795">
        <f t="shared" ref="G35:G40" si="3">+F35*E35</f>
        <v>14690160</v>
      </c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 s="72"/>
      <c r="Y35" s="44"/>
      <c r="Z35" s="44"/>
      <c r="AA35" s="44"/>
      <c r="AB35" s="44"/>
    </row>
    <row r="36" spans="1:28" s="45" customFormat="1" ht="15" customHeight="1">
      <c r="A36" s="124"/>
      <c r="B36" s="592">
        <f t="shared" ref="B36:B40" si="4">+B35+0.1</f>
        <v>2.3000000000000003</v>
      </c>
      <c r="C36" s="593" t="s">
        <v>88</v>
      </c>
      <c r="D36" s="827" t="s">
        <v>483</v>
      </c>
      <c r="E36" s="594">
        <v>360</v>
      </c>
      <c r="F36" s="575">
        <v>25834</v>
      </c>
      <c r="G36" s="795">
        <f t="shared" si="3"/>
        <v>9300240</v>
      </c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 s="72"/>
      <c r="Y36" s="44"/>
      <c r="Z36" s="44"/>
      <c r="AA36" s="44"/>
      <c r="AB36" s="44"/>
    </row>
    <row r="37" spans="1:28" s="45" customFormat="1" ht="15" customHeight="1">
      <c r="A37" s="124"/>
      <c r="B37" s="592">
        <f t="shared" si="4"/>
        <v>2.4000000000000004</v>
      </c>
      <c r="C37" s="593" t="s">
        <v>89</v>
      </c>
      <c r="D37" s="827" t="s">
        <v>483</v>
      </c>
      <c r="E37" s="594">
        <v>100</v>
      </c>
      <c r="F37" s="575">
        <v>20326</v>
      </c>
      <c r="G37" s="795">
        <f t="shared" si="3"/>
        <v>2032600</v>
      </c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 s="72"/>
      <c r="Y37" s="44"/>
      <c r="Z37" s="44"/>
      <c r="AA37" s="44"/>
      <c r="AB37" s="44"/>
    </row>
    <row r="38" spans="1:28" s="45" customFormat="1" ht="15" customHeight="1">
      <c r="A38" s="124"/>
      <c r="B38" s="592">
        <f t="shared" si="4"/>
        <v>2.5000000000000004</v>
      </c>
      <c r="C38" s="593" t="s">
        <v>90</v>
      </c>
      <c r="D38" s="827" t="s">
        <v>483</v>
      </c>
      <c r="E38" s="594">
        <v>360</v>
      </c>
      <c r="F38" s="575">
        <v>1864</v>
      </c>
      <c r="G38" s="795">
        <f t="shared" si="3"/>
        <v>671040</v>
      </c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 s="72"/>
      <c r="Y38" s="44"/>
      <c r="Z38" s="44"/>
      <c r="AA38" s="44"/>
      <c r="AB38" s="44"/>
    </row>
    <row r="39" spans="1:28" s="45" customFormat="1" ht="15" customHeight="1">
      <c r="A39" s="124"/>
      <c r="B39" s="592">
        <f t="shared" si="4"/>
        <v>2.6000000000000005</v>
      </c>
      <c r="C39" s="593" t="s">
        <v>91</v>
      </c>
      <c r="D39" s="827" t="s">
        <v>977</v>
      </c>
      <c r="E39" s="594">
        <v>2</v>
      </c>
      <c r="F39" s="575">
        <v>618839</v>
      </c>
      <c r="G39" s="795">
        <f t="shared" si="3"/>
        <v>1237678</v>
      </c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 s="72"/>
      <c r="Y39" s="44"/>
      <c r="Z39" s="44"/>
      <c r="AA39" s="44"/>
      <c r="AB39" s="44"/>
    </row>
    <row r="40" spans="1:28" s="45" customFormat="1" ht="15" customHeight="1">
      <c r="A40" s="124"/>
      <c r="B40" s="592">
        <f t="shared" si="4"/>
        <v>2.7000000000000006</v>
      </c>
      <c r="C40" s="593" t="s">
        <v>92</v>
      </c>
      <c r="D40" s="827" t="s">
        <v>977</v>
      </c>
      <c r="E40" s="594">
        <v>1</v>
      </c>
      <c r="F40" s="575">
        <v>614676</v>
      </c>
      <c r="G40" s="795">
        <f t="shared" si="3"/>
        <v>614676</v>
      </c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 s="72"/>
      <c r="Y40" s="44"/>
      <c r="Z40" s="44"/>
      <c r="AA40" s="44"/>
      <c r="AB40" s="44"/>
    </row>
    <row r="41" spans="1:28" s="45" customFormat="1" ht="15" customHeight="1">
      <c r="A41" s="124"/>
      <c r="B41" s="592"/>
      <c r="C41" s="593"/>
      <c r="D41" s="827"/>
      <c r="E41" s="594"/>
      <c r="F41" s="575"/>
      <c r="G41" s="792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 s="72"/>
      <c r="Y41" s="44"/>
      <c r="Z41" s="44"/>
      <c r="AA41" s="44"/>
      <c r="AB41" s="44"/>
    </row>
    <row r="42" spans="1:28" s="45" customFormat="1" ht="15" customHeight="1" thickBot="1">
      <c r="A42" s="124"/>
      <c r="B42" s="871"/>
      <c r="C42" s="1884" t="s">
        <v>983</v>
      </c>
      <c r="D42" s="1884"/>
      <c r="E42" s="1884"/>
      <c r="F42" s="1884"/>
      <c r="G42" s="872">
        <f>SUM(G34:G41)</f>
        <v>36405554</v>
      </c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 s="72"/>
      <c r="Y42" s="44"/>
      <c r="Z42" s="44"/>
      <c r="AA42" s="44"/>
      <c r="AB42" s="44"/>
    </row>
    <row r="43" spans="1:28" s="45" customFormat="1" ht="15" customHeight="1">
      <c r="A43" s="124"/>
      <c r="B43" s="823"/>
      <c r="C43" s="824"/>
      <c r="D43" s="821"/>
      <c r="E43" s="825"/>
      <c r="F43" s="43"/>
      <c r="G43" s="826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 s="72"/>
      <c r="Y43" s="44"/>
      <c r="Z43" s="44"/>
      <c r="AA43" s="44"/>
      <c r="AB43" s="44"/>
    </row>
    <row r="44" spans="1:28" s="45" customFormat="1" ht="16.5" customHeight="1" thickBot="1">
      <c r="A44" s="124"/>
      <c r="B44" s="67"/>
      <c r="C44" s="102"/>
      <c r="D44" s="69"/>
      <c r="E44" s="70"/>
      <c r="F44" s="67"/>
      <c r="G44" s="125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 s="72"/>
      <c r="Y44" s="44"/>
      <c r="Z44" s="44"/>
      <c r="AA44" s="44"/>
      <c r="AB44" s="44"/>
    </row>
    <row r="45" spans="1:28" s="45" customFormat="1">
      <c r="A45" s="73" t="s">
        <v>38</v>
      </c>
      <c r="B45" s="74">
        <v>3</v>
      </c>
      <c r="C45" s="75" t="s">
        <v>956</v>
      </c>
      <c r="D45" s="76"/>
      <c r="E45" s="76"/>
      <c r="F45" s="76"/>
      <c r="G45" s="126"/>
      <c r="H45" s="19"/>
      <c r="I45" s="19"/>
      <c r="J45" s="19"/>
      <c r="K45" s="19"/>
      <c r="L45" s="19"/>
      <c r="M45" s="19"/>
      <c r="N45" s="78">
        <v>33292178</v>
      </c>
      <c r="O45" s="79"/>
      <c r="P45" s="80"/>
      <c r="Q45" s="81"/>
      <c r="R45" s="81"/>
      <c r="S45" s="82"/>
      <c r="T45" s="83"/>
      <c r="U45" s="79">
        <v>0</v>
      </c>
      <c r="V45" s="12" t="s">
        <v>9</v>
      </c>
      <c r="Y45" s="44"/>
      <c r="Z45" s="44"/>
      <c r="AA45" s="44"/>
      <c r="AB45" s="44"/>
    </row>
    <row r="46" spans="1:28" s="45" customFormat="1" hidden="1">
      <c r="A46" s="84" t="s">
        <v>40</v>
      </c>
      <c r="B46" s="85"/>
      <c r="C46" s="86"/>
      <c r="D46" s="87"/>
      <c r="E46" s="88"/>
      <c r="F46" s="89"/>
      <c r="G46" s="90"/>
      <c r="H46" s="91"/>
      <c r="I46" s="89"/>
      <c r="J46" s="89"/>
      <c r="K46" s="89"/>
      <c r="L46" s="92"/>
      <c r="M46" s="93"/>
      <c r="N46" s="94"/>
      <c r="O46" s="95"/>
      <c r="P46" s="96"/>
      <c r="Q46" s="97"/>
      <c r="R46" s="97"/>
      <c r="S46" s="98"/>
      <c r="T46" s="99"/>
      <c r="U46" s="79"/>
      <c r="V46" s="72"/>
      <c r="Y46" s="44"/>
      <c r="Z46" s="44"/>
      <c r="AA46" s="44"/>
      <c r="AB46" s="44"/>
    </row>
    <row r="47" spans="1:28" s="45" customFormat="1">
      <c r="A47" s="586"/>
      <c r="B47" s="771"/>
      <c r="C47" s="788" t="s">
        <v>947</v>
      </c>
      <c r="D47" s="772"/>
      <c r="E47" s="773"/>
      <c r="F47" s="587"/>
      <c r="G47" s="774"/>
      <c r="H47" s="588"/>
      <c r="I47" s="587"/>
      <c r="J47" s="587"/>
      <c r="K47" s="587"/>
      <c r="L47" s="589"/>
      <c r="M47" s="590"/>
      <c r="N47" s="591"/>
      <c r="O47" s="95"/>
      <c r="P47" s="579"/>
      <c r="Q47" s="580"/>
      <c r="R47" s="580"/>
      <c r="S47" s="581"/>
      <c r="T47" s="582"/>
      <c r="U47" s="79"/>
      <c r="V47" s="621"/>
      <c r="Y47" s="44"/>
      <c r="Z47" s="44"/>
      <c r="AA47" s="44"/>
      <c r="AB47" s="44"/>
    </row>
    <row r="48" spans="1:28" s="45" customFormat="1">
      <c r="A48" s="586"/>
      <c r="B48" s="771">
        <v>3.1</v>
      </c>
      <c r="C48" s="102" t="s">
        <v>943</v>
      </c>
      <c r="D48" s="772" t="s">
        <v>139</v>
      </c>
      <c r="E48" s="780">
        <v>60</v>
      </c>
      <c r="F48" s="587">
        <v>2610</v>
      </c>
      <c r="G48" s="774">
        <f>+E48*F48</f>
        <v>156600</v>
      </c>
      <c r="H48" s="588"/>
      <c r="I48" s="587"/>
      <c r="J48" s="587"/>
      <c r="K48" s="587"/>
      <c r="L48" s="589"/>
      <c r="M48" s="590"/>
      <c r="N48" s="591"/>
      <c r="O48" s="95"/>
      <c r="P48" s="579"/>
      <c r="Q48" s="580"/>
      <c r="R48" s="580"/>
      <c r="S48" s="581"/>
      <c r="T48" s="582"/>
      <c r="U48" s="79"/>
      <c r="V48" s="621"/>
      <c r="Y48" s="44"/>
      <c r="Z48" s="44"/>
      <c r="AA48" s="44"/>
      <c r="AB48" s="44"/>
    </row>
    <row r="49" spans="1:28" s="45" customFormat="1">
      <c r="A49" s="586"/>
      <c r="B49" s="771">
        <f t="shared" ref="B49:B54" si="5">+B48+0.1</f>
        <v>3.2</v>
      </c>
      <c r="C49" s="102" t="s">
        <v>1101</v>
      </c>
      <c r="D49" s="772" t="s">
        <v>139</v>
      </c>
      <c r="E49" s="780">
        <v>20</v>
      </c>
      <c r="F49" s="587">
        <v>5190</v>
      </c>
      <c r="G49" s="774">
        <f t="shared" ref="G49" si="6">+E49*F49</f>
        <v>103800</v>
      </c>
      <c r="H49" s="588"/>
      <c r="I49" s="587"/>
      <c r="J49" s="587"/>
      <c r="K49" s="587"/>
      <c r="L49" s="589"/>
      <c r="M49" s="590"/>
      <c r="N49" s="591"/>
      <c r="O49" s="95"/>
      <c r="P49" s="579"/>
      <c r="Q49" s="580"/>
      <c r="R49" s="580"/>
      <c r="S49" s="581"/>
      <c r="T49" s="582"/>
      <c r="U49" s="79"/>
      <c r="V49" s="621"/>
      <c r="Y49" s="44"/>
      <c r="Z49" s="44"/>
      <c r="AA49" s="44"/>
      <c r="AB49" s="44"/>
    </row>
    <row r="50" spans="1:28" s="45" customFormat="1">
      <c r="A50" s="586"/>
      <c r="B50" s="771">
        <f t="shared" si="5"/>
        <v>3.3000000000000003</v>
      </c>
      <c r="C50" s="102" t="s">
        <v>941</v>
      </c>
      <c r="D50" s="777" t="s">
        <v>139</v>
      </c>
      <c r="E50" s="780">
        <v>106</v>
      </c>
      <c r="F50" s="776">
        <v>10240</v>
      </c>
      <c r="G50" s="774">
        <f t="shared" ref="G50:G54" si="7">+E50*F50</f>
        <v>1085440</v>
      </c>
      <c r="H50" s="588"/>
      <c r="I50" s="587"/>
      <c r="J50" s="587"/>
      <c r="K50" s="587"/>
      <c r="L50" s="589"/>
      <c r="M50" s="590"/>
      <c r="N50" s="591"/>
      <c r="O50" s="95"/>
      <c r="P50" s="579"/>
      <c r="Q50" s="580"/>
      <c r="R50" s="580"/>
      <c r="S50" s="581"/>
      <c r="T50" s="582"/>
      <c r="U50" s="79"/>
      <c r="V50" s="621"/>
      <c r="Y50" s="44"/>
      <c r="Z50" s="44"/>
      <c r="AA50" s="44"/>
      <c r="AB50" s="44"/>
    </row>
    <row r="51" spans="1:28" s="45" customFormat="1">
      <c r="A51" s="586"/>
      <c r="B51" s="771">
        <f t="shared" si="5"/>
        <v>3.4000000000000004</v>
      </c>
      <c r="C51" s="102" t="s">
        <v>497</v>
      </c>
      <c r="D51" s="777" t="s">
        <v>56</v>
      </c>
      <c r="E51" s="780">
        <v>99</v>
      </c>
      <c r="F51" s="587">
        <v>17220</v>
      </c>
      <c r="G51" s="774">
        <f t="shared" si="7"/>
        <v>1704780</v>
      </c>
      <c r="H51" s="588"/>
      <c r="I51" s="587"/>
      <c r="J51" s="587"/>
      <c r="K51" s="587"/>
      <c r="L51" s="589"/>
      <c r="M51" s="590"/>
      <c r="N51" s="591"/>
      <c r="O51" s="95"/>
      <c r="P51" s="579"/>
      <c r="Q51" s="580"/>
      <c r="R51" s="580"/>
      <c r="S51" s="581"/>
      <c r="T51" s="582"/>
      <c r="U51" s="79"/>
      <c r="V51" s="621"/>
      <c r="Y51" s="44"/>
      <c r="Z51" s="44"/>
      <c r="AA51" s="44"/>
      <c r="AB51" s="44"/>
    </row>
    <row r="52" spans="1:28" s="45" customFormat="1">
      <c r="A52" s="586"/>
      <c r="B52" s="771">
        <f t="shared" si="5"/>
        <v>3.5000000000000004</v>
      </c>
      <c r="C52" s="782" t="s">
        <v>979</v>
      </c>
      <c r="D52" s="772" t="s">
        <v>139</v>
      </c>
      <c r="E52" s="780">
        <v>29</v>
      </c>
      <c r="F52" s="791">
        <v>573533</v>
      </c>
      <c r="G52" s="774">
        <f t="shared" si="7"/>
        <v>16632457</v>
      </c>
      <c r="H52" s="588"/>
      <c r="I52" s="587"/>
      <c r="J52" s="587"/>
      <c r="K52" s="587"/>
      <c r="L52" s="589"/>
      <c r="M52" s="590"/>
      <c r="N52" s="591"/>
      <c r="O52" s="95"/>
      <c r="P52" s="579"/>
      <c r="Q52" s="580"/>
      <c r="R52" s="580"/>
      <c r="S52" s="581"/>
      <c r="T52" s="582"/>
      <c r="U52" s="79"/>
      <c r="V52" s="621"/>
      <c r="Y52" s="44"/>
      <c r="Z52" s="44"/>
      <c r="AA52" s="44"/>
      <c r="AB52" s="44"/>
    </row>
    <row r="53" spans="1:28" s="45" customFormat="1">
      <c r="A53" s="586"/>
      <c r="B53" s="771">
        <f t="shared" si="5"/>
        <v>3.6000000000000005</v>
      </c>
      <c r="C53" s="102" t="s">
        <v>976</v>
      </c>
      <c r="D53" s="772" t="s">
        <v>139</v>
      </c>
      <c r="E53" s="780">
        <v>43</v>
      </c>
      <c r="F53" s="587">
        <v>614040</v>
      </c>
      <c r="G53" s="774">
        <f t="shared" si="7"/>
        <v>26403720</v>
      </c>
      <c r="H53" s="588"/>
      <c r="I53" s="587"/>
      <c r="J53" s="587"/>
      <c r="K53" s="587"/>
      <c r="L53" s="589"/>
      <c r="M53" s="590"/>
      <c r="N53" s="591"/>
      <c r="O53" s="95"/>
      <c r="P53" s="579"/>
      <c r="Q53" s="580"/>
      <c r="R53" s="580"/>
      <c r="S53" s="581"/>
      <c r="T53" s="582"/>
      <c r="U53" s="79"/>
      <c r="V53" s="621"/>
      <c r="Y53" s="44"/>
      <c r="Z53" s="44"/>
      <c r="AA53" s="44"/>
      <c r="AB53" s="44"/>
    </row>
    <row r="54" spans="1:28" s="45" customFormat="1">
      <c r="A54" s="586"/>
      <c r="B54" s="771">
        <f t="shared" si="5"/>
        <v>3.7000000000000006</v>
      </c>
      <c r="C54" s="102" t="s">
        <v>980</v>
      </c>
      <c r="D54" s="772" t="s">
        <v>139</v>
      </c>
      <c r="E54" s="780">
        <v>3</v>
      </c>
      <c r="F54" s="587">
        <v>594610</v>
      </c>
      <c r="G54" s="774">
        <f t="shared" si="7"/>
        <v>1783830</v>
      </c>
      <c r="H54" s="588"/>
      <c r="I54" s="587"/>
      <c r="J54" s="587"/>
      <c r="K54" s="587"/>
      <c r="L54" s="589"/>
      <c r="M54" s="590"/>
      <c r="N54" s="591"/>
      <c r="O54" s="95"/>
      <c r="P54" s="579"/>
      <c r="Q54" s="580"/>
      <c r="R54" s="580"/>
      <c r="S54" s="581"/>
      <c r="T54" s="582"/>
      <c r="U54" s="79"/>
      <c r="V54" s="621"/>
      <c r="Y54" s="44"/>
      <c r="Z54" s="44"/>
      <c r="AA54" s="44"/>
      <c r="AB54" s="44"/>
    </row>
    <row r="55" spans="1:28" s="45" customFormat="1">
      <c r="A55" s="586"/>
      <c r="B55" s="838"/>
      <c r="C55" s="215"/>
      <c r="D55" s="216"/>
      <c r="E55" s="829"/>
      <c r="F55" s="95"/>
      <c r="G55" s="836"/>
      <c r="H55" s="588"/>
      <c r="I55" s="587"/>
      <c r="J55" s="587"/>
      <c r="K55" s="587"/>
      <c r="L55" s="589"/>
      <c r="M55" s="590"/>
      <c r="N55" s="591"/>
      <c r="O55" s="95"/>
      <c r="P55" s="579"/>
      <c r="Q55" s="580"/>
      <c r="R55" s="580"/>
      <c r="S55" s="581"/>
      <c r="T55" s="582"/>
      <c r="U55" s="79"/>
      <c r="V55" s="621"/>
      <c r="Y55" s="44"/>
      <c r="Z55" s="44"/>
      <c r="AA55" s="44"/>
      <c r="AB55" s="44"/>
    </row>
    <row r="56" spans="1:28" s="45" customFormat="1" ht="15.75" thickBot="1">
      <c r="A56" s="586"/>
      <c r="B56" s="113"/>
      <c r="C56" s="114"/>
      <c r="D56" s="115"/>
      <c r="E56" s="116"/>
      <c r="F56" s="789" t="s">
        <v>968</v>
      </c>
      <c r="G56" s="137">
        <f>SUM(G48:G55)</f>
        <v>47870627</v>
      </c>
      <c r="H56" s="588"/>
      <c r="I56" s="587"/>
      <c r="J56" s="587"/>
      <c r="K56" s="587"/>
      <c r="L56" s="589"/>
      <c r="M56" s="590"/>
      <c r="N56" s="591"/>
      <c r="O56" s="95"/>
      <c r="P56" s="579"/>
      <c r="Q56" s="580"/>
      <c r="R56" s="580"/>
      <c r="S56" s="581"/>
      <c r="T56" s="582"/>
      <c r="U56" s="79"/>
      <c r="V56" s="621"/>
      <c r="Y56" s="44"/>
      <c r="Z56" s="44"/>
      <c r="AA56" s="44"/>
      <c r="AB56" s="44"/>
    </row>
    <row r="57" spans="1:28" s="45" customFormat="1">
      <c r="A57" s="586"/>
      <c r="B57" s="771"/>
      <c r="C57" s="102"/>
      <c r="D57" s="772"/>
      <c r="E57" s="780"/>
      <c r="F57" s="587"/>
      <c r="G57" s="774"/>
      <c r="H57" s="588"/>
      <c r="I57" s="587"/>
      <c r="J57" s="587"/>
      <c r="K57" s="587"/>
      <c r="L57" s="589"/>
      <c r="M57" s="590"/>
      <c r="N57" s="591"/>
      <c r="O57" s="95"/>
      <c r="P57" s="579"/>
      <c r="Q57" s="580"/>
      <c r="R57" s="580"/>
      <c r="S57" s="581"/>
      <c r="T57" s="582"/>
      <c r="U57" s="79"/>
      <c r="V57" s="621"/>
      <c r="Y57" s="44"/>
      <c r="Z57" s="44"/>
      <c r="AA57" s="44"/>
      <c r="AB57" s="44"/>
    </row>
    <row r="58" spans="1:28" s="45" customFormat="1">
      <c r="A58" s="586"/>
      <c r="B58" s="771"/>
      <c r="C58" s="787" t="s">
        <v>948</v>
      </c>
      <c r="D58" s="772"/>
      <c r="E58" s="780"/>
      <c r="F58" s="587"/>
      <c r="G58" s="774">
        <f>+E58*F59</f>
        <v>0</v>
      </c>
      <c r="H58" s="588"/>
      <c r="I58" s="587"/>
      <c r="J58" s="587"/>
      <c r="K58" s="587"/>
      <c r="L58" s="589"/>
      <c r="M58" s="590"/>
      <c r="N58" s="591"/>
      <c r="O58" s="95"/>
      <c r="P58" s="579"/>
      <c r="Q58" s="580"/>
      <c r="R58" s="580"/>
      <c r="S58" s="581"/>
      <c r="T58" s="582"/>
      <c r="U58" s="79"/>
      <c r="V58" s="621"/>
      <c r="Y58" s="44"/>
      <c r="Z58" s="44"/>
      <c r="AA58" s="44"/>
      <c r="AB58" s="44"/>
    </row>
    <row r="59" spans="1:28" s="45" customFormat="1">
      <c r="A59" s="586"/>
      <c r="B59" s="771">
        <v>3.8</v>
      </c>
      <c r="C59" s="102" t="s">
        <v>522</v>
      </c>
      <c r="D59" s="772" t="s">
        <v>142</v>
      </c>
      <c r="E59" s="780">
        <v>2400</v>
      </c>
      <c r="F59" s="773">
        <v>3201</v>
      </c>
      <c r="G59" s="774">
        <f>+E59*F60</f>
        <v>10800000</v>
      </c>
      <c r="H59" s="588"/>
      <c r="I59" s="587"/>
      <c r="J59" s="587"/>
      <c r="K59" s="587"/>
      <c r="L59" s="589"/>
      <c r="M59" s="590"/>
      <c r="N59" s="591"/>
      <c r="O59" s="95"/>
      <c r="P59" s="579"/>
      <c r="Q59" s="580"/>
      <c r="R59" s="580"/>
      <c r="S59" s="581"/>
      <c r="T59" s="582"/>
      <c r="U59" s="79"/>
      <c r="V59" s="621"/>
      <c r="Y59" s="44"/>
      <c r="Z59" s="44"/>
      <c r="AA59" s="44"/>
      <c r="AB59" s="44"/>
    </row>
    <row r="60" spans="1:28" s="45" customFormat="1">
      <c r="A60" s="586"/>
      <c r="B60" s="779">
        <v>3.1</v>
      </c>
      <c r="C60" s="102" t="s">
        <v>942</v>
      </c>
      <c r="D60" s="777" t="s">
        <v>56</v>
      </c>
      <c r="E60" s="780">
        <v>81</v>
      </c>
      <c r="F60" s="773">
        <v>4500</v>
      </c>
      <c r="G60" s="774">
        <f t="shared" ref="G60:G62" si="8">+E60*F61</f>
        <v>5107050</v>
      </c>
      <c r="H60" s="588"/>
      <c r="I60" s="587"/>
      <c r="J60" s="587"/>
      <c r="K60" s="587"/>
      <c r="L60" s="589"/>
      <c r="M60" s="590"/>
      <c r="N60" s="591"/>
      <c r="O60" s="95"/>
      <c r="P60" s="579"/>
      <c r="Q60" s="580"/>
      <c r="R60" s="580"/>
      <c r="S60" s="581"/>
      <c r="T60" s="582"/>
      <c r="U60" s="79"/>
      <c r="V60" s="621"/>
      <c r="Y60" s="44"/>
      <c r="Z60" s="44"/>
      <c r="AA60" s="44"/>
      <c r="AB60" s="44"/>
    </row>
    <row r="61" spans="1:28" s="45" customFormat="1">
      <c r="A61" s="586"/>
      <c r="B61" s="779">
        <f>+B60+0.01</f>
        <v>3.11</v>
      </c>
      <c r="C61" s="102" t="s">
        <v>945</v>
      </c>
      <c r="D61" s="772" t="s">
        <v>139</v>
      </c>
      <c r="E61" s="780">
        <v>12</v>
      </c>
      <c r="F61" s="778">
        <v>63050</v>
      </c>
      <c r="G61" s="774">
        <f t="shared" si="8"/>
        <v>351960</v>
      </c>
      <c r="H61" s="588"/>
      <c r="I61" s="587"/>
      <c r="J61" s="587"/>
      <c r="K61" s="587"/>
      <c r="L61" s="589"/>
      <c r="M61" s="590"/>
      <c r="N61" s="591"/>
      <c r="O61" s="95"/>
      <c r="P61" s="579"/>
      <c r="Q61" s="580"/>
      <c r="R61" s="580"/>
      <c r="S61" s="581"/>
      <c r="T61" s="582"/>
      <c r="U61" s="79"/>
      <c r="V61" s="621"/>
      <c r="Y61" s="44"/>
      <c r="Z61" s="44"/>
      <c r="AA61" s="44"/>
      <c r="AB61" s="44"/>
    </row>
    <row r="62" spans="1:28" s="45" customFormat="1">
      <c r="A62" s="586"/>
      <c r="B62" s="779">
        <f t="shared" ref="B62:B80" si="9">+B61+0.01</f>
        <v>3.1199999999999997</v>
      </c>
      <c r="C62" s="102" t="s">
        <v>946</v>
      </c>
      <c r="D62" s="772" t="s">
        <v>540</v>
      </c>
      <c r="E62" s="780">
        <v>60</v>
      </c>
      <c r="F62" s="587">
        <v>29330</v>
      </c>
      <c r="G62" s="774">
        <f t="shared" si="8"/>
        <v>2924400</v>
      </c>
      <c r="H62" s="588"/>
      <c r="I62" s="587"/>
      <c r="J62" s="587"/>
      <c r="K62" s="587"/>
      <c r="L62" s="589"/>
      <c r="M62" s="590"/>
      <c r="N62" s="591"/>
      <c r="O62" s="95"/>
      <c r="P62" s="579"/>
      <c r="Q62" s="580"/>
      <c r="R62" s="580"/>
      <c r="S62" s="581"/>
      <c r="T62" s="582"/>
      <c r="U62" s="79"/>
      <c r="V62" s="621"/>
      <c r="Y62" s="44"/>
      <c r="Z62" s="44"/>
      <c r="AA62" s="44"/>
      <c r="AB62" s="44"/>
    </row>
    <row r="63" spans="1:28" s="45" customFormat="1">
      <c r="A63" s="586"/>
      <c r="B63" s="779">
        <f t="shared" si="9"/>
        <v>3.1299999999999994</v>
      </c>
      <c r="C63" s="102" t="s">
        <v>949</v>
      </c>
      <c r="D63" s="772" t="s">
        <v>540</v>
      </c>
      <c r="E63" s="773">
        <v>21</v>
      </c>
      <c r="F63" s="587">
        <v>48740</v>
      </c>
      <c r="G63" s="774">
        <f>+E63*F65</f>
        <v>886200</v>
      </c>
      <c r="H63" s="588"/>
      <c r="I63" s="587"/>
      <c r="J63" s="587"/>
      <c r="K63" s="587"/>
      <c r="L63" s="589"/>
      <c r="M63" s="590"/>
      <c r="N63" s="591"/>
      <c r="O63" s="95"/>
      <c r="P63" s="579"/>
      <c r="Q63" s="580"/>
      <c r="R63" s="580"/>
      <c r="S63" s="581"/>
      <c r="T63" s="582"/>
      <c r="U63" s="79"/>
      <c r="V63" s="621"/>
      <c r="Y63" s="44"/>
      <c r="Z63" s="44"/>
      <c r="AA63" s="44"/>
      <c r="AB63" s="44"/>
    </row>
    <row r="64" spans="1:28" s="45" customFormat="1">
      <c r="A64" s="586"/>
      <c r="B64" s="779">
        <f t="shared" si="9"/>
        <v>3.1399999999999992</v>
      </c>
      <c r="C64" s="782" t="s">
        <v>950</v>
      </c>
      <c r="D64" s="772" t="s">
        <v>540</v>
      </c>
      <c r="E64" s="773">
        <v>87</v>
      </c>
      <c r="F64" s="587">
        <v>18420</v>
      </c>
      <c r="G64" s="774">
        <f>+E64*F64</f>
        <v>1602540</v>
      </c>
      <c r="H64" s="588"/>
      <c r="I64" s="587"/>
      <c r="J64" s="587"/>
      <c r="K64" s="587"/>
      <c r="L64" s="589"/>
      <c r="M64" s="590"/>
      <c r="N64" s="591"/>
      <c r="O64" s="95"/>
      <c r="P64" s="579"/>
      <c r="Q64" s="580"/>
      <c r="R64" s="580"/>
      <c r="S64" s="581"/>
      <c r="T64" s="582"/>
      <c r="U64" s="79"/>
      <c r="V64" s="621"/>
      <c r="Y64" s="44"/>
      <c r="Z64" s="44"/>
      <c r="AA64" s="44"/>
      <c r="AB64" s="44"/>
    </row>
    <row r="65" spans="1:28" s="45" customFormat="1" ht="26.25" customHeight="1">
      <c r="A65" s="586"/>
      <c r="B65" s="779">
        <f t="shared" si="9"/>
        <v>3.149999999999999</v>
      </c>
      <c r="C65" s="865" t="s">
        <v>937</v>
      </c>
      <c r="D65" s="866" t="s">
        <v>22</v>
      </c>
      <c r="E65" s="851">
        <v>170</v>
      </c>
      <c r="F65" s="850">
        <v>42200</v>
      </c>
      <c r="G65" s="867">
        <f t="shared" ref="G65:G70" si="10">+E65*F65</f>
        <v>7174000</v>
      </c>
      <c r="H65" s="588"/>
      <c r="I65" s="587"/>
      <c r="J65" s="587"/>
      <c r="K65" s="587"/>
      <c r="L65" s="589"/>
      <c r="M65" s="590"/>
      <c r="N65" s="591"/>
      <c r="O65" s="95"/>
      <c r="P65" s="579"/>
      <c r="Q65" s="580"/>
      <c r="R65" s="580"/>
      <c r="S65" s="581"/>
      <c r="T65" s="582"/>
      <c r="U65" s="79"/>
      <c r="V65" s="621"/>
      <c r="W65" s="45">
        <f>29100*1.16*1.25</f>
        <v>42195</v>
      </c>
      <c r="Y65" s="44"/>
      <c r="Z65" s="44"/>
      <c r="AA65" s="44"/>
      <c r="AB65" s="44"/>
    </row>
    <row r="66" spans="1:28" s="45" customFormat="1">
      <c r="A66" s="586"/>
      <c r="B66" s="779">
        <f t="shared" si="9"/>
        <v>3.1599999999999988</v>
      </c>
      <c r="C66" s="860" t="s">
        <v>952</v>
      </c>
      <c r="D66" s="861" t="s">
        <v>22</v>
      </c>
      <c r="E66" s="862">
        <v>6</v>
      </c>
      <c r="F66" s="863">
        <v>326830</v>
      </c>
      <c r="G66" s="864">
        <f t="shared" si="10"/>
        <v>1960980</v>
      </c>
      <c r="H66" s="588"/>
      <c r="I66" s="587"/>
      <c r="J66" s="587"/>
      <c r="K66" s="587"/>
      <c r="L66" s="589"/>
      <c r="M66" s="590"/>
      <c r="N66" s="591"/>
      <c r="O66" s="95"/>
      <c r="P66" s="579"/>
      <c r="Q66" s="580"/>
      <c r="R66" s="580"/>
      <c r="S66" s="581"/>
      <c r="T66" s="582"/>
      <c r="U66" s="79"/>
      <c r="V66" s="621"/>
      <c r="W66" s="45">
        <f>245000*1.16*1.15</f>
        <v>326830</v>
      </c>
      <c r="Y66" s="44"/>
      <c r="Z66" s="44"/>
      <c r="AA66" s="44"/>
      <c r="AB66" s="44"/>
    </row>
    <row r="67" spans="1:28" s="45" customFormat="1">
      <c r="A67" s="586"/>
      <c r="B67" s="779">
        <f t="shared" si="9"/>
        <v>3.1699999999999986</v>
      </c>
      <c r="C67" s="102" t="s">
        <v>510</v>
      </c>
      <c r="D67" s="772" t="s">
        <v>22</v>
      </c>
      <c r="E67" s="773">
        <v>6</v>
      </c>
      <c r="F67" s="587">
        <v>1070400</v>
      </c>
      <c r="G67" s="774">
        <f t="shared" si="10"/>
        <v>6422400</v>
      </c>
      <c r="H67" s="588"/>
      <c r="I67" s="587"/>
      <c r="J67" s="587"/>
      <c r="K67" s="587"/>
      <c r="L67" s="589"/>
      <c r="M67" s="590"/>
      <c r="N67" s="591"/>
      <c r="O67" s="95"/>
      <c r="P67" s="579"/>
      <c r="Q67" s="580"/>
      <c r="R67" s="580"/>
      <c r="S67" s="581"/>
      <c r="T67" s="582"/>
      <c r="U67" s="79"/>
      <c r="V67" s="621"/>
      <c r="Y67" s="44"/>
      <c r="Z67" s="44"/>
      <c r="AA67" s="44"/>
      <c r="AB67" s="44"/>
    </row>
    <row r="68" spans="1:28" s="45" customFormat="1">
      <c r="A68" s="586"/>
      <c r="B68" s="779">
        <f t="shared" si="9"/>
        <v>3.1799999999999984</v>
      </c>
      <c r="C68" s="102" t="s">
        <v>537</v>
      </c>
      <c r="D68" s="772" t="s">
        <v>22</v>
      </c>
      <c r="E68" s="773">
        <v>6</v>
      </c>
      <c r="F68" s="587">
        <v>1328000</v>
      </c>
      <c r="G68" s="774">
        <f t="shared" si="10"/>
        <v>7968000</v>
      </c>
      <c r="H68" s="588"/>
      <c r="I68" s="587"/>
      <c r="J68" s="587"/>
      <c r="K68" s="587"/>
      <c r="L68" s="589"/>
      <c r="M68" s="590"/>
      <c r="N68" s="591"/>
      <c r="O68" s="95"/>
      <c r="P68" s="579"/>
      <c r="Q68" s="580"/>
      <c r="R68" s="580"/>
      <c r="S68" s="581"/>
      <c r="T68" s="582"/>
      <c r="U68" s="79"/>
      <c r="V68" s="621"/>
      <c r="Y68" s="44"/>
      <c r="Z68" s="44"/>
      <c r="AA68" s="44"/>
      <c r="AB68" s="44"/>
    </row>
    <row r="69" spans="1:28" s="45" customFormat="1">
      <c r="A69" s="586"/>
      <c r="B69" s="779">
        <f t="shared" si="9"/>
        <v>3.1899999999999982</v>
      </c>
      <c r="C69" s="102" t="s">
        <v>501</v>
      </c>
      <c r="D69" s="772" t="s">
        <v>500</v>
      </c>
      <c r="E69" s="773">
        <v>12</v>
      </c>
      <c r="F69" s="587"/>
      <c r="G69" s="774">
        <f t="shared" si="10"/>
        <v>0</v>
      </c>
      <c r="H69" s="588"/>
      <c r="I69" s="587"/>
      <c r="J69" s="587"/>
      <c r="K69" s="587"/>
      <c r="L69" s="589"/>
      <c r="M69" s="590"/>
      <c r="N69" s="591"/>
      <c r="O69" s="95"/>
      <c r="P69" s="579"/>
      <c r="Q69" s="580"/>
      <c r="R69" s="580"/>
      <c r="S69" s="581"/>
      <c r="T69" s="582"/>
      <c r="U69" s="79"/>
      <c r="V69" s="621"/>
      <c r="Y69" s="44"/>
      <c r="Z69" s="44"/>
      <c r="AA69" s="44"/>
      <c r="AB69" s="44"/>
    </row>
    <row r="70" spans="1:28" s="45" customFormat="1">
      <c r="A70" s="586"/>
      <c r="B70" s="779">
        <f t="shared" si="9"/>
        <v>3.199999999999998</v>
      </c>
      <c r="C70" s="102" t="s">
        <v>506</v>
      </c>
      <c r="D70" s="772" t="s">
        <v>500</v>
      </c>
      <c r="E70" s="773">
        <v>1</v>
      </c>
      <c r="F70" s="587"/>
      <c r="G70" s="774">
        <f t="shared" si="10"/>
        <v>0</v>
      </c>
      <c r="H70" s="588"/>
      <c r="I70" s="587"/>
      <c r="J70" s="587"/>
      <c r="K70" s="587"/>
      <c r="L70" s="589"/>
      <c r="M70" s="590"/>
      <c r="N70" s="591"/>
      <c r="O70" s="95"/>
      <c r="P70" s="579"/>
      <c r="Q70" s="580"/>
      <c r="R70" s="580"/>
      <c r="S70" s="581"/>
      <c r="T70" s="582"/>
      <c r="U70" s="79"/>
      <c r="V70" s="621"/>
      <c r="Y70" s="44"/>
      <c r="Z70" s="44"/>
      <c r="AA70" s="44"/>
      <c r="AB70" s="44"/>
    </row>
    <row r="71" spans="1:28" s="45" customFormat="1" ht="15.75" customHeight="1">
      <c r="A71" s="586"/>
      <c r="B71" s="779">
        <f t="shared" si="9"/>
        <v>3.2099999999999977</v>
      </c>
      <c r="C71" s="102" t="s">
        <v>509</v>
      </c>
      <c r="D71" s="772" t="s">
        <v>56</v>
      </c>
      <c r="E71" s="773">
        <v>77</v>
      </c>
      <c r="F71" s="587">
        <v>150170</v>
      </c>
      <c r="G71" s="774">
        <f t="shared" ref="G71" si="11">+E71*F71</f>
        <v>11563090</v>
      </c>
      <c r="H71" s="588"/>
      <c r="I71" s="587"/>
      <c r="J71" s="587"/>
      <c r="K71" s="587"/>
      <c r="L71" s="589"/>
      <c r="M71" s="590"/>
      <c r="N71" s="591"/>
      <c r="O71" s="95"/>
      <c r="P71" s="579"/>
      <c r="Q71" s="580"/>
      <c r="R71" s="580"/>
      <c r="S71" s="581"/>
      <c r="T71" s="582"/>
      <c r="U71" s="79"/>
      <c r="V71" s="621"/>
      <c r="W71" s="215"/>
      <c r="X71" s="830"/>
      <c r="Y71" s="829"/>
      <c r="Z71" s="95"/>
      <c r="AA71" s="95"/>
      <c r="AB71" s="44"/>
    </row>
    <row r="72" spans="1:28" s="45" customFormat="1" ht="25.5">
      <c r="A72" s="586"/>
      <c r="B72" s="779">
        <f t="shared" si="9"/>
        <v>3.2199999999999975</v>
      </c>
      <c r="C72" s="102" t="s">
        <v>953</v>
      </c>
      <c r="D72" s="772"/>
      <c r="E72" s="773"/>
      <c r="F72" s="587"/>
      <c r="G72" s="774">
        <f t="shared" ref="G72:G79" si="12">+E72*F72</f>
        <v>0</v>
      </c>
      <c r="H72" s="588"/>
      <c r="I72" s="587"/>
      <c r="J72" s="587"/>
      <c r="K72" s="587"/>
      <c r="L72" s="589"/>
      <c r="M72" s="590"/>
      <c r="N72" s="591"/>
      <c r="O72" s="95"/>
      <c r="P72" s="579"/>
      <c r="Q72" s="580"/>
      <c r="R72" s="580"/>
      <c r="S72" s="581"/>
      <c r="T72" s="582"/>
      <c r="U72" s="79"/>
      <c r="V72" s="621"/>
      <c r="Y72" s="44"/>
      <c r="Z72" s="44"/>
      <c r="AA72" s="44"/>
      <c r="AB72" s="44"/>
    </row>
    <row r="73" spans="1:28" s="45" customFormat="1">
      <c r="A73" s="586"/>
      <c r="B73" s="857" t="s">
        <v>1032</v>
      </c>
      <c r="C73" s="865" t="s">
        <v>954</v>
      </c>
      <c r="D73" s="866" t="s">
        <v>22</v>
      </c>
      <c r="E73" s="851">
        <v>3</v>
      </c>
      <c r="F73" s="850">
        <v>8569935</v>
      </c>
      <c r="G73" s="867">
        <f t="shared" si="12"/>
        <v>25709805</v>
      </c>
      <c r="H73" s="588"/>
      <c r="I73" s="587"/>
      <c r="J73" s="587"/>
      <c r="K73" s="587"/>
      <c r="L73" s="589"/>
      <c r="M73" s="590"/>
      <c r="N73" s="591"/>
      <c r="O73" s="95"/>
      <c r="P73" s="579"/>
      <c r="Q73" s="580"/>
      <c r="R73" s="580"/>
      <c r="S73" s="581"/>
      <c r="T73" s="582"/>
      <c r="U73" s="79"/>
      <c r="V73" s="621"/>
      <c r="X73" s="45">
        <f>6716250*1.16*1.1</f>
        <v>8569935</v>
      </c>
      <c r="Y73" s="44"/>
      <c r="Z73" s="44"/>
      <c r="AA73" s="44"/>
      <c r="AB73" s="44"/>
    </row>
    <row r="74" spans="1:28" s="45" customFormat="1">
      <c r="A74" s="586"/>
      <c r="B74" s="857" t="s">
        <v>1033</v>
      </c>
      <c r="C74" s="865" t="s">
        <v>955</v>
      </c>
      <c r="D74" s="866" t="s">
        <v>22</v>
      </c>
      <c r="E74" s="851">
        <v>2</v>
      </c>
      <c r="F74" s="850">
        <v>8644083</v>
      </c>
      <c r="G74" s="867">
        <f t="shared" si="12"/>
        <v>17288166</v>
      </c>
      <c r="H74" s="588"/>
      <c r="I74" s="587"/>
      <c r="J74" s="587"/>
      <c r="K74" s="587"/>
      <c r="L74" s="589"/>
      <c r="M74" s="590"/>
      <c r="N74" s="591"/>
      <c r="O74" s="95"/>
      <c r="P74" s="579"/>
      <c r="Q74" s="580"/>
      <c r="R74" s="580"/>
      <c r="S74" s="581"/>
      <c r="T74" s="582"/>
      <c r="U74" s="79"/>
      <c r="V74" s="621"/>
      <c r="X74" s="45">
        <f>6774360*1.16*1.1</f>
        <v>8644083.3599999994</v>
      </c>
      <c r="Y74" s="44"/>
      <c r="Z74" s="44"/>
      <c r="AA74" s="44"/>
      <c r="AB74" s="44"/>
    </row>
    <row r="75" spans="1:28" s="45" customFormat="1">
      <c r="A75" s="586"/>
      <c r="B75" s="857" t="s">
        <v>1034</v>
      </c>
      <c r="C75" s="865" t="s">
        <v>511</v>
      </c>
      <c r="D75" s="866" t="s">
        <v>22</v>
      </c>
      <c r="E75" s="851">
        <v>6</v>
      </c>
      <c r="F75" s="850">
        <v>4053852</v>
      </c>
      <c r="G75" s="867">
        <f t="shared" si="12"/>
        <v>24323112</v>
      </c>
      <c r="H75" s="588"/>
      <c r="I75" s="587"/>
      <c r="J75" s="587"/>
      <c r="K75" s="587"/>
      <c r="L75" s="589"/>
      <c r="M75" s="590"/>
      <c r="N75" s="591"/>
      <c r="O75" s="95"/>
      <c r="P75" s="579"/>
      <c r="Q75" s="580"/>
      <c r="R75" s="580"/>
      <c r="S75" s="581"/>
      <c r="T75" s="582"/>
      <c r="U75" s="79"/>
      <c r="V75" s="621"/>
      <c r="W75" s="856"/>
      <c r="X75" s="45">
        <f>3177000*1.16*1.1</f>
        <v>4053852</v>
      </c>
      <c r="Y75" s="44"/>
      <c r="Z75" s="44"/>
      <c r="AA75" s="44"/>
      <c r="AB75" s="44"/>
    </row>
    <row r="76" spans="1:28" s="45" customFormat="1">
      <c r="A76" s="586"/>
      <c r="B76" s="857" t="s">
        <v>1035</v>
      </c>
      <c r="C76" s="102" t="s">
        <v>503</v>
      </c>
      <c r="D76" s="772" t="s">
        <v>22</v>
      </c>
      <c r="E76" s="773">
        <v>3</v>
      </c>
      <c r="F76" s="858">
        <v>890000</v>
      </c>
      <c r="G76" s="774">
        <f t="shared" si="12"/>
        <v>2670000</v>
      </c>
      <c r="H76" s="588"/>
      <c r="I76" s="587"/>
      <c r="J76" s="587"/>
      <c r="K76" s="587"/>
      <c r="L76" s="589"/>
      <c r="M76" s="590"/>
      <c r="N76" s="591"/>
      <c r="O76" s="95"/>
      <c r="P76" s="579"/>
      <c r="Q76" s="580"/>
      <c r="R76" s="580"/>
      <c r="S76" s="581"/>
      <c r="T76" s="582"/>
      <c r="U76" s="79"/>
      <c r="V76" s="621"/>
      <c r="Y76" s="44"/>
      <c r="Z76" s="44"/>
      <c r="AA76" s="44"/>
      <c r="AB76" s="44"/>
    </row>
    <row r="77" spans="1:28" s="45" customFormat="1">
      <c r="A77" s="586"/>
      <c r="B77" s="857" t="s">
        <v>1036</v>
      </c>
      <c r="C77" s="102" t="s">
        <v>504</v>
      </c>
      <c r="D77" s="772" t="s">
        <v>22</v>
      </c>
      <c r="E77" s="773">
        <v>1</v>
      </c>
      <c r="F77" s="858">
        <v>182000</v>
      </c>
      <c r="G77" s="774">
        <f t="shared" si="12"/>
        <v>182000</v>
      </c>
      <c r="H77" s="588"/>
      <c r="I77" s="587"/>
      <c r="J77" s="587"/>
      <c r="K77" s="587"/>
      <c r="L77" s="589"/>
      <c r="M77" s="590"/>
      <c r="N77" s="591"/>
      <c r="O77" s="95"/>
      <c r="P77" s="579"/>
      <c r="Q77" s="580"/>
      <c r="R77" s="580"/>
      <c r="S77" s="581"/>
      <c r="T77" s="582"/>
      <c r="U77" s="79"/>
      <c r="V77" s="621"/>
      <c r="Y77" s="44"/>
      <c r="Z77" s="44"/>
      <c r="AA77" s="44"/>
      <c r="AB77" s="44"/>
    </row>
    <row r="78" spans="1:28" s="45" customFormat="1">
      <c r="A78" s="586"/>
      <c r="B78" s="857" t="s">
        <v>1037</v>
      </c>
      <c r="C78" s="102" t="s">
        <v>505</v>
      </c>
      <c r="D78" s="772" t="s">
        <v>22</v>
      </c>
      <c r="E78" s="773">
        <v>1</v>
      </c>
      <c r="F78" s="858">
        <v>127500</v>
      </c>
      <c r="G78" s="774">
        <f t="shared" si="12"/>
        <v>127500</v>
      </c>
      <c r="H78" s="588"/>
      <c r="I78" s="587"/>
      <c r="J78" s="587"/>
      <c r="K78" s="587"/>
      <c r="L78" s="589"/>
      <c r="M78" s="590"/>
      <c r="N78" s="591"/>
      <c r="O78" s="95"/>
      <c r="P78" s="579"/>
      <c r="Q78" s="580"/>
      <c r="R78" s="580"/>
      <c r="S78" s="581"/>
      <c r="T78" s="582"/>
      <c r="U78" s="79"/>
      <c r="V78" s="621"/>
      <c r="Y78" s="44"/>
      <c r="Z78" s="44"/>
      <c r="AA78" s="44"/>
      <c r="AB78" s="44"/>
    </row>
    <row r="79" spans="1:28" s="45" customFormat="1" ht="318.75">
      <c r="A79" s="586"/>
      <c r="B79" s="779">
        <v>3.23</v>
      </c>
      <c r="C79" s="839" t="s">
        <v>978</v>
      </c>
      <c r="D79" s="840" t="s">
        <v>22</v>
      </c>
      <c r="E79" s="841">
        <v>2</v>
      </c>
      <c r="F79" s="842">
        <f>13962000*1.06*1.06*1.16*1.4</f>
        <v>25476829.996800002</v>
      </c>
      <c r="G79" s="843">
        <f t="shared" si="12"/>
        <v>50953659.993600003</v>
      </c>
      <c r="H79" s="588"/>
      <c r="I79" s="587"/>
      <c r="J79" s="587"/>
      <c r="K79" s="587"/>
      <c r="L79" s="589"/>
      <c r="M79" s="590"/>
      <c r="N79" s="591"/>
      <c r="O79" s="95"/>
      <c r="P79" s="579"/>
      <c r="Q79" s="580"/>
      <c r="R79" s="580"/>
      <c r="S79" s="581"/>
      <c r="T79" s="582"/>
      <c r="U79" s="79"/>
      <c r="V79" s="621"/>
      <c r="Y79" s="44"/>
      <c r="Z79" s="44"/>
      <c r="AA79" s="44"/>
      <c r="AB79" s="44"/>
    </row>
    <row r="80" spans="1:28" s="45" customFormat="1" ht="22.5" customHeight="1">
      <c r="A80" s="586"/>
      <c r="B80" s="779">
        <f t="shared" si="9"/>
        <v>3.2399999999999998</v>
      </c>
      <c r="C80" s="781" t="s">
        <v>951</v>
      </c>
      <c r="D80" s="783" t="s">
        <v>22</v>
      </c>
      <c r="E80" s="784">
        <v>1</v>
      </c>
      <c r="F80" s="785"/>
      <c r="G80" s="786">
        <f t="shared" ref="G80" si="13">+E80*F80</f>
        <v>0</v>
      </c>
      <c r="H80" s="588"/>
      <c r="I80" s="587"/>
      <c r="J80" s="587"/>
      <c r="K80" s="587"/>
      <c r="L80" s="589"/>
      <c r="M80" s="590"/>
      <c r="N80" s="591"/>
      <c r="O80" s="95"/>
      <c r="P80" s="579"/>
      <c r="Q80" s="580"/>
      <c r="R80" s="580"/>
      <c r="S80" s="581"/>
      <c r="T80" s="582"/>
      <c r="U80" s="79"/>
      <c r="V80" s="621"/>
      <c r="Y80" s="44"/>
      <c r="Z80" s="44"/>
      <c r="AA80" s="44"/>
      <c r="AB80" s="44"/>
    </row>
    <row r="81" spans="1:28" s="45" customFormat="1">
      <c r="A81" s="586"/>
      <c r="B81" s="779"/>
      <c r="C81" s="781"/>
      <c r="D81" s="781"/>
      <c r="E81" s="781"/>
      <c r="F81" s="781"/>
      <c r="G81" s="786"/>
      <c r="H81" s="588"/>
      <c r="I81" s="587"/>
      <c r="J81" s="587"/>
      <c r="K81" s="587"/>
      <c r="L81" s="589"/>
      <c r="M81" s="590"/>
      <c r="N81" s="591"/>
      <c r="O81" s="95"/>
      <c r="P81" s="579"/>
      <c r="Q81" s="580"/>
      <c r="R81" s="580"/>
      <c r="S81" s="581"/>
      <c r="T81" s="582"/>
      <c r="U81" s="79"/>
      <c r="V81" s="621"/>
      <c r="Y81" s="44"/>
      <c r="Z81" s="44"/>
      <c r="AA81" s="44"/>
      <c r="AB81" s="44"/>
    </row>
    <row r="82" spans="1:28" s="45" customFormat="1">
      <c r="A82" s="586"/>
      <c r="B82" s="771"/>
      <c r="C82" s="102"/>
      <c r="D82" s="772"/>
      <c r="E82" s="773"/>
      <c r="F82" s="587"/>
      <c r="G82" s="774"/>
      <c r="H82" s="588"/>
      <c r="I82" s="587"/>
      <c r="J82" s="587"/>
      <c r="K82" s="587"/>
      <c r="L82" s="589"/>
      <c r="M82" s="590"/>
      <c r="N82" s="591"/>
      <c r="O82" s="95"/>
      <c r="P82" s="579"/>
      <c r="Q82" s="580"/>
      <c r="R82" s="580"/>
      <c r="S82" s="581"/>
      <c r="T82" s="582"/>
      <c r="U82" s="79"/>
      <c r="V82" s="621"/>
      <c r="Y82" s="44"/>
      <c r="Z82" s="44"/>
      <c r="AA82" s="44"/>
      <c r="AB82" s="44"/>
    </row>
    <row r="83" spans="1:28" s="45" customFormat="1" ht="15.75" thickBot="1">
      <c r="A83" s="586"/>
      <c r="B83" s="771"/>
      <c r="C83" s="114"/>
      <c r="D83" s="115"/>
      <c r="E83" s="116"/>
      <c r="F83" s="117" t="s">
        <v>957</v>
      </c>
      <c r="G83" s="137">
        <f>SUM(G58:G82)</f>
        <v>178014862.99360001</v>
      </c>
      <c r="H83" s="588"/>
      <c r="I83" s="587"/>
      <c r="J83" s="587"/>
      <c r="K83" s="587"/>
      <c r="L83" s="589"/>
      <c r="M83" s="590"/>
      <c r="N83" s="591"/>
      <c r="O83" s="95"/>
      <c r="P83" s="579"/>
      <c r="Q83" s="580"/>
      <c r="R83" s="580"/>
      <c r="S83" s="581"/>
      <c r="T83" s="582"/>
      <c r="U83" s="79"/>
      <c r="V83" s="621"/>
      <c r="Y83" s="44"/>
      <c r="Z83" s="44"/>
      <c r="AA83" s="44"/>
      <c r="AB83" s="44"/>
    </row>
    <row r="84" spans="1:28" s="45" customFormat="1">
      <c r="A84" s="586"/>
      <c r="B84" s="771"/>
      <c r="C84" s="102"/>
      <c r="D84" s="772"/>
      <c r="E84" s="773"/>
      <c r="F84" s="587"/>
      <c r="G84" s="774"/>
      <c r="H84" s="588"/>
      <c r="I84" s="587"/>
      <c r="J84" s="587"/>
      <c r="K84" s="587"/>
      <c r="L84" s="589"/>
      <c r="M84" s="590"/>
      <c r="N84" s="591"/>
      <c r="O84" s="95"/>
      <c r="P84" s="579"/>
      <c r="Q84" s="580"/>
      <c r="R84" s="580"/>
      <c r="S84" s="581"/>
      <c r="T84" s="582"/>
      <c r="U84" s="79"/>
      <c r="V84" s="621"/>
      <c r="Y84" s="44"/>
      <c r="Z84" s="44"/>
      <c r="AA84" s="44"/>
      <c r="AB84" s="44"/>
    </row>
    <row r="85" spans="1:28" s="45" customFormat="1" ht="15.75" thickBot="1">
      <c r="A85" s="586"/>
      <c r="B85" s="771"/>
      <c r="C85" s="871"/>
      <c r="D85" s="873"/>
      <c r="E85" s="874"/>
      <c r="F85" s="875" t="s">
        <v>958</v>
      </c>
      <c r="G85" s="872">
        <f>+G56+G83</f>
        <v>225885489.99360001</v>
      </c>
      <c r="H85" s="588"/>
      <c r="I85" s="587"/>
      <c r="J85" s="587"/>
      <c r="K85" s="587"/>
      <c r="L85" s="589"/>
      <c r="M85" s="590"/>
      <c r="N85" s="591"/>
      <c r="O85" s="95"/>
      <c r="P85" s="579"/>
      <c r="Q85" s="580"/>
      <c r="R85" s="580"/>
      <c r="S85" s="581"/>
      <c r="T85" s="582"/>
      <c r="U85" s="79"/>
      <c r="V85" s="621"/>
      <c r="Y85" s="44"/>
      <c r="Z85" s="44"/>
      <c r="AA85" s="44"/>
      <c r="AB85" s="44"/>
    </row>
    <row r="86" spans="1:28" s="45" customFormat="1" ht="15.75" thickBot="1">
      <c r="A86" s="586"/>
      <c r="B86" s="823"/>
      <c r="C86" s="824"/>
      <c r="D86" s="821"/>
      <c r="E86" s="825"/>
      <c r="F86" s="43"/>
      <c r="G86" s="826"/>
      <c r="H86" s="588"/>
      <c r="I86" s="587"/>
      <c r="J86" s="587"/>
      <c r="K86" s="587"/>
      <c r="L86" s="589"/>
      <c r="M86" s="590"/>
      <c r="N86" s="591"/>
      <c r="O86" s="95"/>
      <c r="P86" s="579"/>
      <c r="Q86" s="580"/>
      <c r="R86" s="580"/>
      <c r="S86" s="581"/>
      <c r="T86" s="582"/>
      <c r="U86" s="79"/>
      <c r="V86" s="621"/>
      <c r="Y86" s="44"/>
      <c r="Z86" s="44"/>
      <c r="AA86" s="44"/>
      <c r="AB86" s="44"/>
    </row>
    <row r="87" spans="1:28" s="45" customFormat="1">
      <c r="A87" s="586"/>
      <c r="B87" s="74">
        <v>4</v>
      </c>
      <c r="C87" s="75" t="s">
        <v>475</v>
      </c>
      <c r="D87" s="76"/>
      <c r="E87" s="76"/>
      <c r="F87" s="76"/>
      <c r="G87" s="126"/>
      <c r="H87" s="588"/>
      <c r="I87" s="587"/>
      <c r="J87" s="587"/>
      <c r="K87" s="587"/>
      <c r="L87" s="589"/>
      <c r="M87" s="590"/>
      <c r="N87" s="591"/>
      <c r="O87" s="95"/>
      <c r="P87" s="579"/>
      <c r="Q87" s="580"/>
      <c r="R87" s="580"/>
      <c r="S87" s="581"/>
      <c r="T87" s="582"/>
      <c r="U87" s="79"/>
      <c r="V87" s="621"/>
      <c r="Y87" s="44"/>
      <c r="Z87" s="44"/>
      <c r="AA87" s="44"/>
      <c r="AB87" s="44"/>
    </row>
    <row r="88" spans="1:28" s="45" customFormat="1">
      <c r="A88" s="586"/>
      <c r="B88" s="771"/>
      <c r="C88" s="788" t="s">
        <v>947</v>
      </c>
      <c r="D88" s="772"/>
      <c r="E88" s="773"/>
      <c r="F88" s="587"/>
      <c r="G88" s="774"/>
      <c r="H88" s="588"/>
      <c r="I88" s="587"/>
      <c r="J88" s="587"/>
      <c r="K88" s="587"/>
      <c r="L88" s="589"/>
      <c r="M88" s="590"/>
      <c r="N88" s="591"/>
      <c r="O88" s="95"/>
      <c r="P88" s="579"/>
      <c r="Q88" s="580"/>
      <c r="R88" s="580"/>
      <c r="S88" s="581"/>
      <c r="T88" s="582"/>
      <c r="U88" s="79"/>
      <c r="V88" s="621"/>
      <c r="Y88" s="44"/>
      <c r="Z88" s="44"/>
      <c r="AA88" s="44"/>
      <c r="AB88" s="44"/>
    </row>
    <row r="89" spans="1:28" s="45" customFormat="1">
      <c r="A89" s="586"/>
      <c r="B89" s="771">
        <v>4.0999999999999996</v>
      </c>
      <c r="C89" s="102" t="s">
        <v>943</v>
      </c>
      <c r="D89" s="772" t="s">
        <v>139</v>
      </c>
      <c r="E89" s="587">
        <v>182</v>
      </c>
      <c r="F89" s="587">
        <v>2610</v>
      </c>
      <c r="G89" s="774">
        <f>+E89*F89</f>
        <v>475020</v>
      </c>
      <c r="H89" s="588"/>
      <c r="I89" s="587"/>
      <c r="J89" s="587"/>
      <c r="K89" s="587"/>
      <c r="L89" s="589"/>
      <c r="M89" s="590"/>
      <c r="N89" s="591"/>
      <c r="O89" s="95"/>
      <c r="P89" s="579"/>
      <c r="Q89" s="580"/>
      <c r="R89" s="580"/>
      <c r="S89" s="581"/>
      <c r="T89" s="582"/>
      <c r="U89" s="79"/>
      <c r="V89" s="621"/>
      <c r="AB89" s="44"/>
    </row>
    <row r="90" spans="1:28" s="45" customFormat="1">
      <c r="A90" s="586"/>
      <c r="B90" s="771">
        <f>+B89+0.1</f>
        <v>4.1999999999999993</v>
      </c>
      <c r="C90" s="102" t="s">
        <v>1101</v>
      </c>
      <c r="D90" s="772" t="s">
        <v>139</v>
      </c>
      <c r="E90" s="780">
        <v>84</v>
      </c>
      <c r="F90" s="587">
        <v>5190</v>
      </c>
      <c r="G90" s="774">
        <f t="shared" ref="G90" si="14">+E90*F90</f>
        <v>435960</v>
      </c>
      <c r="H90" s="588"/>
      <c r="I90" s="587"/>
      <c r="J90" s="587"/>
      <c r="K90" s="587"/>
      <c r="L90" s="589"/>
      <c r="M90" s="590"/>
      <c r="N90" s="591"/>
      <c r="O90" s="95"/>
      <c r="P90" s="579"/>
      <c r="Q90" s="580"/>
      <c r="R90" s="580"/>
      <c r="S90" s="581"/>
      <c r="T90" s="582"/>
      <c r="U90" s="79"/>
      <c r="V90" s="621"/>
      <c r="AB90" s="44"/>
    </row>
    <row r="91" spans="1:28" s="45" customFormat="1">
      <c r="A91" s="586"/>
      <c r="B91" s="771">
        <f>+B90+0.1</f>
        <v>4.2999999999999989</v>
      </c>
      <c r="C91" s="102" t="s">
        <v>941</v>
      </c>
      <c r="D91" s="777" t="s">
        <v>139</v>
      </c>
      <c r="E91" s="587">
        <v>98</v>
      </c>
      <c r="F91" s="587">
        <v>10240</v>
      </c>
      <c r="G91" s="774">
        <f t="shared" ref="G91:G95" si="15">+E91*F91</f>
        <v>1003520</v>
      </c>
      <c r="H91" s="588"/>
      <c r="I91" s="587"/>
      <c r="J91" s="587"/>
      <c r="K91" s="587"/>
      <c r="L91" s="589"/>
      <c r="M91" s="590"/>
      <c r="N91" s="591"/>
      <c r="O91" s="95"/>
      <c r="P91" s="579"/>
      <c r="Q91" s="580"/>
      <c r="R91" s="580"/>
      <c r="S91" s="581"/>
      <c r="T91" s="582"/>
      <c r="U91" s="79"/>
      <c r="V91" s="621"/>
      <c r="AB91" s="44"/>
    </row>
    <row r="92" spans="1:28" s="45" customFormat="1">
      <c r="A92" s="586"/>
      <c r="B92" s="771">
        <f t="shared" ref="B92:B94" si="16">+B91+0.1</f>
        <v>4.3999999999999986</v>
      </c>
      <c r="C92" s="102" t="s">
        <v>497</v>
      </c>
      <c r="D92" s="777" t="s">
        <v>56</v>
      </c>
      <c r="E92" s="587">
        <v>48</v>
      </c>
      <c r="F92" s="587">
        <v>17220</v>
      </c>
      <c r="G92" s="774">
        <f t="shared" si="15"/>
        <v>826560</v>
      </c>
      <c r="H92" s="588"/>
      <c r="I92" s="587"/>
      <c r="J92" s="587"/>
      <c r="K92" s="587"/>
      <c r="L92" s="589"/>
      <c r="M92" s="590"/>
      <c r="N92" s="591"/>
      <c r="O92" s="95"/>
      <c r="P92" s="579"/>
      <c r="Q92" s="580"/>
      <c r="R92" s="580"/>
      <c r="S92" s="581"/>
      <c r="T92" s="582"/>
      <c r="U92" s="79"/>
      <c r="V92" s="621"/>
      <c r="AB92" s="44"/>
    </row>
    <row r="93" spans="1:28" s="45" customFormat="1">
      <c r="A93" s="586"/>
      <c r="B93" s="771">
        <f t="shared" si="16"/>
        <v>4.4999999999999982</v>
      </c>
      <c r="C93" s="782" t="s">
        <v>979</v>
      </c>
      <c r="D93" s="772" t="s">
        <v>139</v>
      </c>
      <c r="E93" s="587">
        <v>14</v>
      </c>
      <c r="F93" s="587">
        <v>573533</v>
      </c>
      <c r="G93" s="774">
        <f t="shared" si="15"/>
        <v>8029462</v>
      </c>
      <c r="H93" s="588"/>
      <c r="I93" s="587"/>
      <c r="J93" s="587"/>
      <c r="K93" s="587"/>
      <c r="L93" s="589"/>
      <c r="M93" s="590"/>
      <c r="N93" s="591"/>
      <c r="O93" s="95"/>
      <c r="P93" s="579"/>
      <c r="Q93" s="580"/>
      <c r="R93" s="580"/>
      <c r="S93" s="581"/>
      <c r="T93" s="582"/>
      <c r="U93" s="79"/>
      <c r="V93" s="621"/>
      <c r="AB93" s="44"/>
    </row>
    <row r="94" spans="1:28" s="45" customFormat="1">
      <c r="A94" s="586"/>
      <c r="B94" s="771">
        <f t="shared" si="16"/>
        <v>4.5999999999999979</v>
      </c>
      <c r="C94" s="102" t="s">
        <v>976</v>
      </c>
      <c r="D94" s="772" t="s">
        <v>139</v>
      </c>
      <c r="E94" s="587">
        <v>65</v>
      </c>
      <c r="F94" s="587">
        <v>614040</v>
      </c>
      <c r="G94" s="774">
        <f t="shared" si="15"/>
        <v>39912600</v>
      </c>
      <c r="H94" s="588"/>
      <c r="I94" s="587"/>
      <c r="J94" s="587"/>
      <c r="K94" s="587"/>
      <c r="L94" s="589"/>
      <c r="M94" s="590"/>
      <c r="N94" s="591"/>
      <c r="O94" s="95"/>
      <c r="P94" s="579"/>
      <c r="Q94" s="580"/>
      <c r="R94" s="580"/>
      <c r="S94" s="581"/>
      <c r="T94" s="582"/>
      <c r="U94" s="79"/>
      <c r="V94" s="621"/>
      <c r="AB94" s="44"/>
    </row>
    <row r="95" spans="1:28" s="45" customFormat="1">
      <c r="A95" s="586"/>
      <c r="B95" s="771">
        <f>+B94+0.1</f>
        <v>4.6999999999999975</v>
      </c>
      <c r="C95" s="102" t="s">
        <v>939</v>
      </c>
      <c r="D95" s="772" t="s">
        <v>139</v>
      </c>
      <c r="E95" s="587">
        <v>3</v>
      </c>
      <c r="F95" s="587">
        <f>+F54</f>
        <v>594610</v>
      </c>
      <c r="G95" s="774">
        <f t="shared" si="15"/>
        <v>1783830</v>
      </c>
      <c r="H95" s="588"/>
      <c r="I95" s="587"/>
      <c r="J95" s="587"/>
      <c r="K95" s="587"/>
      <c r="L95" s="589"/>
      <c r="M95" s="590"/>
      <c r="N95" s="591"/>
      <c r="O95" s="95"/>
      <c r="P95" s="579"/>
      <c r="Q95" s="580"/>
      <c r="R95" s="580"/>
      <c r="S95" s="581"/>
      <c r="T95" s="582"/>
      <c r="U95" s="79"/>
      <c r="V95" s="621"/>
      <c r="AB95" s="44"/>
    </row>
    <row r="96" spans="1:28" s="45" customFormat="1">
      <c r="A96" s="586"/>
      <c r="B96" s="823"/>
      <c r="C96" s="215"/>
      <c r="D96" s="216"/>
      <c r="E96" s="95"/>
      <c r="F96" s="95"/>
      <c r="G96" s="774"/>
      <c r="H96" s="588"/>
      <c r="I96" s="587"/>
      <c r="J96" s="587"/>
      <c r="K96" s="587"/>
      <c r="L96" s="589"/>
      <c r="M96" s="590"/>
      <c r="N96" s="591"/>
      <c r="O96" s="95"/>
      <c r="P96" s="579"/>
      <c r="Q96" s="580"/>
      <c r="R96" s="580"/>
      <c r="S96" s="581"/>
      <c r="T96" s="582"/>
      <c r="U96" s="79"/>
      <c r="V96" s="621"/>
      <c r="AB96" s="44"/>
    </row>
    <row r="97" spans="1:28" s="45" customFormat="1" ht="15.75" thickBot="1">
      <c r="A97" s="586"/>
      <c r="B97" s="114"/>
      <c r="C97" s="114"/>
      <c r="D97" s="115"/>
      <c r="E97" s="116"/>
      <c r="F97" s="117" t="s">
        <v>966</v>
      </c>
      <c r="G97" s="137">
        <f>SUM(G89:G95)</f>
        <v>52466952</v>
      </c>
      <c r="H97" s="588"/>
      <c r="I97" s="587"/>
      <c r="J97" s="587"/>
      <c r="K97" s="587"/>
      <c r="L97" s="589"/>
      <c r="M97" s="590"/>
      <c r="N97" s="591"/>
      <c r="O97" s="95"/>
      <c r="P97" s="579"/>
      <c r="Q97" s="580"/>
      <c r="R97" s="580"/>
      <c r="S97" s="581"/>
      <c r="T97" s="582"/>
      <c r="U97" s="79"/>
      <c r="V97" s="621"/>
      <c r="AB97" s="44"/>
    </row>
    <row r="98" spans="1:28" s="45" customFormat="1">
      <c r="A98" s="586"/>
      <c r="B98" s="771"/>
      <c r="C98" s="102"/>
      <c r="D98" s="772"/>
      <c r="E98" s="773"/>
      <c r="F98" s="587"/>
      <c r="G98" s="774"/>
      <c r="H98" s="588"/>
      <c r="I98" s="587"/>
      <c r="J98" s="587"/>
      <c r="K98" s="587"/>
      <c r="L98" s="589"/>
      <c r="M98" s="590"/>
      <c r="N98" s="591"/>
      <c r="O98" s="95"/>
      <c r="P98" s="579"/>
      <c r="Q98" s="580"/>
      <c r="R98" s="580"/>
      <c r="S98" s="581"/>
      <c r="T98" s="582"/>
      <c r="U98" s="79"/>
      <c r="V98" s="621"/>
      <c r="Y98" s="44"/>
      <c r="Z98" s="44"/>
      <c r="AA98" s="44"/>
      <c r="AB98" s="44"/>
    </row>
    <row r="99" spans="1:28" s="45" customFormat="1">
      <c r="A99" s="586"/>
      <c r="B99" s="771"/>
      <c r="C99" s="787" t="s">
        <v>948</v>
      </c>
      <c r="D99" s="772"/>
      <c r="E99" s="773"/>
      <c r="F99" s="587"/>
      <c r="G99" s="774"/>
      <c r="H99" s="588"/>
      <c r="I99" s="587"/>
      <c r="J99" s="587"/>
      <c r="K99" s="587"/>
      <c r="L99" s="589"/>
      <c r="M99" s="590"/>
      <c r="N99" s="591"/>
      <c r="O99" s="95"/>
      <c r="P99" s="579"/>
      <c r="Q99" s="580"/>
      <c r="R99" s="580"/>
      <c r="S99" s="581"/>
      <c r="T99" s="582"/>
      <c r="U99" s="79"/>
      <c r="V99" s="621"/>
      <c r="Y99" s="44"/>
      <c r="Z99" s="44"/>
      <c r="AA99" s="44"/>
      <c r="AB99" s="44"/>
    </row>
    <row r="100" spans="1:28" s="45" customFormat="1" ht="78.75" customHeight="1">
      <c r="A100" s="586"/>
      <c r="B100" s="844">
        <v>4.8</v>
      </c>
      <c r="C100" s="102" t="s">
        <v>1025</v>
      </c>
      <c r="D100" s="772"/>
      <c r="E100" s="780"/>
      <c r="F100" s="587"/>
      <c r="G100" s="774"/>
      <c r="H100" s="588"/>
      <c r="I100" s="587"/>
      <c r="J100" s="587"/>
      <c r="K100" s="587"/>
      <c r="L100" s="589"/>
      <c r="M100" s="590"/>
      <c r="N100" s="591"/>
      <c r="O100" s="95"/>
      <c r="P100" s="579"/>
      <c r="Q100" s="580"/>
      <c r="R100" s="580"/>
      <c r="S100" s="581"/>
      <c r="T100" s="582"/>
      <c r="U100" s="79"/>
      <c r="V100" s="621"/>
      <c r="Y100" s="44"/>
      <c r="Z100" s="44"/>
      <c r="AA100" s="44"/>
      <c r="AB100" s="44"/>
    </row>
    <row r="101" spans="1:28" s="45" customFormat="1">
      <c r="A101" s="586"/>
      <c r="B101" s="779">
        <f>+B100+0.1</f>
        <v>4.8999999999999995</v>
      </c>
      <c r="C101" s="102" t="s">
        <v>961</v>
      </c>
      <c r="D101" s="777" t="s">
        <v>22</v>
      </c>
      <c r="E101" s="587">
        <v>2</v>
      </c>
      <c r="F101" s="587">
        <v>18361768</v>
      </c>
      <c r="G101" s="774">
        <f t="shared" ref="G101:G123" si="17">E101*F101</f>
        <v>36723536</v>
      </c>
      <c r="H101" s="588"/>
      <c r="I101" s="587"/>
      <c r="J101" s="587"/>
      <c r="K101" s="587"/>
      <c r="L101" s="589"/>
      <c r="M101" s="590"/>
      <c r="N101" s="591"/>
      <c r="O101" s="95"/>
      <c r="P101" s="579"/>
      <c r="Q101" s="580"/>
      <c r="R101" s="580"/>
      <c r="S101" s="581"/>
      <c r="T101" s="582"/>
      <c r="U101" s="79"/>
      <c r="V101" s="621"/>
      <c r="X101" s="45">
        <f>14390100*1.16*1.1</f>
        <v>18361767.599999998</v>
      </c>
      <c r="Y101" s="44"/>
      <c r="Z101" s="44"/>
      <c r="AA101" s="44"/>
      <c r="AB101" s="44"/>
    </row>
    <row r="102" spans="1:28" s="45" customFormat="1">
      <c r="A102" s="586"/>
      <c r="B102" s="779">
        <v>4.0999999999999996</v>
      </c>
      <c r="C102" s="102" t="s">
        <v>962</v>
      </c>
      <c r="D102" s="777" t="s">
        <v>22</v>
      </c>
      <c r="E102" s="587">
        <v>2</v>
      </c>
      <c r="F102" s="587">
        <v>5712397</v>
      </c>
      <c r="G102" s="774">
        <f t="shared" si="17"/>
        <v>11424794</v>
      </c>
      <c r="H102" s="588"/>
      <c r="I102" s="587"/>
      <c r="J102" s="587"/>
      <c r="K102" s="587"/>
      <c r="L102" s="589"/>
      <c r="M102" s="590"/>
      <c r="N102" s="591"/>
      <c r="O102" s="95"/>
      <c r="P102" s="579"/>
      <c r="Q102" s="580"/>
      <c r="R102" s="580"/>
      <c r="S102" s="581"/>
      <c r="T102" s="582"/>
      <c r="U102" s="79"/>
      <c r="V102" s="621"/>
      <c r="X102" s="45">
        <f>4476800*1.16*1.1</f>
        <v>5712396.8000000007</v>
      </c>
      <c r="Y102" s="44"/>
      <c r="Z102" s="44"/>
      <c r="AA102" s="44"/>
      <c r="AB102" s="44"/>
    </row>
    <row r="103" spans="1:28" s="45" customFormat="1">
      <c r="A103" s="586"/>
      <c r="B103" s="779">
        <f>+B102+0.01</f>
        <v>4.1099999999999994</v>
      </c>
      <c r="C103" s="102" t="s">
        <v>963</v>
      </c>
      <c r="D103" s="772" t="s">
        <v>22</v>
      </c>
      <c r="E103" s="587">
        <v>2</v>
      </c>
      <c r="F103" s="587">
        <v>7484123</v>
      </c>
      <c r="G103" s="774">
        <f t="shared" si="17"/>
        <v>14968246</v>
      </c>
      <c r="H103" s="588"/>
      <c r="I103" s="587"/>
      <c r="J103" s="587"/>
      <c r="K103" s="587"/>
      <c r="L103" s="589"/>
      <c r="M103" s="590"/>
      <c r="N103" s="591"/>
      <c r="O103" s="95"/>
      <c r="P103" s="579"/>
      <c r="Q103" s="580"/>
      <c r="R103" s="580"/>
      <c r="S103" s="581"/>
      <c r="T103" s="582"/>
      <c r="U103" s="79"/>
      <c r="V103" s="621"/>
      <c r="X103" s="45">
        <f>5865300*1.16*1.1</f>
        <v>7484122.7999999998</v>
      </c>
      <c r="Y103" s="44"/>
      <c r="Z103" s="44"/>
      <c r="AA103" s="44"/>
      <c r="AB103" s="44"/>
    </row>
    <row r="104" spans="1:28" s="45" customFormat="1" ht="25.5">
      <c r="A104" s="586"/>
      <c r="B104" s="779">
        <f t="shared" ref="B104:B122" si="18">+B103+0.01</f>
        <v>4.1199999999999992</v>
      </c>
      <c r="C104" s="102" t="s">
        <v>1019</v>
      </c>
      <c r="D104" s="777" t="s">
        <v>512</v>
      </c>
      <c r="E104" s="587">
        <v>4</v>
      </c>
      <c r="F104" s="587">
        <v>931480</v>
      </c>
      <c r="G104" s="774">
        <f t="shared" si="17"/>
        <v>3725920</v>
      </c>
      <c r="H104" s="588"/>
      <c r="I104" s="587"/>
      <c r="J104" s="587"/>
      <c r="K104" s="587"/>
      <c r="L104" s="589"/>
      <c r="M104" s="590"/>
      <c r="N104" s="591"/>
      <c r="O104" s="95"/>
      <c r="P104" s="579"/>
      <c r="Q104" s="580"/>
      <c r="R104" s="580"/>
      <c r="S104" s="581"/>
      <c r="T104" s="582"/>
      <c r="U104" s="79"/>
      <c r="V104" s="621"/>
      <c r="W104" s="859">
        <f>730000*1.16*1.1</f>
        <v>931480</v>
      </c>
      <c r="Y104" s="44"/>
      <c r="Z104" s="44"/>
      <c r="AA104" s="44"/>
      <c r="AB104" s="44"/>
    </row>
    <row r="105" spans="1:28" s="45" customFormat="1" ht="20.25" customHeight="1">
      <c r="A105" s="586"/>
      <c r="B105" s="779">
        <f t="shared" si="18"/>
        <v>4.129999999999999</v>
      </c>
      <c r="C105" s="102" t="s">
        <v>1020</v>
      </c>
      <c r="D105" s="777" t="s">
        <v>22</v>
      </c>
      <c r="E105" s="587">
        <v>4</v>
      </c>
      <c r="F105" s="587">
        <v>174812</v>
      </c>
      <c r="G105" s="774">
        <f t="shared" si="17"/>
        <v>699248</v>
      </c>
      <c r="H105" s="588"/>
      <c r="I105" s="587"/>
      <c r="J105" s="587"/>
      <c r="K105" s="587"/>
      <c r="L105" s="589"/>
      <c r="M105" s="590"/>
      <c r="N105" s="591"/>
      <c r="O105" s="95"/>
      <c r="P105" s="579"/>
      <c r="Q105" s="580"/>
      <c r="R105" s="580"/>
      <c r="S105" s="581"/>
      <c r="T105" s="582"/>
      <c r="U105" s="79"/>
      <c r="V105" s="621"/>
      <c r="W105" s="859">
        <f>137000*1.16*1.1</f>
        <v>174812</v>
      </c>
      <c r="Y105" s="44"/>
      <c r="Z105" s="44"/>
      <c r="AA105" s="44"/>
      <c r="AB105" s="44"/>
    </row>
    <row r="106" spans="1:28" s="45" customFormat="1">
      <c r="A106" s="586"/>
      <c r="B106" s="779">
        <f t="shared" si="18"/>
        <v>4.1399999999999988</v>
      </c>
      <c r="C106" s="102" t="s">
        <v>522</v>
      </c>
      <c r="D106" s="772" t="s">
        <v>142</v>
      </c>
      <c r="E106" s="587">
        <v>4000</v>
      </c>
      <c r="F106" s="587">
        <v>3100</v>
      </c>
      <c r="G106" s="774">
        <f>+E106*F107</f>
        <v>18000000</v>
      </c>
      <c r="H106" s="588"/>
      <c r="I106" s="587"/>
      <c r="J106" s="587"/>
      <c r="K106" s="587"/>
      <c r="L106" s="589"/>
      <c r="M106" s="590"/>
      <c r="N106" s="591"/>
      <c r="O106" s="95"/>
      <c r="P106" s="579"/>
      <c r="Q106" s="580"/>
      <c r="R106" s="580"/>
      <c r="S106" s="581"/>
      <c r="T106" s="582"/>
      <c r="U106" s="79"/>
      <c r="V106" s="621"/>
      <c r="Y106" s="44"/>
      <c r="Z106" s="44"/>
      <c r="AA106" s="44"/>
      <c r="AB106" s="44"/>
    </row>
    <row r="107" spans="1:28" s="45" customFormat="1">
      <c r="A107" s="586"/>
      <c r="B107" s="779">
        <f t="shared" si="18"/>
        <v>4.1499999999999986</v>
      </c>
      <c r="C107" s="102" t="s">
        <v>942</v>
      </c>
      <c r="D107" s="777" t="s">
        <v>56</v>
      </c>
      <c r="E107" s="587">
        <v>37</v>
      </c>
      <c r="F107" s="587">
        <v>4500</v>
      </c>
      <c r="G107" s="774">
        <f t="shared" ref="G107:G108" si="19">+E107*F108</f>
        <v>2332850</v>
      </c>
      <c r="H107" s="588"/>
      <c r="I107" s="587"/>
      <c r="J107" s="587"/>
      <c r="K107" s="587"/>
      <c r="L107" s="589"/>
      <c r="M107" s="590"/>
      <c r="N107" s="591"/>
      <c r="O107" s="95"/>
      <c r="P107" s="579"/>
      <c r="Q107" s="580"/>
      <c r="R107" s="580"/>
      <c r="S107" s="581"/>
      <c r="T107" s="582"/>
      <c r="U107" s="79"/>
      <c r="V107" s="621"/>
      <c r="Y107" s="44"/>
      <c r="Z107" s="44"/>
      <c r="AA107" s="44"/>
      <c r="AB107" s="44"/>
    </row>
    <row r="108" spans="1:28" s="45" customFormat="1">
      <c r="A108" s="586"/>
      <c r="B108" s="779">
        <f t="shared" si="18"/>
        <v>4.1599999999999984</v>
      </c>
      <c r="C108" s="102" t="s">
        <v>945</v>
      </c>
      <c r="D108" s="772" t="s">
        <v>139</v>
      </c>
      <c r="E108" s="587">
        <v>53</v>
      </c>
      <c r="F108" s="587">
        <v>63050</v>
      </c>
      <c r="G108" s="774">
        <f t="shared" si="19"/>
        <v>1554490</v>
      </c>
      <c r="H108" s="588"/>
      <c r="I108" s="587"/>
      <c r="J108" s="587"/>
      <c r="K108" s="587"/>
      <c r="L108" s="589"/>
      <c r="M108" s="590"/>
      <c r="N108" s="591"/>
      <c r="O108" s="95"/>
      <c r="P108" s="579"/>
      <c r="Q108" s="580"/>
      <c r="R108" s="580"/>
      <c r="S108" s="581"/>
      <c r="T108" s="582"/>
      <c r="U108" s="79"/>
      <c r="V108" s="621"/>
      <c r="Y108" s="44"/>
      <c r="Z108" s="44"/>
      <c r="AA108" s="44"/>
      <c r="AB108" s="44"/>
    </row>
    <row r="109" spans="1:28" s="45" customFormat="1">
      <c r="A109" s="586"/>
      <c r="B109" s="779">
        <f t="shared" si="18"/>
        <v>4.1699999999999982</v>
      </c>
      <c r="C109" s="102" t="s">
        <v>946</v>
      </c>
      <c r="D109" s="772" t="s">
        <v>540</v>
      </c>
      <c r="E109" s="587">
        <v>30</v>
      </c>
      <c r="F109" s="587">
        <v>29330</v>
      </c>
      <c r="G109" s="774">
        <f>+E109*F109</f>
        <v>879900</v>
      </c>
      <c r="H109" s="588"/>
      <c r="I109" s="587"/>
      <c r="J109" s="587"/>
      <c r="K109" s="587"/>
      <c r="L109" s="589"/>
      <c r="M109" s="590"/>
      <c r="N109" s="591"/>
      <c r="O109" s="95"/>
      <c r="P109" s="579"/>
      <c r="Q109" s="580"/>
      <c r="R109" s="580"/>
      <c r="S109" s="581"/>
      <c r="T109" s="582"/>
      <c r="U109" s="79"/>
      <c r="V109" s="621"/>
      <c r="Y109" s="44"/>
      <c r="Z109" s="44"/>
      <c r="AA109" s="44"/>
      <c r="AB109" s="44"/>
    </row>
    <row r="110" spans="1:28" s="45" customFormat="1">
      <c r="A110" s="586"/>
      <c r="B110" s="779">
        <f t="shared" si="18"/>
        <v>4.1799999999999979</v>
      </c>
      <c r="C110" s="782" t="s">
        <v>950</v>
      </c>
      <c r="D110" s="772" t="s">
        <v>540</v>
      </c>
      <c r="E110" s="587">
        <v>56</v>
      </c>
      <c r="F110" s="587">
        <v>18420</v>
      </c>
      <c r="G110" s="774">
        <f>+E110*F110</f>
        <v>1031520</v>
      </c>
      <c r="H110" s="588"/>
      <c r="I110" s="587"/>
      <c r="J110" s="587"/>
      <c r="K110" s="587"/>
      <c r="L110" s="589"/>
      <c r="M110" s="590"/>
      <c r="N110" s="591"/>
      <c r="O110" s="95"/>
      <c r="P110" s="579"/>
      <c r="Q110" s="580"/>
      <c r="R110" s="580"/>
      <c r="S110" s="581"/>
      <c r="T110" s="582"/>
      <c r="U110" s="79"/>
      <c r="V110" s="621"/>
      <c r="Y110" s="44"/>
      <c r="Z110" s="44"/>
      <c r="AA110" s="44"/>
      <c r="AB110" s="44"/>
    </row>
    <row r="111" spans="1:28" s="45" customFormat="1" ht="24.75" customHeight="1">
      <c r="A111" s="586"/>
      <c r="B111" s="779">
        <f t="shared" si="18"/>
        <v>4.1899999999999977</v>
      </c>
      <c r="C111" s="782" t="s">
        <v>964</v>
      </c>
      <c r="D111" s="772" t="s">
        <v>22</v>
      </c>
      <c r="E111" s="587">
        <v>138</v>
      </c>
      <c r="F111" s="587">
        <v>49700</v>
      </c>
      <c r="G111" s="774">
        <f t="shared" ref="G111:G114" si="20">+E111*F111</f>
        <v>6858600</v>
      </c>
      <c r="H111" s="588"/>
      <c r="I111" s="587"/>
      <c r="J111" s="587"/>
      <c r="K111" s="587"/>
      <c r="L111" s="589"/>
      <c r="M111" s="590"/>
      <c r="N111" s="591"/>
      <c r="O111" s="95"/>
      <c r="P111" s="579"/>
      <c r="Q111" s="580"/>
      <c r="R111" s="580"/>
      <c r="S111" s="581"/>
      <c r="T111" s="582"/>
      <c r="U111" s="79"/>
      <c r="V111" s="621"/>
      <c r="Y111" s="44"/>
      <c r="Z111" s="44"/>
      <c r="AA111" s="44"/>
      <c r="AB111" s="44"/>
    </row>
    <row r="112" spans="1:28" s="45" customFormat="1" ht="15" customHeight="1">
      <c r="A112" s="586"/>
      <c r="B112" s="779">
        <f t="shared" si="18"/>
        <v>4.1999999999999975</v>
      </c>
      <c r="C112" s="102" t="s">
        <v>509</v>
      </c>
      <c r="D112" s="772" t="s">
        <v>56</v>
      </c>
      <c r="E112" s="587">
        <v>36</v>
      </c>
      <c r="F112" s="587">
        <v>150170</v>
      </c>
      <c r="G112" s="774">
        <f t="shared" si="20"/>
        <v>5406120</v>
      </c>
      <c r="H112" s="588"/>
      <c r="I112" s="587"/>
      <c r="J112" s="587"/>
      <c r="K112" s="587"/>
      <c r="L112" s="589"/>
      <c r="M112" s="590"/>
      <c r="N112" s="591"/>
      <c r="O112" s="95"/>
      <c r="P112" s="579"/>
      <c r="Q112" s="580"/>
      <c r="R112" s="580"/>
      <c r="S112" s="581"/>
      <c r="T112" s="582"/>
      <c r="U112" s="79"/>
      <c r="V112" s="621"/>
      <c r="W112" s="215"/>
      <c r="X112" s="830"/>
      <c r="Y112" s="829"/>
      <c r="Z112" s="95"/>
      <c r="AA112" s="95"/>
      <c r="AB112" s="44"/>
    </row>
    <row r="113" spans="1:28" s="45" customFormat="1" ht="25.5">
      <c r="A113" s="586"/>
      <c r="B113" s="779">
        <f t="shared" si="18"/>
        <v>4.2099999999999973</v>
      </c>
      <c r="C113" s="102" t="s">
        <v>935</v>
      </c>
      <c r="D113" s="777" t="s">
        <v>22</v>
      </c>
      <c r="E113" s="587">
        <v>42</v>
      </c>
      <c r="F113" s="587">
        <v>59200</v>
      </c>
      <c r="G113" s="774">
        <f t="shared" si="20"/>
        <v>2486400</v>
      </c>
      <c r="H113" s="588"/>
      <c r="I113" s="587"/>
      <c r="J113" s="587"/>
      <c r="K113" s="587"/>
      <c r="L113" s="589"/>
      <c r="M113" s="590"/>
      <c r="N113" s="591"/>
      <c r="O113" s="95"/>
      <c r="P113" s="579"/>
      <c r="Q113" s="580"/>
      <c r="R113" s="580"/>
      <c r="S113" s="581"/>
      <c r="T113" s="582"/>
      <c r="U113" s="79"/>
      <c r="V113" s="621"/>
      <c r="Y113" s="44"/>
      <c r="Z113" s="44"/>
      <c r="AA113" s="44"/>
      <c r="AB113" s="44"/>
    </row>
    <row r="114" spans="1:28" s="45" customFormat="1" ht="25.5">
      <c r="A114" s="586"/>
      <c r="B114" s="779">
        <f t="shared" si="18"/>
        <v>4.2199999999999971</v>
      </c>
      <c r="C114" s="102" t="s">
        <v>1018</v>
      </c>
      <c r="D114" s="777" t="s">
        <v>512</v>
      </c>
      <c r="E114" s="587">
        <v>30</v>
      </c>
      <c r="F114" s="587">
        <v>30550</v>
      </c>
      <c r="G114" s="774">
        <f t="shared" si="20"/>
        <v>916500</v>
      </c>
      <c r="H114" s="588"/>
      <c r="I114" s="587"/>
      <c r="J114" s="587"/>
      <c r="K114" s="587"/>
      <c r="L114" s="589"/>
      <c r="M114" s="590"/>
      <c r="N114" s="591"/>
      <c r="O114" s="95"/>
      <c r="P114" s="579"/>
      <c r="Q114" s="580"/>
      <c r="R114" s="580"/>
      <c r="S114" s="581"/>
      <c r="T114" s="582"/>
      <c r="U114" s="79"/>
      <c r="V114" s="621"/>
      <c r="Y114" s="44"/>
      <c r="Z114" s="44"/>
      <c r="AA114" s="44"/>
      <c r="AB114" s="44"/>
    </row>
    <row r="115" spans="1:28" s="45" customFormat="1">
      <c r="A115" s="586"/>
      <c r="B115" s="779">
        <f t="shared" si="18"/>
        <v>4.2299999999999969</v>
      </c>
      <c r="C115" s="102" t="s">
        <v>543</v>
      </c>
      <c r="D115" s="777" t="s">
        <v>512</v>
      </c>
      <c r="E115" s="587">
        <v>32</v>
      </c>
      <c r="F115" s="587">
        <v>21450</v>
      </c>
      <c r="G115" s="774">
        <f t="shared" si="17"/>
        <v>686400</v>
      </c>
      <c r="H115" s="588"/>
      <c r="I115" s="587"/>
      <c r="J115" s="587"/>
      <c r="K115" s="587"/>
      <c r="L115" s="589"/>
      <c r="M115" s="590"/>
      <c r="N115" s="591"/>
      <c r="O115" s="95"/>
      <c r="P115" s="579"/>
      <c r="Q115" s="580"/>
      <c r="R115" s="580"/>
      <c r="S115" s="581"/>
      <c r="T115" s="582"/>
      <c r="U115" s="79"/>
      <c r="V115" s="621"/>
      <c r="Y115" s="44"/>
      <c r="Z115" s="44"/>
      <c r="AA115" s="44"/>
      <c r="AB115" s="44"/>
    </row>
    <row r="116" spans="1:28" s="45" customFormat="1">
      <c r="A116" s="586"/>
      <c r="B116" s="779">
        <f t="shared" si="18"/>
        <v>4.2399999999999967</v>
      </c>
      <c r="C116" s="102" t="s">
        <v>545</v>
      </c>
      <c r="D116" s="777" t="s">
        <v>500</v>
      </c>
      <c r="E116" s="587">
        <v>6</v>
      </c>
      <c r="F116" s="587">
        <v>13910</v>
      </c>
      <c r="G116" s="774">
        <f t="shared" si="17"/>
        <v>83460</v>
      </c>
      <c r="H116" s="588"/>
      <c r="I116" s="587"/>
      <c r="J116" s="587"/>
      <c r="K116" s="587"/>
      <c r="L116" s="589"/>
      <c r="M116" s="590"/>
      <c r="N116" s="591"/>
      <c r="O116" s="95"/>
      <c r="P116" s="579"/>
      <c r="Q116" s="580"/>
      <c r="R116" s="580"/>
      <c r="S116" s="581"/>
      <c r="T116" s="582"/>
      <c r="U116" s="79"/>
      <c r="V116" s="621"/>
      <c r="Y116" s="44"/>
      <c r="Z116" s="44"/>
      <c r="AA116" s="44"/>
      <c r="AB116" s="44"/>
    </row>
    <row r="117" spans="1:28" s="45" customFormat="1">
      <c r="A117" s="586"/>
      <c r="B117" s="779">
        <f t="shared" si="18"/>
        <v>4.2499999999999964</v>
      </c>
      <c r="C117" s="102" t="s">
        <v>965</v>
      </c>
      <c r="D117" s="772" t="s">
        <v>512</v>
      </c>
      <c r="E117" s="587">
        <v>32</v>
      </c>
      <c r="F117" s="587">
        <v>3720</v>
      </c>
      <c r="G117" s="774">
        <f t="shared" si="17"/>
        <v>119040</v>
      </c>
      <c r="H117" s="588"/>
      <c r="I117" s="587"/>
      <c r="J117" s="587"/>
      <c r="K117" s="587"/>
      <c r="L117" s="589"/>
      <c r="M117" s="590"/>
      <c r="N117" s="591"/>
      <c r="O117" s="95"/>
      <c r="P117" s="579"/>
      <c r="Q117" s="580"/>
      <c r="R117" s="580"/>
      <c r="S117" s="581"/>
      <c r="T117" s="582"/>
      <c r="U117" s="79"/>
      <c r="V117" s="621"/>
      <c r="Y117" s="44"/>
      <c r="Z117" s="44"/>
      <c r="AA117" s="44"/>
      <c r="AB117" s="44"/>
    </row>
    <row r="118" spans="1:28" s="45" customFormat="1">
      <c r="A118" s="586"/>
      <c r="B118" s="779">
        <f t="shared" si="18"/>
        <v>4.2599999999999962</v>
      </c>
      <c r="C118" s="102" t="s">
        <v>547</v>
      </c>
      <c r="D118" s="777" t="s">
        <v>22</v>
      </c>
      <c r="E118" s="587">
        <v>1</v>
      </c>
      <c r="F118" s="858">
        <v>115000</v>
      </c>
      <c r="G118" s="774">
        <f t="shared" si="17"/>
        <v>115000</v>
      </c>
      <c r="H118" s="588"/>
      <c r="I118" s="587"/>
      <c r="J118" s="587"/>
      <c r="K118" s="587"/>
      <c r="L118" s="589"/>
      <c r="M118" s="590"/>
      <c r="N118" s="591"/>
      <c r="O118" s="95"/>
      <c r="P118" s="579"/>
      <c r="Q118" s="580"/>
      <c r="R118" s="580"/>
      <c r="S118" s="581"/>
      <c r="T118" s="582"/>
      <c r="U118" s="79"/>
      <c r="V118" s="621"/>
      <c r="W118" s="45">
        <f>348000*1.16*1.1</f>
        <v>444048.00000000006</v>
      </c>
      <c r="Y118" s="44"/>
      <c r="Z118" s="44"/>
      <c r="AA118" s="44"/>
      <c r="AB118" s="44"/>
    </row>
    <row r="119" spans="1:28" s="45" customFormat="1">
      <c r="A119" s="586"/>
      <c r="B119" s="779">
        <f t="shared" si="18"/>
        <v>4.269999999999996</v>
      </c>
      <c r="C119" s="102" t="s">
        <v>548</v>
      </c>
      <c r="D119" s="777" t="s">
        <v>22</v>
      </c>
      <c r="E119" s="587">
        <v>4</v>
      </c>
      <c r="F119" s="858">
        <v>469000</v>
      </c>
      <c r="G119" s="774">
        <f t="shared" si="17"/>
        <v>1876000</v>
      </c>
      <c r="H119" s="588"/>
      <c r="I119" s="587"/>
      <c r="J119" s="587"/>
      <c r="K119" s="587"/>
      <c r="L119" s="589"/>
      <c r="M119" s="590"/>
      <c r="N119" s="591"/>
      <c r="O119" s="95"/>
      <c r="P119" s="579"/>
      <c r="Q119" s="580"/>
      <c r="R119" s="580"/>
      <c r="S119" s="581"/>
      <c r="T119" s="582"/>
      <c r="U119" s="79"/>
      <c r="V119" s="621"/>
      <c r="W119" s="45">
        <f>348000*1.16*1.1</f>
        <v>444048.00000000006</v>
      </c>
      <c r="Y119" s="44"/>
      <c r="Z119" s="44"/>
      <c r="AA119" s="44"/>
      <c r="AB119" s="44"/>
    </row>
    <row r="120" spans="1:28" s="45" customFormat="1">
      <c r="A120" s="586"/>
      <c r="B120" s="779">
        <f t="shared" si="18"/>
        <v>4.2799999999999958</v>
      </c>
      <c r="C120" s="860" t="s">
        <v>513</v>
      </c>
      <c r="D120" s="880" t="s">
        <v>22</v>
      </c>
      <c r="E120" s="863">
        <v>676</v>
      </c>
      <c r="F120" s="863">
        <v>53000</v>
      </c>
      <c r="G120" s="864">
        <f t="shared" si="17"/>
        <v>35828000</v>
      </c>
      <c r="H120" s="588"/>
      <c r="I120" s="587"/>
      <c r="J120" s="587"/>
      <c r="K120" s="587"/>
      <c r="L120" s="589"/>
      <c r="M120" s="590"/>
      <c r="N120" s="591"/>
      <c r="O120" s="95"/>
      <c r="P120" s="579"/>
      <c r="Q120" s="580"/>
      <c r="R120" s="580"/>
      <c r="S120" s="581"/>
      <c r="T120" s="582"/>
      <c r="U120" s="79"/>
      <c r="V120" s="621"/>
      <c r="W120" s="878"/>
      <c r="Y120" s="44"/>
      <c r="Z120" s="44"/>
      <c r="AA120" s="44"/>
      <c r="AB120" s="44"/>
    </row>
    <row r="121" spans="1:28" s="45" customFormat="1">
      <c r="A121" s="586"/>
      <c r="B121" s="779">
        <f t="shared" si="18"/>
        <v>4.2899999999999956</v>
      </c>
      <c r="C121" s="102" t="s">
        <v>514</v>
      </c>
      <c r="D121" s="777" t="s">
        <v>22</v>
      </c>
      <c r="E121" s="587">
        <v>676</v>
      </c>
      <c r="F121" s="858">
        <v>14047</v>
      </c>
      <c r="G121" s="774">
        <f>E120*F121</f>
        <v>9495772</v>
      </c>
      <c r="H121" s="588"/>
      <c r="I121" s="587"/>
      <c r="J121" s="587"/>
      <c r="K121" s="587"/>
      <c r="L121" s="589"/>
      <c r="M121" s="590"/>
      <c r="N121" s="591"/>
      <c r="O121" s="95"/>
      <c r="P121" s="579"/>
      <c r="Q121" s="580"/>
      <c r="R121" s="580"/>
      <c r="S121" s="581"/>
      <c r="T121" s="582"/>
      <c r="U121" s="79"/>
      <c r="V121" s="621"/>
      <c r="W121" s="45">
        <v>14047</v>
      </c>
      <c r="Y121" s="44"/>
      <c r="Z121" s="44"/>
      <c r="AA121" s="44"/>
      <c r="AB121" s="44"/>
    </row>
    <row r="122" spans="1:28" s="45" customFormat="1">
      <c r="A122" s="586"/>
      <c r="B122" s="779">
        <f t="shared" si="18"/>
        <v>4.2999999999999954</v>
      </c>
      <c r="C122" s="102" t="s">
        <v>515</v>
      </c>
      <c r="D122" s="772" t="s">
        <v>22</v>
      </c>
      <c r="E122" s="587">
        <v>1372</v>
      </c>
      <c r="F122" s="858">
        <v>2923</v>
      </c>
      <c r="G122" s="774">
        <f>E121*F122</f>
        <v>1975948</v>
      </c>
      <c r="H122" s="588"/>
      <c r="I122" s="587"/>
      <c r="J122" s="587"/>
      <c r="K122" s="587"/>
      <c r="L122" s="589"/>
      <c r="M122" s="590"/>
      <c r="N122" s="591"/>
      <c r="O122" s="95"/>
      <c r="P122" s="579"/>
      <c r="Q122" s="580"/>
      <c r="R122" s="580"/>
      <c r="S122" s="581"/>
      <c r="T122" s="582"/>
      <c r="U122" s="79"/>
      <c r="V122" s="621"/>
      <c r="Y122" s="44"/>
      <c r="Z122" s="44"/>
      <c r="AA122" s="44"/>
      <c r="AB122" s="44"/>
    </row>
    <row r="123" spans="1:28" s="45" customFormat="1">
      <c r="A123" s="586"/>
      <c r="B123" s="779"/>
      <c r="C123" s="102"/>
      <c r="D123" s="777"/>
      <c r="E123" s="780"/>
      <c r="F123" s="776"/>
      <c r="G123" s="774">
        <f t="shared" si="17"/>
        <v>0</v>
      </c>
      <c r="H123" s="588"/>
      <c r="I123" s="587"/>
      <c r="J123" s="587"/>
      <c r="K123" s="587"/>
      <c r="L123" s="589"/>
      <c r="M123" s="590"/>
      <c r="N123" s="591"/>
      <c r="O123" s="95"/>
      <c r="P123" s="579"/>
      <c r="Q123" s="580"/>
      <c r="R123" s="580"/>
      <c r="S123" s="581"/>
      <c r="T123" s="582"/>
      <c r="U123" s="79"/>
      <c r="V123" s="621"/>
      <c r="Y123" s="44"/>
      <c r="Z123" s="44"/>
      <c r="AA123" s="44"/>
      <c r="AB123" s="44"/>
    </row>
    <row r="124" spans="1:28" s="45" customFormat="1">
      <c r="A124" s="586"/>
      <c r="B124" s="771"/>
      <c r="C124" s="102"/>
      <c r="D124" s="777"/>
      <c r="E124" s="780"/>
      <c r="F124" s="587"/>
      <c r="G124" s="774"/>
      <c r="H124" s="588"/>
      <c r="I124" s="587"/>
      <c r="J124" s="587"/>
      <c r="K124" s="587"/>
      <c r="L124" s="589"/>
      <c r="M124" s="590"/>
      <c r="N124" s="591"/>
      <c r="O124" s="95"/>
      <c r="P124" s="579"/>
      <c r="Q124" s="580"/>
      <c r="R124" s="580"/>
      <c r="S124" s="581"/>
      <c r="T124" s="582"/>
      <c r="U124" s="79"/>
      <c r="V124" s="621"/>
      <c r="Y124" s="44"/>
      <c r="Z124" s="44"/>
      <c r="AA124" s="44"/>
      <c r="AB124" s="44"/>
    </row>
    <row r="125" spans="1:28" s="45" customFormat="1" ht="15.75" thickBot="1">
      <c r="A125" s="586"/>
      <c r="B125" s="114"/>
      <c r="C125" s="114"/>
      <c r="D125" s="115"/>
      <c r="E125" s="116"/>
      <c r="F125" s="117" t="s">
        <v>959</v>
      </c>
      <c r="G125" s="137">
        <f>SUM(G100:G123)</f>
        <v>157187744</v>
      </c>
      <c r="H125" s="588"/>
      <c r="I125" s="587"/>
      <c r="J125" s="587"/>
      <c r="K125" s="587"/>
      <c r="L125" s="589"/>
      <c r="M125" s="590"/>
      <c r="N125" s="591"/>
      <c r="O125" s="95"/>
      <c r="P125" s="579"/>
      <c r="Q125" s="580"/>
      <c r="R125" s="580"/>
      <c r="S125" s="581"/>
      <c r="T125" s="582"/>
      <c r="U125" s="79"/>
      <c r="V125" s="621"/>
      <c r="Y125" s="44"/>
      <c r="Z125" s="44"/>
      <c r="AA125" s="44"/>
      <c r="AB125" s="44"/>
    </row>
    <row r="126" spans="1:28" s="45" customFormat="1">
      <c r="A126" s="586"/>
      <c r="B126" s="771"/>
      <c r="C126" s="102"/>
      <c r="D126" s="772"/>
      <c r="E126" s="773"/>
      <c r="F126" s="587"/>
      <c r="G126" s="774"/>
      <c r="H126" s="588"/>
      <c r="I126" s="587"/>
      <c r="J126" s="587"/>
      <c r="K126" s="587"/>
      <c r="L126" s="589"/>
      <c r="M126" s="590"/>
      <c r="N126" s="591"/>
      <c r="O126" s="95"/>
      <c r="P126" s="579"/>
      <c r="Q126" s="580"/>
      <c r="R126" s="580"/>
      <c r="S126" s="581"/>
      <c r="T126" s="582"/>
      <c r="U126" s="79"/>
      <c r="V126" s="621"/>
      <c r="Y126" s="44"/>
      <c r="Z126" s="44"/>
      <c r="AA126" s="44"/>
      <c r="AB126" s="44"/>
    </row>
    <row r="127" spans="1:28" s="45" customFormat="1" ht="15.75" thickBot="1">
      <c r="A127" s="586"/>
      <c r="B127" s="871"/>
      <c r="C127" s="871"/>
      <c r="D127" s="873"/>
      <c r="E127" s="874"/>
      <c r="F127" s="875" t="s">
        <v>960</v>
      </c>
      <c r="G127" s="872">
        <f>+G97+G125</f>
        <v>209654696</v>
      </c>
      <c r="H127" s="588"/>
      <c r="I127" s="587"/>
      <c r="J127" s="587"/>
      <c r="K127" s="587"/>
      <c r="L127" s="589"/>
      <c r="M127" s="590"/>
      <c r="N127" s="591"/>
      <c r="O127" s="95"/>
      <c r="P127" s="579"/>
      <c r="Q127" s="580"/>
      <c r="R127" s="580"/>
      <c r="S127" s="581"/>
      <c r="T127" s="582"/>
      <c r="U127" s="79"/>
      <c r="V127" s="621"/>
      <c r="Y127" s="44"/>
      <c r="Z127" s="44"/>
      <c r="AA127" s="44"/>
      <c r="AB127" s="44"/>
    </row>
    <row r="128" spans="1:28" s="45" customFormat="1" ht="15.75" thickBot="1">
      <c r="A128" s="586"/>
      <c r="B128" s="771"/>
      <c r="C128" s="102"/>
      <c r="D128" s="772"/>
      <c r="E128" s="773"/>
      <c r="F128" s="587"/>
      <c r="G128" s="774"/>
      <c r="H128" s="588"/>
      <c r="I128" s="587"/>
      <c r="J128" s="587"/>
      <c r="K128" s="587"/>
      <c r="L128" s="589"/>
      <c r="M128" s="590"/>
      <c r="N128" s="591"/>
      <c r="O128" s="95"/>
      <c r="P128" s="579"/>
      <c r="Q128" s="580"/>
      <c r="R128" s="580"/>
      <c r="S128" s="581"/>
      <c r="T128" s="582"/>
      <c r="U128" s="79"/>
      <c r="V128" s="621"/>
      <c r="Y128" s="44"/>
      <c r="Z128" s="44"/>
      <c r="AA128" s="44"/>
      <c r="AB128" s="44"/>
    </row>
    <row r="129" spans="1:28" s="45" customFormat="1">
      <c r="A129" s="586"/>
      <c r="B129" s="74">
        <v>5</v>
      </c>
      <c r="C129" s="75" t="s">
        <v>476</v>
      </c>
      <c r="D129" s="76"/>
      <c r="E129" s="76"/>
      <c r="F129" s="76"/>
      <c r="G129" s="126"/>
      <c r="H129" s="588"/>
      <c r="I129" s="587"/>
      <c r="J129" s="587"/>
      <c r="K129" s="587"/>
      <c r="L129" s="589"/>
      <c r="M129" s="590"/>
      <c r="N129" s="591"/>
      <c r="O129" s="95"/>
      <c r="P129" s="579"/>
      <c r="Q129" s="580"/>
      <c r="R129" s="580"/>
      <c r="S129" s="581"/>
      <c r="T129" s="582"/>
      <c r="U129" s="79"/>
      <c r="V129" s="621"/>
      <c r="Y129" s="44"/>
      <c r="Z129" s="44"/>
      <c r="AA129" s="44"/>
      <c r="AB129" s="44"/>
    </row>
    <row r="130" spans="1:28" s="45" customFormat="1">
      <c r="A130" s="586"/>
      <c r="B130" s="771"/>
      <c r="C130" s="788" t="s">
        <v>947</v>
      </c>
      <c r="D130" s="772"/>
      <c r="E130" s="773"/>
      <c r="F130" s="587"/>
      <c r="G130" s="774"/>
      <c r="H130" s="588"/>
      <c r="I130" s="587"/>
      <c r="J130" s="587"/>
      <c r="K130" s="587"/>
      <c r="L130" s="589"/>
      <c r="M130" s="590"/>
      <c r="N130" s="591"/>
      <c r="O130" s="95"/>
      <c r="P130" s="579"/>
      <c r="Q130" s="580"/>
      <c r="R130" s="580"/>
      <c r="S130" s="581"/>
      <c r="T130" s="582"/>
      <c r="U130" s="79"/>
      <c r="V130" s="621"/>
      <c r="Y130" s="44"/>
      <c r="Z130" s="44"/>
      <c r="AA130" s="44"/>
      <c r="AB130" s="44"/>
    </row>
    <row r="131" spans="1:28" s="45" customFormat="1">
      <c r="A131" s="586"/>
      <c r="B131" s="771">
        <v>5.0999999999999996</v>
      </c>
      <c r="C131" s="102" t="s">
        <v>943</v>
      </c>
      <c r="D131" s="772" t="s">
        <v>139</v>
      </c>
      <c r="E131" s="587">
        <v>457</v>
      </c>
      <c r="F131" s="587">
        <v>2610</v>
      </c>
      <c r="G131" s="774">
        <f>+E131*F131</f>
        <v>1192770</v>
      </c>
      <c r="H131" s="588"/>
      <c r="I131" s="587"/>
      <c r="J131" s="587"/>
      <c r="K131" s="587"/>
      <c r="L131" s="589"/>
      <c r="M131" s="590"/>
      <c r="N131" s="591"/>
      <c r="O131" s="95"/>
      <c r="P131" s="579"/>
      <c r="Q131" s="580"/>
      <c r="R131" s="580"/>
      <c r="S131" s="581"/>
      <c r="T131" s="582"/>
      <c r="U131" s="79"/>
      <c r="V131" s="621"/>
      <c r="Y131" s="44"/>
      <c r="Z131" s="44"/>
      <c r="AA131" s="44"/>
      <c r="AB131" s="44"/>
    </row>
    <row r="132" spans="1:28" s="45" customFormat="1">
      <c r="A132" s="586"/>
      <c r="B132" s="771">
        <f>+B131+0.1</f>
        <v>5.1999999999999993</v>
      </c>
      <c r="C132" s="102" t="s">
        <v>1101</v>
      </c>
      <c r="D132" s="772" t="s">
        <v>139</v>
      </c>
      <c r="E132" s="587">
        <v>451</v>
      </c>
      <c r="F132" s="587">
        <v>5190</v>
      </c>
      <c r="G132" s="774">
        <f t="shared" ref="G132:G137" si="21">+E132*F132</f>
        <v>2340690</v>
      </c>
      <c r="H132" s="588"/>
      <c r="I132" s="587"/>
      <c r="J132" s="587"/>
      <c r="K132" s="587"/>
      <c r="L132" s="589"/>
      <c r="M132" s="590"/>
      <c r="N132" s="591"/>
      <c r="O132" s="95"/>
      <c r="P132" s="579"/>
      <c r="Q132" s="580"/>
      <c r="R132" s="580"/>
      <c r="S132" s="581"/>
      <c r="T132" s="582"/>
      <c r="U132" s="79"/>
      <c r="V132" s="621"/>
      <c r="AB132" s="44"/>
    </row>
    <row r="133" spans="1:28" s="45" customFormat="1">
      <c r="A133" s="586"/>
      <c r="B133" s="771">
        <f t="shared" ref="B133:B138" si="22">+B132+0.1</f>
        <v>5.2999999999999989</v>
      </c>
      <c r="C133" s="102" t="s">
        <v>941</v>
      </c>
      <c r="D133" s="777" t="s">
        <v>139</v>
      </c>
      <c r="E133" s="587">
        <v>64</v>
      </c>
      <c r="F133" s="587">
        <v>10240</v>
      </c>
      <c r="G133" s="774">
        <f t="shared" si="21"/>
        <v>655360</v>
      </c>
      <c r="H133" s="588"/>
      <c r="I133" s="587"/>
      <c r="J133" s="587"/>
      <c r="K133" s="587"/>
      <c r="L133" s="589"/>
      <c r="M133" s="590"/>
      <c r="N133" s="591"/>
      <c r="O133" s="95"/>
      <c r="P133" s="579"/>
      <c r="Q133" s="580"/>
      <c r="R133" s="580"/>
      <c r="S133" s="581"/>
      <c r="T133" s="582"/>
      <c r="U133" s="79"/>
      <c r="V133" s="621"/>
      <c r="AB133" s="44"/>
    </row>
    <row r="134" spans="1:28" s="45" customFormat="1">
      <c r="A134" s="586"/>
      <c r="B134" s="771">
        <f t="shared" si="22"/>
        <v>5.3999999999999986</v>
      </c>
      <c r="C134" s="102" t="s">
        <v>497</v>
      </c>
      <c r="D134" s="777" t="s">
        <v>56</v>
      </c>
      <c r="E134" s="587">
        <v>80</v>
      </c>
      <c r="F134" s="587">
        <v>17220</v>
      </c>
      <c r="G134" s="774">
        <f t="shared" si="21"/>
        <v>1377600</v>
      </c>
      <c r="H134" s="588"/>
      <c r="I134" s="587"/>
      <c r="J134" s="587"/>
      <c r="K134" s="587"/>
      <c r="L134" s="589"/>
      <c r="M134" s="590"/>
      <c r="N134" s="591"/>
      <c r="O134" s="95"/>
      <c r="P134" s="579"/>
      <c r="Q134" s="580"/>
      <c r="R134" s="580"/>
      <c r="S134" s="581"/>
      <c r="T134" s="582"/>
      <c r="U134" s="79"/>
      <c r="V134" s="621"/>
      <c r="AB134" s="44"/>
    </row>
    <row r="135" spans="1:28" s="45" customFormat="1">
      <c r="A135" s="586"/>
      <c r="B135" s="771">
        <f t="shared" si="22"/>
        <v>5.4999999999999982</v>
      </c>
      <c r="C135" s="782" t="s">
        <v>979</v>
      </c>
      <c r="D135" s="772" t="s">
        <v>139</v>
      </c>
      <c r="E135" s="587">
        <v>29</v>
      </c>
      <c r="F135" s="587">
        <v>573533</v>
      </c>
      <c r="G135" s="774">
        <f t="shared" si="21"/>
        <v>16632457</v>
      </c>
      <c r="H135" s="588"/>
      <c r="I135" s="587"/>
      <c r="J135" s="587"/>
      <c r="K135" s="587"/>
      <c r="L135" s="589"/>
      <c r="M135" s="590"/>
      <c r="N135" s="591"/>
      <c r="O135" s="95"/>
      <c r="P135" s="579"/>
      <c r="Q135" s="580"/>
      <c r="R135" s="580"/>
      <c r="S135" s="581"/>
      <c r="T135" s="582"/>
      <c r="U135" s="79"/>
      <c r="V135" s="621"/>
      <c r="AB135" s="44"/>
    </row>
    <row r="136" spans="1:28" s="45" customFormat="1">
      <c r="A136" s="586"/>
      <c r="B136" s="771">
        <f t="shared" si="22"/>
        <v>5.5999999999999979</v>
      </c>
      <c r="C136" s="102" t="s">
        <v>976</v>
      </c>
      <c r="D136" s="772" t="s">
        <v>139</v>
      </c>
      <c r="E136" s="587">
        <v>1.5</v>
      </c>
      <c r="F136" s="587">
        <v>614040</v>
      </c>
      <c r="G136" s="774">
        <f t="shared" si="21"/>
        <v>921060</v>
      </c>
      <c r="H136" s="588"/>
      <c r="I136" s="587"/>
      <c r="J136" s="587"/>
      <c r="K136" s="587"/>
      <c r="L136" s="589"/>
      <c r="M136" s="590"/>
      <c r="N136" s="591"/>
      <c r="O136" s="95"/>
      <c r="P136" s="579"/>
      <c r="Q136" s="580"/>
      <c r="R136" s="580"/>
      <c r="S136" s="581"/>
      <c r="T136" s="582"/>
      <c r="U136" s="79"/>
      <c r="V136" s="621"/>
      <c r="AB136" s="44"/>
    </row>
    <row r="137" spans="1:28" s="45" customFormat="1">
      <c r="A137" s="586"/>
      <c r="B137" s="771">
        <f t="shared" si="22"/>
        <v>5.6999999999999975</v>
      </c>
      <c r="C137" s="102" t="s">
        <v>944</v>
      </c>
      <c r="D137" s="772" t="s">
        <v>139</v>
      </c>
      <c r="E137" s="587">
        <v>88</v>
      </c>
      <c r="F137" s="587">
        <f>+F53</f>
        <v>614040</v>
      </c>
      <c r="G137" s="774">
        <f t="shared" si="21"/>
        <v>54035520</v>
      </c>
      <c r="H137" s="588"/>
      <c r="I137" s="587"/>
      <c r="J137" s="587"/>
      <c r="K137" s="587"/>
      <c r="L137" s="589"/>
      <c r="M137" s="590"/>
      <c r="N137" s="591"/>
      <c r="O137" s="95"/>
      <c r="P137" s="579"/>
      <c r="Q137" s="580"/>
      <c r="R137" s="580"/>
      <c r="S137" s="581"/>
      <c r="T137" s="582"/>
      <c r="U137" s="79"/>
      <c r="V137" s="621"/>
      <c r="AB137" s="44"/>
    </row>
    <row r="138" spans="1:28" s="45" customFormat="1">
      <c r="A138" s="586"/>
      <c r="B138" s="771">
        <f t="shared" si="22"/>
        <v>5.7999999999999972</v>
      </c>
      <c r="C138" s="102" t="s">
        <v>939</v>
      </c>
      <c r="D138" s="772" t="s">
        <v>139</v>
      </c>
      <c r="E138" s="587">
        <v>23</v>
      </c>
      <c r="F138" s="587">
        <v>594610</v>
      </c>
      <c r="G138" s="774">
        <f>+E138*F138</f>
        <v>13676030</v>
      </c>
      <c r="H138" s="588"/>
      <c r="I138" s="587"/>
      <c r="J138" s="587"/>
      <c r="K138" s="587"/>
      <c r="L138" s="589"/>
      <c r="M138" s="590"/>
      <c r="N138" s="591"/>
      <c r="O138" s="95"/>
      <c r="P138" s="579"/>
      <c r="Q138" s="580"/>
      <c r="R138" s="580"/>
      <c r="S138" s="581"/>
      <c r="T138" s="582"/>
      <c r="U138" s="79"/>
      <c r="V138" s="621"/>
      <c r="AB138" s="44"/>
    </row>
    <row r="139" spans="1:28" s="45" customFormat="1">
      <c r="A139" s="586"/>
      <c r="B139" s="771"/>
      <c r="C139" s="215"/>
      <c r="D139" s="216"/>
      <c r="E139" s="95"/>
      <c r="F139" s="95"/>
      <c r="G139" s="774"/>
      <c r="H139" s="588"/>
      <c r="I139" s="587"/>
      <c r="J139" s="587"/>
      <c r="K139" s="587"/>
      <c r="L139" s="589"/>
      <c r="M139" s="590"/>
      <c r="N139" s="591"/>
      <c r="O139" s="95"/>
      <c r="P139" s="579"/>
      <c r="Q139" s="580"/>
      <c r="R139" s="580"/>
      <c r="S139" s="581"/>
      <c r="T139" s="582"/>
      <c r="U139" s="79"/>
      <c r="V139" s="621"/>
      <c r="AB139" s="44"/>
    </row>
    <row r="140" spans="1:28" s="45" customFormat="1" ht="15.75" thickBot="1">
      <c r="A140" s="586"/>
      <c r="B140" s="114"/>
      <c r="C140" s="114"/>
      <c r="D140" s="115"/>
      <c r="E140" s="116"/>
      <c r="F140" s="117" t="s">
        <v>967</v>
      </c>
      <c r="G140" s="137">
        <f>SUM(G131:G138)</f>
        <v>90831487</v>
      </c>
      <c r="H140" s="588"/>
      <c r="I140" s="587"/>
      <c r="J140" s="587"/>
      <c r="K140" s="587"/>
      <c r="L140" s="589"/>
      <c r="M140" s="590"/>
      <c r="N140" s="591"/>
      <c r="O140" s="95"/>
      <c r="P140" s="579"/>
      <c r="Q140" s="580"/>
      <c r="R140" s="580"/>
      <c r="S140" s="581"/>
      <c r="T140" s="582"/>
      <c r="U140" s="79"/>
      <c r="V140" s="621"/>
      <c r="X140" s="819"/>
      <c r="Y140" s="44"/>
      <c r="Z140" s="44"/>
      <c r="AA140" s="44"/>
      <c r="AB140" s="44"/>
    </row>
    <row r="141" spans="1:28" s="45" customFormat="1">
      <c r="A141" s="586"/>
      <c r="B141" s="771"/>
      <c r="C141" s="102"/>
      <c r="D141" s="772"/>
      <c r="E141" s="773"/>
      <c r="F141" s="587"/>
      <c r="G141" s="774">
        <f>+E141*F206</f>
        <v>0</v>
      </c>
      <c r="H141" s="588"/>
      <c r="I141" s="587"/>
      <c r="J141" s="587"/>
      <c r="K141" s="587"/>
      <c r="L141" s="589"/>
      <c r="M141" s="590"/>
      <c r="N141" s="591"/>
      <c r="O141" s="95"/>
      <c r="P141" s="579"/>
      <c r="Q141" s="580"/>
      <c r="R141" s="580"/>
      <c r="S141" s="581"/>
      <c r="T141" s="582"/>
      <c r="U141" s="79"/>
      <c r="V141" s="621"/>
      <c r="Y141" s="44"/>
      <c r="Z141" s="44"/>
      <c r="AA141" s="44"/>
      <c r="AB141" s="44"/>
    </row>
    <row r="142" spans="1:28" s="45" customFormat="1">
      <c r="A142" s="586"/>
      <c r="B142" s="771"/>
      <c r="C142" s="787" t="s">
        <v>948</v>
      </c>
      <c r="D142" s="772"/>
      <c r="E142" s="773"/>
      <c r="F142" s="587"/>
      <c r="G142" s="774"/>
      <c r="H142" s="588"/>
      <c r="I142" s="587"/>
      <c r="J142" s="587"/>
      <c r="K142" s="587"/>
      <c r="L142" s="589"/>
      <c r="M142" s="590"/>
      <c r="N142" s="591"/>
      <c r="O142" s="95"/>
      <c r="P142" s="579"/>
      <c r="Q142" s="580"/>
      <c r="R142" s="580"/>
      <c r="S142" s="581"/>
      <c r="T142" s="582"/>
      <c r="U142" s="79"/>
      <c r="V142" s="621"/>
      <c r="Y142" s="44"/>
      <c r="Z142" s="44"/>
      <c r="AA142" s="44"/>
      <c r="AB142" s="44"/>
    </row>
    <row r="143" spans="1:28" s="45" customFormat="1" ht="105.75" customHeight="1">
      <c r="A143" s="586"/>
      <c r="B143" s="771">
        <v>5.9</v>
      </c>
      <c r="C143" s="102" t="s">
        <v>1008</v>
      </c>
      <c r="D143" s="772"/>
      <c r="E143" s="780"/>
      <c r="F143" s="587"/>
      <c r="G143" s="774">
        <f>E143*F143</f>
        <v>0</v>
      </c>
      <c r="H143" s="588"/>
      <c r="I143" s="587"/>
      <c r="J143" s="587"/>
      <c r="K143" s="587"/>
      <c r="L143" s="589"/>
      <c r="M143" s="590"/>
      <c r="N143" s="591"/>
      <c r="O143" s="95"/>
      <c r="P143" s="579"/>
      <c r="Q143" s="580"/>
      <c r="R143" s="580"/>
      <c r="S143" s="581"/>
      <c r="T143" s="582"/>
      <c r="U143" s="79"/>
      <c r="V143" s="621"/>
      <c r="Y143" s="44"/>
      <c r="Z143" s="44"/>
      <c r="AA143" s="44"/>
      <c r="AB143" s="44"/>
    </row>
    <row r="144" spans="1:28" s="45" customFormat="1">
      <c r="A144" s="586"/>
      <c r="B144" s="771" t="s">
        <v>988</v>
      </c>
      <c r="C144" s="102" t="s">
        <v>1009</v>
      </c>
      <c r="D144" s="772" t="s">
        <v>22</v>
      </c>
      <c r="E144" s="780">
        <v>4</v>
      </c>
      <c r="F144" s="587">
        <v>5658805</v>
      </c>
      <c r="G144" s="774">
        <f>+E144*F144</f>
        <v>22635220</v>
      </c>
      <c r="H144" s="588"/>
      <c r="I144" s="587"/>
      <c r="J144" s="587"/>
      <c r="K144" s="587"/>
      <c r="L144" s="589"/>
      <c r="M144" s="590"/>
      <c r="N144" s="591"/>
      <c r="O144" s="95"/>
      <c r="P144" s="579"/>
      <c r="Q144" s="580"/>
      <c r="R144" s="580"/>
      <c r="S144" s="581"/>
      <c r="T144" s="582"/>
      <c r="U144" s="79"/>
      <c r="V144" s="621"/>
      <c r="X144" s="45">
        <f>1.16*1.1</f>
        <v>1.276</v>
      </c>
      <c r="Y144" s="44">
        <v>4434800</v>
      </c>
      <c r="Z144" s="868">
        <f>+Y144*X144</f>
        <v>5658804.7999999998</v>
      </c>
      <c r="AA144" s="44"/>
      <c r="AB144" s="44"/>
    </row>
    <row r="145" spans="1:28" s="45" customFormat="1" ht="15" customHeight="1">
      <c r="A145" s="586"/>
      <c r="B145" s="771" t="s">
        <v>989</v>
      </c>
      <c r="C145" s="102" t="s">
        <v>1010</v>
      </c>
      <c r="D145" s="777" t="s">
        <v>22</v>
      </c>
      <c r="E145" s="780">
        <v>4</v>
      </c>
      <c r="F145" s="587">
        <v>25473554</v>
      </c>
      <c r="G145" s="774">
        <f t="shared" ref="G145:G158" si="23">+E145*F145</f>
        <v>101894216</v>
      </c>
      <c r="H145" s="588"/>
      <c r="I145" s="587"/>
      <c r="J145" s="587"/>
      <c r="K145" s="587"/>
      <c r="L145" s="589"/>
      <c r="M145" s="590"/>
      <c r="N145" s="591"/>
      <c r="O145" s="95"/>
      <c r="P145" s="579"/>
      <c r="Q145" s="580"/>
      <c r="R145" s="580"/>
      <c r="S145" s="581"/>
      <c r="T145" s="582"/>
      <c r="U145" s="79"/>
      <c r="V145" s="621"/>
      <c r="X145" s="45">
        <f t="shared" ref="X145:X149" si="24">1.16*1.1</f>
        <v>1.276</v>
      </c>
      <c r="Y145" s="44">
        <v>19963600</v>
      </c>
      <c r="Z145" s="868">
        <f t="shared" ref="Z145:Z148" si="25">+Y145*X145</f>
        <v>25473553.600000001</v>
      </c>
      <c r="AA145" s="44"/>
      <c r="AB145" s="44"/>
    </row>
    <row r="146" spans="1:28" s="45" customFormat="1">
      <c r="A146" s="586"/>
      <c r="B146" s="771"/>
      <c r="C146" s="102" t="s">
        <v>1011</v>
      </c>
      <c r="D146" s="777" t="s">
        <v>22</v>
      </c>
      <c r="E146" s="780">
        <v>1</v>
      </c>
      <c r="F146" s="587">
        <v>10684548</v>
      </c>
      <c r="G146" s="774">
        <f t="shared" si="23"/>
        <v>10684548</v>
      </c>
      <c r="H146" s="588"/>
      <c r="I146" s="587"/>
      <c r="J146" s="587"/>
      <c r="K146" s="587"/>
      <c r="L146" s="589"/>
      <c r="M146" s="590"/>
      <c r="N146" s="591"/>
      <c r="O146" s="95"/>
      <c r="P146" s="579"/>
      <c r="Q146" s="580"/>
      <c r="R146" s="580"/>
      <c r="S146" s="581"/>
      <c r="T146" s="582"/>
      <c r="U146" s="79"/>
      <c r="V146" s="621"/>
      <c r="X146" s="45">
        <f t="shared" si="24"/>
        <v>1.276</v>
      </c>
      <c r="Y146" s="44">
        <v>8373470</v>
      </c>
      <c r="Z146" s="868">
        <f t="shared" si="25"/>
        <v>10684547.720000001</v>
      </c>
      <c r="AA146" s="44"/>
      <c r="AB146" s="44"/>
    </row>
    <row r="147" spans="1:28" s="45" customFormat="1">
      <c r="A147" s="586"/>
      <c r="B147" s="771" t="s">
        <v>990</v>
      </c>
      <c r="C147" s="102" t="s">
        <v>1012</v>
      </c>
      <c r="D147" s="772" t="s">
        <v>22</v>
      </c>
      <c r="E147" s="780">
        <v>4</v>
      </c>
      <c r="F147" s="587">
        <v>14621008</v>
      </c>
      <c r="G147" s="774">
        <f t="shared" si="23"/>
        <v>58484032</v>
      </c>
      <c r="H147" s="588"/>
      <c r="I147" s="587"/>
      <c r="J147" s="587"/>
      <c r="K147" s="587"/>
      <c r="L147" s="589"/>
      <c r="M147" s="590"/>
      <c r="N147" s="591"/>
      <c r="O147" s="95"/>
      <c r="P147" s="579"/>
      <c r="Q147" s="580"/>
      <c r="R147" s="580"/>
      <c r="S147" s="581"/>
      <c r="T147" s="582"/>
      <c r="U147" s="79"/>
      <c r="V147" s="621"/>
      <c r="X147" s="45">
        <f t="shared" si="24"/>
        <v>1.276</v>
      </c>
      <c r="Y147" s="44">
        <v>11458470</v>
      </c>
      <c r="Z147" s="868">
        <f t="shared" si="25"/>
        <v>14621007.720000001</v>
      </c>
      <c r="AA147" s="44"/>
      <c r="AB147" s="44"/>
    </row>
    <row r="148" spans="1:28" s="45" customFormat="1">
      <c r="A148" s="586"/>
      <c r="B148" s="771" t="s">
        <v>991</v>
      </c>
      <c r="C148" s="102" t="s">
        <v>1013</v>
      </c>
      <c r="D148" s="772" t="s">
        <v>22</v>
      </c>
      <c r="E148" s="780">
        <v>1</v>
      </c>
      <c r="F148" s="587">
        <v>7112807</v>
      </c>
      <c r="G148" s="774">
        <f t="shared" si="23"/>
        <v>7112807</v>
      </c>
      <c r="H148" s="588"/>
      <c r="I148" s="587"/>
      <c r="J148" s="587"/>
      <c r="K148" s="587"/>
      <c r="L148" s="589"/>
      <c r="M148" s="590"/>
      <c r="N148" s="591"/>
      <c r="O148" s="95"/>
      <c r="P148" s="579"/>
      <c r="Q148" s="580"/>
      <c r="R148" s="580"/>
      <c r="S148" s="581"/>
      <c r="T148" s="582"/>
      <c r="U148" s="79"/>
      <c r="V148" s="621"/>
      <c r="X148" s="45">
        <f t="shared" si="24"/>
        <v>1.276</v>
      </c>
      <c r="Y148" s="44">
        <v>5574300</v>
      </c>
      <c r="Z148" s="868">
        <f t="shared" si="25"/>
        <v>7112806.7999999998</v>
      </c>
      <c r="AA148" s="44"/>
      <c r="AB148" s="44"/>
    </row>
    <row r="149" spans="1:28" s="45" customFormat="1">
      <c r="A149" s="586"/>
      <c r="B149" s="771" t="s">
        <v>992</v>
      </c>
      <c r="C149" s="860" t="s">
        <v>925</v>
      </c>
      <c r="D149" s="880" t="s">
        <v>22</v>
      </c>
      <c r="E149" s="862">
        <v>4</v>
      </c>
      <c r="F149" s="863">
        <v>468292</v>
      </c>
      <c r="G149" s="864">
        <f t="shared" si="23"/>
        <v>1873168</v>
      </c>
      <c r="H149" s="588"/>
      <c r="I149" s="587"/>
      <c r="J149" s="587"/>
      <c r="K149" s="587"/>
      <c r="L149" s="589"/>
      <c r="M149" s="590"/>
      <c r="N149" s="591"/>
      <c r="O149" s="95"/>
      <c r="P149" s="579"/>
      <c r="Q149" s="580"/>
      <c r="R149" s="580"/>
      <c r="S149" s="581"/>
      <c r="T149" s="582"/>
      <c r="U149" s="79"/>
      <c r="V149" s="621"/>
      <c r="W149" s="45" t="s">
        <v>1028</v>
      </c>
      <c r="X149" s="45">
        <f t="shared" si="24"/>
        <v>1.276</v>
      </c>
      <c r="Y149" s="44">
        <v>367000</v>
      </c>
      <c r="Z149" s="868">
        <f t="shared" ref="Z149" si="26">+Y149*X149</f>
        <v>468292</v>
      </c>
      <c r="AA149" s="44"/>
      <c r="AB149" s="44"/>
    </row>
    <row r="150" spans="1:28" s="45" customFormat="1">
      <c r="A150" s="586"/>
      <c r="B150" s="779">
        <v>5.0999999999999996</v>
      </c>
      <c r="C150" s="102" t="s">
        <v>1014</v>
      </c>
      <c r="D150" s="777" t="s">
        <v>512</v>
      </c>
      <c r="E150" s="780">
        <v>4</v>
      </c>
      <c r="F150" s="587">
        <v>521884</v>
      </c>
      <c r="G150" s="774">
        <f t="shared" si="23"/>
        <v>2087536</v>
      </c>
      <c r="H150" s="588"/>
      <c r="I150" s="587"/>
      <c r="J150" s="587"/>
      <c r="K150" s="587"/>
      <c r="L150" s="589"/>
      <c r="M150" s="590"/>
      <c r="N150" s="591"/>
      <c r="O150" s="95"/>
      <c r="P150" s="579"/>
      <c r="Q150" s="580"/>
      <c r="R150" s="580"/>
      <c r="S150" s="581"/>
      <c r="T150" s="582"/>
      <c r="U150" s="79"/>
      <c r="V150" s="621"/>
      <c r="W150" s="45">
        <v>409000</v>
      </c>
      <c r="X150" s="45">
        <v>1.276</v>
      </c>
      <c r="Y150" s="44">
        <f>+X150*W150</f>
        <v>521884</v>
      </c>
      <c r="Z150" s="44"/>
      <c r="AA150" s="44"/>
      <c r="AB150" s="44"/>
    </row>
    <row r="151" spans="1:28" s="45" customFormat="1">
      <c r="A151" s="586"/>
      <c r="B151" s="779">
        <f t="shared" ref="B151:B156" si="27">+B150+0.01</f>
        <v>5.1099999999999994</v>
      </c>
      <c r="C151" s="102" t="s">
        <v>1015</v>
      </c>
      <c r="D151" s="772" t="s">
        <v>512</v>
      </c>
      <c r="E151" s="780">
        <v>1</v>
      </c>
      <c r="F151" s="587">
        <v>1087152</v>
      </c>
      <c r="G151" s="774">
        <f t="shared" si="23"/>
        <v>1087152</v>
      </c>
      <c r="H151" s="588"/>
      <c r="I151" s="587"/>
      <c r="J151" s="587"/>
      <c r="K151" s="587"/>
      <c r="L151" s="589"/>
      <c r="M151" s="590"/>
      <c r="N151" s="591"/>
      <c r="O151" s="95"/>
      <c r="P151" s="579"/>
      <c r="Q151" s="580"/>
      <c r="R151" s="580"/>
      <c r="S151" s="581"/>
      <c r="T151" s="582"/>
      <c r="U151" s="79"/>
      <c r="V151" s="621"/>
      <c r="W151" s="45">
        <v>852000</v>
      </c>
      <c r="X151" s="45">
        <v>1.276</v>
      </c>
      <c r="Y151" s="44">
        <f t="shared" ref="Y151:Y154" si="28">+X151*W151</f>
        <v>1087152</v>
      </c>
      <c r="Z151" s="44"/>
      <c r="AA151" s="44"/>
      <c r="AB151" s="44"/>
    </row>
    <row r="152" spans="1:28" s="45" customFormat="1">
      <c r="A152" s="586"/>
      <c r="B152" s="779">
        <f t="shared" si="27"/>
        <v>5.1199999999999992</v>
      </c>
      <c r="C152" s="102" t="s">
        <v>1016</v>
      </c>
      <c r="D152" s="772" t="s">
        <v>22</v>
      </c>
      <c r="E152" s="780">
        <v>1</v>
      </c>
      <c r="F152" s="587">
        <v>404492</v>
      </c>
      <c r="G152" s="774">
        <f t="shared" si="23"/>
        <v>404492</v>
      </c>
      <c r="H152" s="588"/>
      <c r="I152" s="587"/>
      <c r="J152" s="587"/>
      <c r="K152" s="587"/>
      <c r="L152" s="589"/>
      <c r="M152" s="590"/>
      <c r="N152" s="591"/>
      <c r="O152" s="95"/>
      <c r="P152" s="579"/>
      <c r="Q152" s="580"/>
      <c r="R152" s="580"/>
      <c r="S152" s="581"/>
      <c r="T152" s="582"/>
      <c r="U152" s="79"/>
      <c r="V152" s="621"/>
      <c r="W152" s="45">
        <v>317000</v>
      </c>
      <c r="X152" s="45">
        <v>1.276</v>
      </c>
      <c r="Y152" s="44">
        <f t="shared" si="28"/>
        <v>404492</v>
      </c>
      <c r="Z152" s="44"/>
      <c r="AA152" s="44"/>
      <c r="AB152" s="44"/>
    </row>
    <row r="153" spans="1:28" s="45" customFormat="1">
      <c r="A153" s="586"/>
      <c r="B153" s="779">
        <f t="shared" si="27"/>
        <v>5.129999999999999</v>
      </c>
      <c r="C153" s="102" t="s">
        <v>1017</v>
      </c>
      <c r="D153" s="777" t="s">
        <v>22</v>
      </c>
      <c r="E153" s="780">
        <v>4</v>
      </c>
      <c r="F153" s="587">
        <v>174812</v>
      </c>
      <c r="G153" s="774">
        <f t="shared" si="23"/>
        <v>699248</v>
      </c>
      <c r="H153" s="588"/>
      <c r="I153" s="587"/>
      <c r="J153" s="587"/>
      <c r="K153" s="587"/>
      <c r="L153" s="589"/>
      <c r="M153" s="590"/>
      <c r="N153" s="591"/>
      <c r="O153" s="95"/>
      <c r="P153" s="579"/>
      <c r="Q153" s="580"/>
      <c r="R153" s="580"/>
      <c r="S153" s="581"/>
      <c r="T153" s="582"/>
      <c r="U153" s="79"/>
      <c r="V153" s="621"/>
      <c r="W153" s="45">
        <v>137000</v>
      </c>
      <c r="X153" s="45">
        <v>1.276</v>
      </c>
      <c r="Y153" s="44">
        <f t="shared" si="28"/>
        <v>174812</v>
      </c>
      <c r="Z153" s="44"/>
      <c r="AA153" s="44"/>
      <c r="AB153" s="44"/>
    </row>
    <row r="154" spans="1:28" s="45" customFormat="1">
      <c r="A154" s="586"/>
      <c r="B154" s="779">
        <f t="shared" si="27"/>
        <v>5.1399999999999988</v>
      </c>
      <c r="C154" s="102" t="s">
        <v>921</v>
      </c>
      <c r="D154" s="777" t="s">
        <v>512</v>
      </c>
      <c r="E154" s="780">
        <v>4</v>
      </c>
      <c r="F154" s="858">
        <v>524784</v>
      </c>
      <c r="G154" s="774">
        <f t="shared" si="23"/>
        <v>2099136</v>
      </c>
      <c r="H154" s="588"/>
      <c r="I154" s="587"/>
      <c r="J154" s="587"/>
      <c r="K154" s="587"/>
      <c r="L154" s="589"/>
      <c r="M154" s="590"/>
      <c r="N154" s="591"/>
      <c r="O154" s="95"/>
      <c r="P154" s="579"/>
      <c r="Q154" s="580"/>
      <c r="R154" s="580"/>
      <c r="S154" s="581"/>
      <c r="T154" s="582"/>
      <c r="U154" s="79"/>
      <c r="V154" s="621"/>
      <c r="W154" s="45">
        <f>390000*1.16*1.16</f>
        <v>524783.99999999988</v>
      </c>
      <c r="X154" s="45">
        <v>1.276</v>
      </c>
      <c r="Y154" s="44">
        <f t="shared" si="28"/>
        <v>669624.38399999985</v>
      </c>
      <c r="Z154" s="44"/>
      <c r="AA154" s="44"/>
      <c r="AB154" s="44"/>
    </row>
    <row r="155" spans="1:28" s="45" customFormat="1">
      <c r="A155" s="586"/>
      <c r="B155" s="779">
        <f t="shared" si="27"/>
        <v>5.1499999999999986</v>
      </c>
      <c r="C155" s="102" t="s">
        <v>922</v>
      </c>
      <c r="D155" s="772" t="s">
        <v>512</v>
      </c>
      <c r="E155" s="780">
        <v>4</v>
      </c>
      <c r="F155" s="858">
        <v>469000</v>
      </c>
      <c r="G155" s="774">
        <f t="shared" si="23"/>
        <v>1876000</v>
      </c>
      <c r="H155" s="588"/>
      <c r="I155" s="587"/>
      <c r="J155" s="587"/>
      <c r="K155" s="587"/>
      <c r="L155" s="589"/>
      <c r="M155" s="590"/>
      <c r="N155" s="591"/>
      <c r="O155" s="95"/>
      <c r="P155" s="579"/>
      <c r="Q155" s="580"/>
      <c r="R155" s="580"/>
      <c r="S155" s="581"/>
      <c r="T155" s="582"/>
      <c r="U155" s="79"/>
      <c r="V155" s="621"/>
      <c r="Y155" s="44"/>
      <c r="Z155" s="44"/>
      <c r="AA155" s="44"/>
      <c r="AB155" s="44"/>
    </row>
    <row r="156" spans="1:28" s="45" customFormat="1" ht="25.5">
      <c r="A156" s="586"/>
      <c r="B156" s="779">
        <f t="shared" si="27"/>
        <v>5.1599999999999984</v>
      </c>
      <c r="C156" s="102" t="s">
        <v>1018</v>
      </c>
      <c r="D156" s="772" t="s">
        <v>22</v>
      </c>
      <c r="E156" s="780">
        <v>30</v>
      </c>
      <c r="F156" s="858">
        <v>30550</v>
      </c>
      <c r="G156" s="774">
        <f t="shared" si="23"/>
        <v>916500</v>
      </c>
      <c r="H156" s="588"/>
      <c r="I156" s="587"/>
      <c r="J156" s="587"/>
      <c r="K156" s="587"/>
      <c r="L156" s="589"/>
      <c r="M156" s="590"/>
      <c r="N156" s="591"/>
      <c r="O156" s="95"/>
      <c r="P156" s="579"/>
      <c r="Q156" s="580"/>
      <c r="R156" s="580"/>
      <c r="S156" s="581"/>
      <c r="T156" s="582"/>
      <c r="U156" s="79"/>
      <c r="V156" s="621"/>
      <c r="Y156" s="44"/>
      <c r="Z156" s="44"/>
      <c r="AA156" s="44"/>
      <c r="AB156" s="44"/>
    </row>
    <row r="157" spans="1:28" s="45" customFormat="1">
      <c r="A157" s="586"/>
      <c r="B157" s="779">
        <f t="shared" ref="B157:B163" si="29">+B156+0.01</f>
        <v>5.1699999999999982</v>
      </c>
      <c r="C157" s="102" t="s">
        <v>522</v>
      </c>
      <c r="D157" s="772" t="s">
        <v>142</v>
      </c>
      <c r="E157" s="587">
        <v>8700</v>
      </c>
      <c r="F157" s="587">
        <v>3201</v>
      </c>
      <c r="G157" s="774">
        <f t="shared" si="23"/>
        <v>27848700</v>
      </c>
      <c r="H157" s="588"/>
      <c r="I157" s="587"/>
      <c r="J157" s="587"/>
      <c r="K157" s="587"/>
      <c r="L157" s="589"/>
      <c r="M157" s="590"/>
      <c r="N157" s="591"/>
      <c r="O157" s="95"/>
      <c r="P157" s="579"/>
      <c r="Q157" s="580"/>
      <c r="R157" s="580"/>
      <c r="S157" s="581"/>
      <c r="T157" s="582"/>
      <c r="U157" s="79"/>
      <c r="V157" s="621"/>
      <c r="W157" s="877">
        <v>1261428000</v>
      </c>
      <c r="Y157" s="44"/>
      <c r="Z157" s="44"/>
      <c r="AA157" s="44"/>
      <c r="AB157" s="44"/>
    </row>
    <row r="158" spans="1:28" s="45" customFormat="1">
      <c r="A158" s="586"/>
      <c r="B158" s="779">
        <f t="shared" si="29"/>
        <v>5.1799999999999979</v>
      </c>
      <c r="C158" s="102" t="s">
        <v>509</v>
      </c>
      <c r="D158" s="777" t="s">
        <v>56</v>
      </c>
      <c r="E158" s="780">
        <v>45</v>
      </c>
      <c r="F158" s="587">
        <v>150170</v>
      </c>
      <c r="G158" s="774">
        <f t="shared" si="23"/>
        <v>6757650</v>
      </c>
      <c r="H158" s="588"/>
      <c r="I158" s="587"/>
      <c r="J158" s="587"/>
      <c r="K158" s="587"/>
      <c r="L158" s="589"/>
      <c r="M158" s="590"/>
      <c r="N158" s="591"/>
      <c r="O158" s="95"/>
      <c r="P158" s="579"/>
      <c r="Q158" s="580"/>
      <c r="R158" s="580"/>
      <c r="S158" s="581"/>
      <c r="T158" s="582"/>
      <c r="U158" s="79"/>
      <c r="V158" s="621"/>
      <c r="Y158" s="44"/>
      <c r="Z158" s="44"/>
      <c r="AA158" s="44"/>
      <c r="AB158" s="44"/>
    </row>
    <row r="159" spans="1:28" s="45" customFormat="1">
      <c r="A159" s="586"/>
      <c r="B159" s="779">
        <f t="shared" si="29"/>
        <v>5.1899999999999977</v>
      </c>
      <c r="C159" s="102" t="s">
        <v>508</v>
      </c>
      <c r="D159" s="777" t="s">
        <v>500</v>
      </c>
      <c r="E159" s="780">
        <v>53</v>
      </c>
      <c r="F159" s="587">
        <v>18420</v>
      </c>
      <c r="G159" s="774">
        <f>E158*F159</f>
        <v>828900</v>
      </c>
      <c r="H159" s="588"/>
      <c r="I159" s="587"/>
      <c r="J159" s="587"/>
      <c r="K159" s="587"/>
      <c r="L159" s="589"/>
      <c r="M159" s="590"/>
      <c r="N159" s="591"/>
      <c r="O159" s="95"/>
      <c r="P159" s="579"/>
      <c r="Q159" s="580"/>
      <c r="R159" s="580"/>
      <c r="S159" s="581"/>
      <c r="T159" s="582"/>
      <c r="U159" s="79"/>
      <c r="V159" s="621"/>
      <c r="Y159" s="44"/>
      <c r="Z159" s="44"/>
      <c r="AA159" s="44"/>
      <c r="AB159" s="44"/>
    </row>
    <row r="160" spans="1:28" s="45" customFormat="1" ht="79.5" customHeight="1">
      <c r="A160" s="586"/>
      <c r="B160" s="779">
        <f t="shared" si="29"/>
        <v>5.1999999999999975</v>
      </c>
      <c r="C160" s="102" t="s">
        <v>928</v>
      </c>
      <c r="D160" s="847" t="s">
        <v>22</v>
      </c>
      <c r="E160" s="841">
        <v>19</v>
      </c>
      <c r="F160" s="848">
        <v>271502</v>
      </c>
      <c r="G160" s="849">
        <f>E159*F160</f>
        <v>14389606</v>
      </c>
      <c r="H160" s="588"/>
      <c r="I160" s="587"/>
      <c r="J160" s="587"/>
      <c r="K160" s="587"/>
      <c r="L160" s="589"/>
      <c r="M160" s="590"/>
      <c r="N160" s="591"/>
      <c r="O160" s="95"/>
      <c r="P160" s="579"/>
      <c r="Q160" s="580"/>
      <c r="R160" s="580"/>
      <c r="S160" s="581"/>
      <c r="T160" s="582"/>
      <c r="U160" s="79"/>
      <c r="V160" s="621"/>
      <c r="Y160" s="44"/>
      <c r="Z160" s="44"/>
      <c r="AA160" s="44"/>
      <c r="AB160" s="44"/>
    </row>
    <row r="161" spans="1:28" s="45" customFormat="1" ht="25.5">
      <c r="A161" s="586"/>
      <c r="B161" s="779">
        <f t="shared" si="29"/>
        <v>5.2099999999999973</v>
      </c>
      <c r="C161" s="102" t="s">
        <v>930</v>
      </c>
      <c r="D161" s="772" t="s">
        <v>139</v>
      </c>
      <c r="E161" s="780">
        <v>14.26</v>
      </c>
      <c r="F161" s="850">
        <f>405000*1.16*1.15</f>
        <v>540269.99999999988</v>
      </c>
      <c r="G161" s="849">
        <f t="shared" ref="G161:G163" si="30">E160*F161</f>
        <v>10265129.999999998</v>
      </c>
      <c r="H161" s="588"/>
      <c r="I161" s="587"/>
      <c r="J161" s="587"/>
      <c r="K161" s="587"/>
      <c r="L161" s="589"/>
      <c r="M161" s="590"/>
      <c r="N161" s="591"/>
      <c r="O161" s="95"/>
      <c r="P161" s="579"/>
      <c r="Q161" s="580"/>
      <c r="R161" s="580"/>
      <c r="S161" s="581"/>
      <c r="T161" s="582"/>
      <c r="U161" s="79"/>
      <c r="V161" s="621"/>
      <c r="X161" s="45">
        <f>0.75*100000</f>
        <v>75000</v>
      </c>
      <c r="Y161" s="44"/>
      <c r="Z161" s="44"/>
      <c r="AA161" s="44"/>
      <c r="AB161" s="44"/>
    </row>
    <row r="162" spans="1:28" s="45" customFormat="1" ht="25.5">
      <c r="A162" s="586"/>
      <c r="B162" s="779">
        <f t="shared" si="29"/>
        <v>5.2199999999999971</v>
      </c>
      <c r="C162" s="102" t="s">
        <v>931</v>
      </c>
      <c r="D162" s="777" t="s">
        <v>139</v>
      </c>
      <c r="E162" s="780">
        <v>9.5</v>
      </c>
      <c r="F162" s="587">
        <v>105259</v>
      </c>
      <c r="G162" s="849">
        <f t="shared" si="30"/>
        <v>1500993.34</v>
      </c>
      <c r="H162" s="588"/>
      <c r="I162" s="587"/>
      <c r="J162" s="587"/>
      <c r="K162" s="587"/>
      <c r="L162" s="589"/>
      <c r="M162" s="590"/>
      <c r="N162" s="591"/>
      <c r="O162" s="95"/>
      <c r="P162" s="579"/>
      <c r="Q162" s="580"/>
      <c r="R162" s="580"/>
      <c r="S162" s="581"/>
      <c r="T162" s="582"/>
      <c r="U162" s="79"/>
      <c r="V162" s="621"/>
      <c r="Y162" s="44"/>
      <c r="Z162" s="44"/>
      <c r="AA162" s="44"/>
      <c r="AB162" s="44"/>
    </row>
    <row r="163" spans="1:28" s="45" customFormat="1">
      <c r="A163" s="586"/>
      <c r="B163" s="779">
        <f t="shared" si="29"/>
        <v>5.2299999999999969</v>
      </c>
      <c r="C163" s="102" t="s">
        <v>932</v>
      </c>
      <c r="D163" s="777" t="s">
        <v>139</v>
      </c>
      <c r="E163" s="780">
        <v>13.6</v>
      </c>
      <c r="F163" s="892">
        <v>63050</v>
      </c>
      <c r="G163" s="849">
        <f t="shared" si="30"/>
        <v>598975</v>
      </c>
      <c r="H163" s="588"/>
      <c r="I163" s="587"/>
      <c r="J163" s="587"/>
      <c r="K163" s="587"/>
      <c r="L163" s="589"/>
      <c r="M163" s="590"/>
      <c r="N163" s="591"/>
      <c r="O163" s="95"/>
      <c r="P163" s="579"/>
      <c r="Q163" s="580"/>
      <c r="R163" s="580"/>
      <c r="S163" s="581"/>
      <c r="T163" s="582"/>
      <c r="U163" s="79"/>
      <c r="V163" s="621"/>
      <c r="X163" s="45">
        <v>95690</v>
      </c>
      <c r="Y163" s="44">
        <f>+X163*1.1</f>
        <v>105259.00000000001</v>
      </c>
      <c r="Z163" s="44"/>
      <c r="AA163" s="44"/>
      <c r="AB163" s="44"/>
    </row>
    <row r="164" spans="1:28" s="45" customFormat="1">
      <c r="A164" s="138">
        <v>200314</v>
      </c>
      <c r="B164" s="771"/>
      <c r="C164" s="102"/>
      <c r="D164" s="777"/>
      <c r="E164" s="780"/>
      <c r="F164" s="776"/>
      <c r="G164" s="774"/>
      <c r="H164" s="576">
        <v>44727</v>
      </c>
      <c r="I164" s="25">
        <v>59389</v>
      </c>
      <c r="J164" s="25">
        <v>1</v>
      </c>
      <c r="K164" s="25">
        <v>1</v>
      </c>
      <c r="L164" s="28">
        <v>3563340</v>
      </c>
      <c r="M164" s="29">
        <v>2683620</v>
      </c>
      <c r="N164" s="29">
        <v>2683620</v>
      </c>
      <c r="O164" s="95"/>
      <c r="P164" s="96"/>
      <c r="Q164" s="97">
        <v>52319</v>
      </c>
      <c r="R164" s="97">
        <v>890394</v>
      </c>
      <c r="S164" s="98">
        <v>1740900</v>
      </c>
      <c r="T164" s="99"/>
      <c r="U164" s="79"/>
      <c r="V164" s="621">
        <v>33</v>
      </c>
      <c r="W164" s="808"/>
      <c r="X164" s="44"/>
      <c r="Y164" s="44"/>
      <c r="Z164" s="44"/>
      <c r="AA164" s="44"/>
      <c r="AB164" s="44"/>
    </row>
    <row r="165" spans="1:28" s="45" customFormat="1" ht="15.75" thickBot="1">
      <c r="A165" s="143">
        <v>140404</v>
      </c>
      <c r="B165" s="114"/>
      <c r="C165" s="114"/>
      <c r="D165" s="115"/>
      <c r="E165" s="116"/>
      <c r="F165" s="117" t="s">
        <v>987</v>
      </c>
      <c r="G165" s="137">
        <f>SUM(G143:G164)</f>
        <v>274044009.33999997</v>
      </c>
      <c r="H165" s="576">
        <v>90513</v>
      </c>
      <c r="I165" s="25">
        <v>120183</v>
      </c>
      <c r="J165" s="25">
        <v>1</v>
      </c>
      <c r="K165" s="25">
        <v>1</v>
      </c>
      <c r="L165" s="28">
        <v>2163294</v>
      </c>
      <c r="M165" s="29">
        <v>1629234</v>
      </c>
      <c r="N165" s="29">
        <v>1629234</v>
      </c>
      <c r="O165" s="95"/>
      <c r="P165" s="96"/>
      <c r="Q165" s="97">
        <v>48580</v>
      </c>
      <c r="R165" s="97">
        <v>593604</v>
      </c>
      <c r="S165" s="98">
        <v>987055</v>
      </c>
      <c r="T165" s="99"/>
      <c r="U165" s="79"/>
      <c r="V165" s="621">
        <v>34</v>
      </c>
      <c r="W165" s="808"/>
      <c r="X165" s="44"/>
      <c r="Y165" s="44"/>
      <c r="Z165" s="44"/>
      <c r="AA165" s="44"/>
      <c r="AB165" s="44"/>
    </row>
    <row r="166" spans="1:28" s="45" customFormat="1">
      <c r="A166" s="105"/>
      <c r="B166" s="139"/>
      <c r="C166" s="140"/>
      <c r="D166" s="23"/>
      <c r="E166" s="107"/>
      <c r="F166" s="25"/>
      <c r="G166" s="795"/>
      <c r="H166" s="576"/>
      <c r="I166" s="25"/>
      <c r="J166" s="25"/>
      <c r="K166" s="25"/>
      <c r="L166" s="109"/>
      <c r="M166" s="110"/>
      <c r="N166" s="111"/>
      <c r="O166" s="95"/>
      <c r="P166" s="96"/>
      <c r="Q166" s="97"/>
      <c r="R166" s="97"/>
      <c r="S166" s="98"/>
      <c r="T166" s="99"/>
      <c r="U166" s="79"/>
      <c r="V166" s="621"/>
      <c r="W166" s="807"/>
      <c r="X166" s="44"/>
      <c r="Y166" s="44"/>
      <c r="Z166" s="44"/>
      <c r="AA166" s="44"/>
      <c r="AB166" s="44"/>
    </row>
    <row r="167" spans="1:28" s="45" customFormat="1" ht="23.1" customHeight="1" thickBot="1">
      <c r="A167" s="124"/>
      <c r="B167" s="876"/>
      <c r="C167" s="871"/>
      <c r="D167" s="873"/>
      <c r="E167" s="874"/>
      <c r="F167" s="875" t="s">
        <v>972</v>
      </c>
      <c r="G167" s="872">
        <f>+G140+G165</f>
        <v>364875496.33999997</v>
      </c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 s="621"/>
      <c r="W167" s="807"/>
      <c r="X167" s="44"/>
      <c r="Y167" s="44"/>
      <c r="Z167" s="44"/>
      <c r="AA167" s="44"/>
      <c r="AB167" s="44"/>
    </row>
    <row r="168" spans="1:28" s="45" customFormat="1" hidden="1">
      <c r="A168" s="84" t="s">
        <v>40</v>
      </c>
      <c r="B168" s="74"/>
      <c r="C168" s="75" t="s">
        <v>477</v>
      </c>
      <c r="D168" s="811"/>
      <c r="E168" s="812"/>
      <c r="F168" s="813"/>
      <c r="G168" s="814"/>
      <c r="H168" s="91"/>
      <c r="I168" s="89"/>
      <c r="J168" s="89"/>
      <c r="K168" s="89"/>
      <c r="L168" s="92"/>
      <c r="M168" s="93"/>
      <c r="N168" s="94"/>
      <c r="O168" s="95"/>
      <c r="P168" s="96"/>
      <c r="Q168" s="97"/>
      <c r="R168" s="97"/>
      <c r="S168" s="98"/>
      <c r="T168" s="99"/>
      <c r="U168" s="79"/>
      <c r="V168" s="621"/>
      <c r="W168" s="807"/>
      <c r="X168" s="44"/>
      <c r="Y168" s="44"/>
      <c r="Z168" s="44"/>
      <c r="AA168" s="44"/>
      <c r="AB168" s="44"/>
    </row>
    <row r="169" spans="1:28" s="45" customFormat="1" ht="15.75" thickBot="1">
      <c r="A169" s="127">
        <v>301305</v>
      </c>
      <c r="B169" s="85"/>
      <c r="C169" s="86"/>
      <c r="D169" s="815"/>
      <c r="E169" s="816"/>
      <c r="F169" s="817"/>
      <c r="G169" s="818"/>
      <c r="H169" s="576">
        <v>618839</v>
      </c>
      <c r="I169" s="25">
        <v>821694</v>
      </c>
      <c r="J169" s="25">
        <v>1</v>
      </c>
      <c r="K169" s="25">
        <v>1</v>
      </c>
      <c r="L169" s="28">
        <v>821694</v>
      </c>
      <c r="M169" s="29">
        <v>618839</v>
      </c>
      <c r="N169" s="29">
        <v>618839</v>
      </c>
      <c r="O169" s="95"/>
      <c r="P169" s="96"/>
      <c r="Q169" s="97">
        <v>13014</v>
      </c>
      <c r="R169" s="97">
        <v>260289</v>
      </c>
      <c r="S169" s="98">
        <v>345535</v>
      </c>
      <c r="T169" s="99"/>
      <c r="U169" s="79"/>
      <c r="V169" s="621">
        <v>36</v>
      </c>
      <c r="W169" s="808"/>
      <c r="X169" s="44"/>
      <c r="Y169" s="44"/>
      <c r="Z169" s="44"/>
      <c r="AA169" s="44"/>
      <c r="AB169" s="44"/>
    </row>
    <row r="170" spans="1:28" s="45" customFormat="1">
      <c r="A170" s="584"/>
      <c r="B170" s="74">
        <v>6</v>
      </c>
      <c r="C170" s="75" t="s">
        <v>534</v>
      </c>
      <c r="D170" s="76"/>
      <c r="E170" s="76"/>
      <c r="F170" s="76"/>
      <c r="G170" s="126"/>
      <c r="H170" s="576"/>
      <c r="I170" s="575"/>
      <c r="J170" s="575"/>
      <c r="K170" s="575"/>
      <c r="L170" s="577"/>
      <c r="M170" s="578"/>
      <c r="N170" s="578"/>
      <c r="O170" s="95"/>
      <c r="P170" s="579"/>
      <c r="Q170" s="580"/>
      <c r="R170" s="580"/>
      <c r="S170" s="581"/>
      <c r="T170" s="582"/>
      <c r="U170" s="79"/>
      <c r="V170" s="621"/>
      <c r="W170" s="808"/>
      <c r="X170" s="44"/>
      <c r="Y170" s="44"/>
      <c r="Z170" s="44"/>
      <c r="AA170" s="44"/>
      <c r="AB170" s="44"/>
    </row>
    <row r="171" spans="1:28" s="45" customFormat="1">
      <c r="A171" s="584"/>
      <c r="B171" s="771"/>
      <c r="C171" s="788" t="s">
        <v>947</v>
      </c>
      <c r="D171" s="772"/>
      <c r="E171" s="773"/>
      <c r="F171" s="587"/>
      <c r="G171" s="774"/>
      <c r="H171" s="576"/>
      <c r="I171" s="575"/>
      <c r="J171" s="575"/>
      <c r="K171" s="575"/>
      <c r="L171" s="577"/>
      <c r="M171" s="578"/>
      <c r="N171" s="578"/>
      <c r="O171" s="95"/>
      <c r="P171" s="579"/>
      <c r="Q171" s="580"/>
      <c r="R171" s="580"/>
      <c r="S171" s="581"/>
      <c r="T171" s="582"/>
      <c r="U171" s="79"/>
      <c r="V171" s="621"/>
      <c r="W171" s="808"/>
      <c r="X171" s="44"/>
      <c r="Y171" s="44"/>
      <c r="Z171" s="44"/>
      <c r="AA171" s="44"/>
      <c r="AB171" s="44"/>
    </row>
    <row r="172" spans="1:28" s="45" customFormat="1">
      <c r="A172" s="584"/>
      <c r="B172" s="771">
        <v>6.1</v>
      </c>
      <c r="C172" s="102" t="s">
        <v>943</v>
      </c>
      <c r="D172" s="772" t="s">
        <v>139</v>
      </c>
      <c r="E172" s="780">
        <v>251</v>
      </c>
      <c r="F172" s="587">
        <v>2610</v>
      </c>
      <c r="G172" s="774">
        <f>+E172*F172</f>
        <v>655110</v>
      </c>
      <c r="H172" s="576"/>
      <c r="I172" s="575"/>
      <c r="J172" s="575"/>
      <c r="K172" s="575"/>
      <c r="L172" s="577"/>
      <c r="M172" s="578"/>
      <c r="N172" s="578"/>
      <c r="O172" s="95"/>
      <c r="P172" s="579"/>
      <c r="Q172" s="580"/>
      <c r="R172" s="580"/>
      <c r="S172" s="581"/>
      <c r="T172" s="582"/>
      <c r="U172" s="79"/>
      <c r="V172" s="621"/>
      <c r="W172" s="828"/>
      <c r="X172" s="216"/>
      <c r="Y172" s="829"/>
      <c r="Z172" s="95"/>
      <c r="AA172" s="95"/>
      <c r="AB172" s="833"/>
    </row>
    <row r="173" spans="1:28" s="45" customFormat="1">
      <c r="A173" s="584"/>
      <c r="B173" s="771">
        <f>+B172+0.1</f>
        <v>6.1999999999999993</v>
      </c>
      <c r="C173" s="102" t="s">
        <v>1101</v>
      </c>
      <c r="D173" s="772" t="s">
        <v>139</v>
      </c>
      <c r="E173" s="780">
        <v>189</v>
      </c>
      <c r="F173" s="587">
        <v>5190</v>
      </c>
      <c r="G173" s="774">
        <f t="shared" ref="G173:G176" si="31">+E173*F173</f>
        <v>980910</v>
      </c>
      <c r="H173" s="576"/>
      <c r="I173" s="575"/>
      <c r="J173" s="575"/>
      <c r="K173" s="575"/>
      <c r="L173" s="577"/>
      <c r="M173" s="578"/>
      <c r="N173" s="578"/>
      <c r="O173" s="95"/>
      <c r="P173" s="579"/>
      <c r="Q173" s="580"/>
      <c r="R173" s="580"/>
      <c r="S173" s="581"/>
      <c r="T173" s="582"/>
      <c r="U173" s="79"/>
      <c r="V173" s="621"/>
      <c r="W173" s="828"/>
      <c r="X173" s="216"/>
      <c r="Y173" s="829"/>
      <c r="Z173" s="95"/>
      <c r="AA173" s="95"/>
      <c r="AB173" s="833"/>
    </row>
    <row r="174" spans="1:28" s="45" customFormat="1">
      <c r="A174" s="584"/>
      <c r="B174" s="771">
        <f t="shared" ref="B174:B181" si="32">+B173+0.1</f>
        <v>6.2999999999999989</v>
      </c>
      <c r="C174" s="102" t="s">
        <v>941</v>
      </c>
      <c r="D174" s="777" t="s">
        <v>139</v>
      </c>
      <c r="E174" s="780">
        <v>53</v>
      </c>
      <c r="F174" s="587">
        <v>10240</v>
      </c>
      <c r="G174" s="774">
        <f t="shared" si="31"/>
        <v>542720</v>
      </c>
      <c r="H174" s="576"/>
      <c r="I174" s="575"/>
      <c r="J174" s="575"/>
      <c r="K174" s="575"/>
      <c r="L174" s="577"/>
      <c r="M174" s="578"/>
      <c r="N174" s="578"/>
      <c r="O174" s="95"/>
      <c r="P174" s="579"/>
      <c r="Q174" s="580"/>
      <c r="R174" s="580"/>
      <c r="S174" s="581"/>
      <c r="T174" s="582"/>
      <c r="U174" s="79"/>
      <c r="V174" s="621"/>
      <c r="W174" s="828"/>
      <c r="X174" s="830"/>
      <c r="Y174" s="829"/>
      <c r="Z174" s="831"/>
      <c r="AA174" s="95"/>
      <c r="AB174" s="834"/>
    </row>
    <row r="175" spans="1:28" s="45" customFormat="1">
      <c r="A175" s="584"/>
      <c r="B175" s="771">
        <f t="shared" si="32"/>
        <v>6.3999999999999986</v>
      </c>
      <c r="C175" s="102" t="s">
        <v>497</v>
      </c>
      <c r="D175" s="777" t="s">
        <v>56</v>
      </c>
      <c r="E175" s="780">
        <v>60</v>
      </c>
      <c r="F175" s="587">
        <v>17220</v>
      </c>
      <c r="G175" s="774">
        <f t="shared" si="31"/>
        <v>1033200</v>
      </c>
      <c r="H175" s="576"/>
      <c r="I175" s="575"/>
      <c r="J175" s="575"/>
      <c r="K175" s="575"/>
      <c r="L175" s="577"/>
      <c r="M175" s="578"/>
      <c r="N175" s="578"/>
      <c r="O175" s="95"/>
      <c r="P175" s="579"/>
      <c r="Q175" s="580"/>
      <c r="R175" s="580"/>
      <c r="S175" s="581"/>
      <c r="T175" s="582"/>
      <c r="U175" s="79"/>
      <c r="V175" s="621"/>
      <c r="W175" s="828"/>
      <c r="X175" s="830"/>
      <c r="Y175" s="829"/>
      <c r="Z175" s="95"/>
      <c r="AA175" s="95"/>
      <c r="AB175" s="833"/>
    </row>
    <row r="176" spans="1:28" s="45" customFormat="1">
      <c r="A176" s="584"/>
      <c r="B176" s="771">
        <f t="shared" si="32"/>
        <v>6.4999999999999982</v>
      </c>
      <c r="C176" s="782" t="s">
        <v>1000</v>
      </c>
      <c r="D176" s="790" t="s">
        <v>139</v>
      </c>
      <c r="E176" s="780">
        <v>16</v>
      </c>
      <c r="F176" s="587">
        <f>+F52</f>
        <v>573533</v>
      </c>
      <c r="G176" s="774">
        <f t="shared" si="31"/>
        <v>9176528</v>
      </c>
      <c r="H176" s="576"/>
      <c r="I176" s="575"/>
      <c r="J176" s="575"/>
      <c r="K176" s="575"/>
      <c r="L176" s="577"/>
      <c r="M176" s="578"/>
      <c r="N176" s="578"/>
      <c r="O176" s="95"/>
      <c r="P176" s="579"/>
      <c r="Q176" s="580"/>
      <c r="R176" s="580"/>
      <c r="S176" s="581"/>
      <c r="T176" s="582"/>
      <c r="U176" s="79"/>
      <c r="V176" s="621"/>
      <c r="AA176" s="95"/>
      <c r="AB176" s="833"/>
    </row>
    <row r="177" spans="1:28" s="45" customFormat="1">
      <c r="A177" s="584"/>
      <c r="B177" s="771">
        <f>+B176+0.1</f>
        <v>6.5999999999999979</v>
      </c>
      <c r="C177" s="102" t="s">
        <v>976</v>
      </c>
      <c r="D177" s="772" t="s">
        <v>139</v>
      </c>
      <c r="E177" s="780">
        <v>82</v>
      </c>
      <c r="F177" s="587">
        <v>614040</v>
      </c>
      <c r="G177" s="774">
        <f t="shared" ref="G177" si="33">+E177*F177</f>
        <v>50351280</v>
      </c>
      <c r="H177" s="576"/>
      <c r="I177" s="575"/>
      <c r="J177" s="575"/>
      <c r="K177" s="575"/>
      <c r="L177" s="577"/>
      <c r="M177" s="578"/>
      <c r="N177" s="578"/>
      <c r="O177" s="95"/>
      <c r="P177" s="579"/>
      <c r="Q177" s="580"/>
      <c r="R177" s="580"/>
      <c r="S177" s="581"/>
      <c r="T177" s="582"/>
      <c r="U177" s="79"/>
      <c r="V177" s="621"/>
      <c r="W177" s="835"/>
      <c r="X177" s="216"/>
      <c r="Y177" s="95"/>
      <c r="Z177" s="95"/>
      <c r="AA177" s="95"/>
      <c r="AB177" s="833"/>
    </row>
    <row r="178" spans="1:28" s="45" customFormat="1">
      <c r="A178" s="584"/>
      <c r="B178" s="771">
        <f>+B176+0.1</f>
        <v>6.5999999999999979</v>
      </c>
      <c r="C178" s="102" t="s">
        <v>939</v>
      </c>
      <c r="D178" s="772" t="s">
        <v>139</v>
      </c>
      <c r="E178" s="587">
        <v>8</v>
      </c>
      <c r="F178" s="587">
        <v>594610</v>
      </c>
      <c r="G178" s="774">
        <f>+E178*F178</f>
        <v>4756880</v>
      </c>
      <c r="H178" s="576"/>
      <c r="I178" s="575"/>
      <c r="J178" s="575"/>
      <c r="K178" s="575"/>
      <c r="L178" s="577"/>
      <c r="M178" s="578"/>
      <c r="N178" s="578"/>
      <c r="O178" s="95"/>
      <c r="P178" s="579"/>
      <c r="Q178" s="580"/>
      <c r="R178" s="580"/>
      <c r="S178" s="581"/>
      <c r="T178" s="582"/>
      <c r="U178" s="79"/>
      <c r="V178" s="621"/>
      <c r="W178" s="215"/>
      <c r="X178" s="216"/>
      <c r="Y178" s="95"/>
      <c r="Z178" s="95"/>
      <c r="AA178" s="95"/>
      <c r="AB178" s="833"/>
    </row>
    <row r="179" spans="1:28" s="45" customFormat="1">
      <c r="A179" s="584"/>
      <c r="B179" s="771">
        <f t="shared" si="32"/>
        <v>6.6999999999999975</v>
      </c>
      <c r="C179" s="102" t="s">
        <v>939</v>
      </c>
      <c r="D179" s="772" t="s">
        <v>139</v>
      </c>
      <c r="E179" s="587">
        <v>8</v>
      </c>
      <c r="F179" s="587">
        <v>594610</v>
      </c>
      <c r="G179" s="774">
        <f>+E179*F179</f>
        <v>4756880</v>
      </c>
      <c r="H179" s="576"/>
      <c r="I179" s="575"/>
      <c r="J179" s="575"/>
      <c r="K179" s="575"/>
      <c r="L179" s="577"/>
      <c r="M179" s="578"/>
      <c r="N179" s="578"/>
      <c r="O179" s="95"/>
      <c r="P179" s="579"/>
      <c r="Q179" s="580"/>
      <c r="R179" s="580"/>
      <c r="S179" s="581"/>
      <c r="T179" s="582"/>
      <c r="U179" s="79"/>
      <c r="V179" s="621"/>
      <c r="W179" s="215"/>
      <c r="X179" s="216"/>
      <c r="Y179" s="95"/>
      <c r="Z179" s="95"/>
      <c r="AA179" s="95"/>
      <c r="AB179" s="833"/>
    </row>
    <row r="180" spans="1:28" s="45" customFormat="1">
      <c r="A180" s="584"/>
      <c r="B180" s="771">
        <f t="shared" si="32"/>
        <v>6.7999999999999972</v>
      </c>
      <c r="C180" s="102" t="s">
        <v>1002</v>
      </c>
      <c r="D180" s="772" t="s">
        <v>139</v>
      </c>
      <c r="E180" s="780">
        <v>0.5</v>
      </c>
      <c r="F180" s="587">
        <v>448900</v>
      </c>
      <c r="G180" s="774">
        <f t="shared" ref="G180" si="34">+E180*F180</f>
        <v>224450</v>
      </c>
      <c r="H180" s="576"/>
      <c r="I180" s="575"/>
      <c r="J180" s="575"/>
      <c r="K180" s="575"/>
      <c r="L180" s="577"/>
      <c r="M180" s="578"/>
      <c r="N180" s="578"/>
      <c r="O180" s="95"/>
      <c r="P180" s="579"/>
      <c r="Q180" s="580"/>
      <c r="R180" s="580"/>
      <c r="S180" s="581"/>
      <c r="T180" s="582"/>
      <c r="U180" s="79"/>
      <c r="V180" s="621"/>
      <c r="W180" s="215"/>
      <c r="X180" s="216"/>
      <c r="Y180" s="95"/>
      <c r="Z180" s="95"/>
      <c r="AA180" s="95"/>
      <c r="AB180" s="833"/>
    </row>
    <row r="181" spans="1:28" s="45" customFormat="1">
      <c r="A181" s="584"/>
      <c r="B181" s="771">
        <f t="shared" si="32"/>
        <v>6.8999999999999968</v>
      </c>
      <c r="C181" s="782" t="s">
        <v>1003</v>
      </c>
      <c r="D181" s="790" t="s">
        <v>139</v>
      </c>
      <c r="E181" s="780">
        <v>1.5</v>
      </c>
      <c r="F181" s="587">
        <v>393333</v>
      </c>
      <c r="G181" s="774">
        <f>+E181*F181</f>
        <v>589999.5</v>
      </c>
      <c r="H181" s="576"/>
      <c r="I181" s="575"/>
      <c r="J181" s="575"/>
      <c r="K181" s="575"/>
      <c r="L181" s="577"/>
      <c r="M181" s="578"/>
      <c r="N181" s="578"/>
      <c r="O181" s="95"/>
      <c r="P181" s="579"/>
      <c r="Q181" s="580"/>
      <c r="R181" s="580"/>
      <c r="S181" s="581"/>
      <c r="T181" s="582"/>
      <c r="U181" s="79"/>
      <c r="V181" s="621"/>
      <c r="W181" s="215"/>
      <c r="X181" s="216"/>
      <c r="Y181" s="829"/>
      <c r="Z181" s="95"/>
      <c r="AA181" s="95"/>
      <c r="AB181" s="833"/>
    </row>
    <row r="182" spans="1:28" s="45" customFormat="1">
      <c r="A182" s="584"/>
      <c r="B182" s="779">
        <v>6.1</v>
      </c>
      <c r="C182" s="102" t="s">
        <v>1004</v>
      </c>
      <c r="D182" s="777" t="s">
        <v>139</v>
      </c>
      <c r="E182" s="780">
        <v>0.7</v>
      </c>
      <c r="F182" s="776">
        <v>751550</v>
      </c>
      <c r="G182" s="774">
        <f>+E182*F182</f>
        <v>526085</v>
      </c>
      <c r="H182" s="576"/>
      <c r="I182" s="575"/>
      <c r="J182" s="575"/>
      <c r="K182" s="575"/>
      <c r="L182" s="577"/>
      <c r="M182" s="578"/>
      <c r="N182" s="578"/>
      <c r="O182" s="95"/>
      <c r="P182" s="579"/>
      <c r="Q182" s="580"/>
      <c r="R182" s="580"/>
      <c r="S182" s="581"/>
      <c r="T182" s="582"/>
      <c r="U182" s="79"/>
      <c r="V182" s="621"/>
      <c r="W182" s="808"/>
      <c r="X182" s="44"/>
      <c r="Y182" s="835"/>
      <c r="Z182" s="832"/>
      <c r="AA182" s="829"/>
      <c r="AB182" s="833"/>
    </row>
    <row r="183" spans="1:28" s="45" customFormat="1">
      <c r="A183" s="584"/>
      <c r="B183" s="771"/>
      <c r="C183" s="102"/>
      <c r="D183" s="777"/>
      <c r="E183" s="780"/>
      <c r="F183" s="776"/>
      <c r="G183" s="774"/>
      <c r="H183" s="576"/>
      <c r="I183" s="575"/>
      <c r="J183" s="575"/>
      <c r="K183" s="575"/>
      <c r="L183" s="577"/>
      <c r="M183" s="578"/>
      <c r="N183" s="578"/>
      <c r="O183" s="95"/>
      <c r="P183" s="579"/>
      <c r="Q183" s="580"/>
      <c r="R183" s="580"/>
      <c r="S183" s="581"/>
      <c r="T183" s="582"/>
      <c r="U183" s="79"/>
      <c r="V183" s="621"/>
      <c r="W183" s="808"/>
      <c r="X183" s="44"/>
      <c r="Y183" s="835"/>
      <c r="Z183" s="832"/>
      <c r="AA183" s="829"/>
      <c r="AB183" s="833"/>
    </row>
    <row r="184" spans="1:28" s="45" customFormat="1" ht="15.75" thickBot="1">
      <c r="A184" s="584"/>
      <c r="B184" s="114"/>
      <c r="C184" s="114"/>
      <c r="D184" s="115"/>
      <c r="E184" s="116"/>
      <c r="F184" s="117" t="s">
        <v>969</v>
      </c>
      <c r="G184" s="137">
        <f>SUM(G172:G182)</f>
        <v>73594042.5</v>
      </c>
      <c r="H184" s="576"/>
      <c r="I184" s="575"/>
      <c r="J184" s="575"/>
      <c r="K184" s="575"/>
      <c r="L184" s="577"/>
      <c r="M184" s="578"/>
      <c r="N184" s="578"/>
      <c r="O184" s="95"/>
      <c r="P184" s="579"/>
      <c r="Q184" s="580"/>
      <c r="R184" s="580"/>
      <c r="S184" s="581"/>
      <c r="T184" s="582"/>
      <c r="U184" s="79"/>
      <c r="V184" s="621"/>
      <c r="W184" s="808"/>
      <c r="X184" s="44"/>
      <c r="Y184" s="44"/>
      <c r="Z184" s="44"/>
      <c r="AA184" s="44"/>
      <c r="AB184" s="44"/>
    </row>
    <row r="185" spans="1:28" s="45" customFormat="1">
      <c r="A185" s="584"/>
      <c r="B185" s="771"/>
      <c r="C185" s="102"/>
      <c r="D185" s="777"/>
      <c r="E185" s="780"/>
      <c r="F185" s="776"/>
      <c r="G185" s="795"/>
      <c r="H185" s="576"/>
      <c r="I185" s="575"/>
      <c r="J185" s="575"/>
      <c r="K185" s="575"/>
      <c r="L185" s="577"/>
      <c r="M185" s="578"/>
      <c r="N185" s="578"/>
      <c r="O185" s="95"/>
      <c r="P185" s="579"/>
      <c r="Q185" s="580"/>
      <c r="R185" s="580"/>
      <c r="S185" s="581"/>
      <c r="T185" s="582"/>
      <c r="U185" s="79"/>
      <c r="V185" s="621"/>
      <c r="W185" s="808"/>
      <c r="X185" s="44"/>
      <c r="Y185" s="44"/>
      <c r="Z185" s="44"/>
      <c r="AA185" s="44"/>
      <c r="AB185" s="44"/>
    </row>
    <row r="186" spans="1:28" s="45" customFormat="1">
      <c r="A186" s="586"/>
      <c r="B186" s="771"/>
      <c r="C186" s="787" t="s">
        <v>948</v>
      </c>
      <c r="D186" s="772"/>
      <c r="E186" s="773"/>
      <c r="F186" s="587"/>
      <c r="G186" s="774"/>
      <c r="H186" s="588"/>
      <c r="I186" s="587"/>
      <c r="J186" s="587"/>
      <c r="K186" s="587"/>
      <c r="L186" s="589"/>
      <c r="M186" s="590"/>
      <c r="N186" s="591"/>
      <c r="O186" s="95"/>
      <c r="P186" s="579"/>
      <c r="Q186" s="580"/>
      <c r="R186" s="580"/>
      <c r="S186" s="581"/>
      <c r="T186" s="582"/>
      <c r="U186" s="79"/>
      <c r="V186" s="621"/>
      <c r="Y186" s="44"/>
      <c r="Z186" s="44"/>
      <c r="AA186" s="44"/>
      <c r="AB186" s="44"/>
    </row>
    <row r="187" spans="1:28" s="45" customFormat="1">
      <c r="A187" s="584"/>
      <c r="B187" s="771">
        <v>6.9</v>
      </c>
      <c r="C187" s="102" t="s">
        <v>942</v>
      </c>
      <c r="D187" s="777" t="s">
        <v>56</v>
      </c>
      <c r="E187" s="780">
        <v>288</v>
      </c>
      <c r="F187" s="776">
        <v>4500</v>
      </c>
      <c r="G187" s="774">
        <f t="shared" ref="G187:G188" si="35">+E187*F188</f>
        <v>18158400</v>
      </c>
      <c r="H187" s="576"/>
      <c r="I187" s="575"/>
      <c r="J187" s="575"/>
      <c r="K187" s="575"/>
      <c r="L187" s="577"/>
      <c r="M187" s="578"/>
      <c r="N187" s="578"/>
      <c r="O187" s="95"/>
      <c r="P187" s="579"/>
      <c r="Q187" s="580"/>
      <c r="R187" s="580"/>
      <c r="S187" s="581"/>
      <c r="T187" s="582"/>
      <c r="U187" s="79"/>
      <c r="V187" s="621"/>
      <c r="W187" s="808"/>
      <c r="X187" s="44"/>
      <c r="Y187" s="44"/>
      <c r="Z187" s="44"/>
      <c r="AA187" s="44"/>
      <c r="AB187" s="44"/>
    </row>
    <row r="188" spans="1:28" s="45" customFormat="1">
      <c r="A188" s="584"/>
      <c r="B188" s="779">
        <v>6.1</v>
      </c>
      <c r="C188" s="102" t="s">
        <v>945</v>
      </c>
      <c r="D188" s="777" t="s">
        <v>139</v>
      </c>
      <c r="E188" s="780">
        <v>7</v>
      </c>
      <c r="F188" s="776">
        <v>63050</v>
      </c>
      <c r="G188" s="795">
        <f t="shared" si="35"/>
        <v>205310</v>
      </c>
      <c r="H188" s="576"/>
      <c r="I188" s="575"/>
      <c r="J188" s="575"/>
      <c r="K188" s="575"/>
      <c r="L188" s="577"/>
      <c r="M188" s="578"/>
      <c r="N188" s="578"/>
      <c r="O188" s="95"/>
      <c r="P188" s="579"/>
      <c r="Q188" s="580"/>
      <c r="R188" s="580"/>
      <c r="S188" s="581"/>
      <c r="T188" s="582"/>
      <c r="U188" s="79"/>
      <c r="V188" s="621"/>
      <c r="W188" s="808"/>
      <c r="X188" s="44"/>
      <c r="Y188" s="44"/>
      <c r="Z188" s="44"/>
      <c r="AA188" s="44"/>
      <c r="AB188" s="44"/>
    </row>
    <row r="189" spans="1:28" s="45" customFormat="1">
      <c r="A189" s="584"/>
      <c r="B189" s="779">
        <f>+B188+0.01</f>
        <v>6.1099999999999994</v>
      </c>
      <c r="C189" s="102" t="s">
        <v>946</v>
      </c>
      <c r="D189" s="777" t="s">
        <v>540</v>
      </c>
      <c r="E189" s="780">
        <v>33</v>
      </c>
      <c r="F189" s="776">
        <v>29330</v>
      </c>
      <c r="G189" s="774">
        <f>+E189*F189</f>
        <v>967890</v>
      </c>
      <c r="H189" s="576"/>
      <c r="I189" s="575"/>
      <c r="J189" s="575"/>
      <c r="K189" s="575"/>
      <c r="L189" s="577"/>
      <c r="M189" s="578"/>
      <c r="N189" s="578"/>
      <c r="O189" s="95"/>
      <c r="P189" s="579"/>
      <c r="Q189" s="580"/>
      <c r="R189" s="580"/>
      <c r="S189" s="581"/>
      <c r="T189" s="582"/>
      <c r="U189" s="79"/>
      <c r="V189" s="621"/>
      <c r="W189" s="808"/>
      <c r="X189" s="44"/>
      <c r="Y189" s="44"/>
      <c r="Z189" s="44"/>
      <c r="AA189" s="44"/>
      <c r="AB189" s="44"/>
    </row>
    <row r="190" spans="1:28" s="45" customFormat="1">
      <c r="A190" s="584"/>
      <c r="B190" s="779">
        <f t="shared" ref="B190:B201" si="36">+B189+0.01</f>
        <v>6.1199999999999992</v>
      </c>
      <c r="C190" s="102" t="s">
        <v>522</v>
      </c>
      <c r="D190" s="777" t="s">
        <v>142</v>
      </c>
      <c r="E190" s="780">
        <v>2200</v>
      </c>
      <c r="F190" s="587">
        <v>3201</v>
      </c>
      <c r="G190" s="774">
        <f t="shared" ref="G190:G201" si="37">+E190*F190</f>
        <v>7042200</v>
      </c>
      <c r="H190" s="576"/>
      <c r="I190" s="575"/>
      <c r="J190" s="575"/>
      <c r="K190" s="575"/>
      <c r="L190" s="577"/>
      <c r="M190" s="578"/>
      <c r="N190" s="578"/>
      <c r="O190" s="95"/>
      <c r="P190" s="579"/>
      <c r="Q190" s="580"/>
      <c r="R190" s="580"/>
      <c r="S190" s="581"/>
      <c r="T190" s="582"/>
      <c r="U190" s="79"/>
      <c r="V190" s="621"/>
      <c r="W190" s="808"/>
      <c r="X190" s="44"/>
      <c r="Y190" s="44"/>
      <c r="Z190" s="44"/>
      <c r="AA190" s="44"/>
      <c r="AB190" s="44"/>
    </row>
    <row r="191" spans="1:28" s="45" customFormat="1">
      <c r="A191" s="584"/>
      <c r="B191" s="779">
        <f t="shared" si="36"/>
        <v>6.129999999999999</v>
      </c>
      <c r="C191" s="102" t="s">
        <v>508</v>
      </c>
      <c r="D191" s="777" t="s">
        <v>500</v>
      </c>
      <c r="E191" s="780">
        <v>35</v>
      </c>
      <c r="F191" s="587">
        <v>18420</v>
      </c>
      <c r="G191" s="774">
        <f t="shared" si="37"/>
        <v>644700</v>
      </c>
      <c r="H191" s="576"/>
      <c r="I191" s="575"/>
      <c r="J191" s="575"/>
      <c r="K191" s="575"/>
      <c r="L191" s="577"/>
      <c r="M191" s="578"/>
      <c r="N191" s="578"/>
      <c r="O191" s="95"/>
      <c r="P191" s="579"/>
      <c r="Q191" s="580"/>
      <c r="R191" s="580"/>
      <c r="S191" s="581"/>
      <c r="T191" s="582"/>
      <c r="U191" s="79"/>
      <c r="V191" s="621"/>
      <c r="W191" s="808"/>
      <c r="X191" s="44"/>
      <c r="Y191" s="44"/>
      <c r="Z191" s="44"/>
      <c r="AA191" s="44"/>
      <c r="AB191" s="44"/>
    </row>
    <row r="192" spans="1:28" s="45" customFormat="1">
      <c r="A192" s="584"/>
      <c r="B192" s="779">
        <f t="shared" si="36"/>
        <v>6.1399999999999988</v>
      </c>
      <c r="C192" s="102" t="s">
        <v>904</v>
      </c>
      <c r="D192" s="777" t="s">
        <v>22</v>
      </c>
      <c r="E192" s="102">
        <v>8</v>
      </c>
      <c r="F192" s="587">
        <v>10670</v>
      </c>
      <c r="G192" s="774">
        <f t="shared" si="37"/>
        <v>85360</v>
      </c>
      <c r="H192" s="576"/>
      <c r="I192" s="575"/>
      <c r="J192" s="575"/>
      <c r="K192" s="575"/>
      <c r="L192" s="577"/>
      <c r="M192" s="578"/>
      <c r="N192" s="578"/>
      <c r="O192" s="95"/>
      <c r="P192" s="579"/>
      <c r="Q192" s="580"/>
      <c r="R192" s="580"/>
      <c r="S192" s="581"/>
      <c r="T192" s="582"/>
      <c r="U192" s="79"/>
      <c r="V192" s="621"/>
      <c r="W192" s="808"/>
      <c r="X192" s="44"/>
      <c r="Y192" s="44"/>
      <c r="Z192" s="44"/>
      <c r="AA192" s="44"/>
      <c r="AB192" s="44"/>
    </row>
    <row r="193" spans="1:28" s="45" customFormat="1">
      <c r="A193" s="584"/>
      <c r="B193" s="779">
        <f t="shared" si="36"/>
        <v>6.1499999999999986</v>
      </c>
      <c r="C193" s="102" t="s">
        <v>996</v>
      </c>
      <c r="D193" s="777" t="s">
        <v>540</v>
      </c>
      <c r="E193" s="102">
        <v>2</v>
      </c>
      <c r="F193" s="587">
        <v>22800</v>
      </c>
      <c r="G193" s="774">
        <f t="shared" si="37"/>
        <v>45600</v>
      </c>
      <c r="H193" s="576"/>
      <c r="I193" s="575"/>
      <c r="J193" s="575"/>
      <c r="K193" s="575"/>
      <c r="L193" s="577"/>
      <c r="M193" s="578"/>
      <c r="N193" s="578"/>
      <c r="O193" s="95"/>
      <c r="P193" s="579"/>
      <c r="Q193" s="580"/>
      <c r="R193" s="580"/>
      <c r="S193" s="581"/>
      <c r="T193" s="582"/>
      <c r="U193" s="79"/>
      <c r="V193" s="621"/>
      <c r="W193" s="808"/>
      <c r="X193" s="44"/>
      <c r="Y193" s="44"/>
      <c r="Z193" s="44"/>
      <c r="AA193" s="44"/>
      <c r="AB193" s="44"/>
    </row>
    <row r="194" spans="1:28" s="45" customFormat="1">
      <c r="A194" s="584"/>
      <c r="B194" s="779">
        <f t="shared" si="36"/>
        <v>6.1599999999999984</v>
      </c>
      <c r="C194" s="102" t="s">
        <v>895</v>
      </c>
      <c r="D194" s="777" t="s">
        <v>22</v>
      </c>
      <c r="E194" s="102">
        <v>4</v>
      </c>
      <c r="F194" s="587">
        <v>6530</v>
      </c>
      <c r="G194" s="774">
        <f t="shared" si="37"/>
        <v>26120</v>
      </c>
      <c r="H194" s="576"/>
      <c r="I194" s="575"/>
      <c r="J194" s="575"/>
      <c r="K194" s="575"/>
      <c r="L194" s="577"/>
      <c r="M194" s="578"/>
      <c r="N194" s="578"/>
      <c r="O194" s="95"/>
      <c r="P194" s="579"/>
      <c r="Q194" s="580"/>
      <c r="R194" s="580"/>
      <c r="S194" s="581"/>
      <c r="T194" s="582"/>
      <c r="U194" s="79"/>
      <c r="V194" s="621"/>
      <c r="W194" s="808"/>
      <c r="X194" s="44"/>
      <c r="Y194" s="44"/>
      <c r="Z194" s="44"/>
      <c r="AA194" s="44"/>
      <c r="AB194" s="44"/>
    </row>
    <row r="195" spans="1:28" s="45" customFormat="1">
      <c r="A195" s="584"/>
      <c r="B195" s="779">
        <f t="shared" si="36"/>
        <v>6.1699999999999982</v>
      </c>
      <c r="C195" s="102" t="s">
        <v>1026</v>
      </c>
      <c r="D195" s="777" t="s">
        <v>22</v>
      </c>
      <c r="E195" s="102">
        <v>2</v>
      </c>
      <c r="F195" s="587">
        <v>1479906</v>
      </c>
      <c r="G195" s="774">
        <f t="shared" si="37"/>
        <v>2959812</v>
      </c>
      <c r="H195" s="576"/>
      <c r="I195" s="575"/>
      <c r="J195" s="575"/>
      <c r="K195" s="575"/>
      <c r="L195" s="577"/>
      <c r="M195" s="578"/>
      <c r="N195" s="578"/>
      <c r="O195" s="95"/>
      <c r="P195" s="579"/>
      <c r="Q195" s="580"/>
      <c r="R195" s="580"/>
      <c r="S195" s="581"/>
      <c r="T195" s="582"/>
      <c r="U195" s="79"/>
      <c r="V195" s="621"/>
      <c r="W195" s="649"/>
      <c r="X195" s="44"/>
      <c r="Y195" s="44"/>
      <c r="Z195" s="44"/>
      <c r="AA195" s="44"/>
      <c r="AB195" s="44"/>
    </row>
    <row r="196" spans="1:28" s="45" customFormat="1" ht="25.5">
      <c r="A196" s="584"/>
      <c r="B196" s="779">
        <f t="shared" si="36"/>
        <v>6.1799999999999979</v>
      </c>
      <c r="C196" s="102" t="s">
        <v>1027</v>
      </c>
      <c r="D196" s="777" t="s">
        <v>22</v>
      </c>
      <c r="E196" s="102">
        <v>2</v>
      </c>
      <c r="F196" s="587">
        <v>612360</v>
      </c>
      <c r="G196" s="774">
        <f t="shared" si="37"/>
        <v>1224720</v>
      </c>
      <c r="H196" s="576"/>
      <c r="I196" s="575"/>
      <c r="J196" s="575"/>
      <c r="K196" s="575"/>
      <c r="L196" s="577"/>
      <c r="M196" s="578"/>
      <c r="N196" s="578"/>
      <c r="O196" s="95"/>
      <c r="P196" s="579"/>
      <c r="Q196" s="580"/>
      <c r="R196" s="580"/>
      <c r="S196" s="581"/>
      <c r="T196" s="582"/>
      <c r="U196" s="79"/>
      <c r="V196" s="621"/>
      <c r="W196" s="808"/>
      <c r="X196" s="44"/>
      <c r="Y196" s="44"/>
      <c r="Z196" s="44"/>
      <c r="AA196" s="44"/>
      <c r="AB196" s="44"/>
    </row>
    <row r="197" spans="1:28" s="45" customFormat="1">
      <c r="A197" s="584"/>
      <c r="B197" s="779">
        <f t="shared" si="36"/>
        <v>6.1899999999999977</v>
      </c>
      <c r="C197" s="102" t="s">
        <v>1005</v>
      </c>
      <c r="D197" s="777" t="s">
        <v>540</v>
      </c>
      <c r="E197" s="102">
        <v>24</v>
      </c>
      <c r="F197" s="587">
        <v>48740</v>
      </c>
      <c r="G197" s="774">
        <f t="shared" si="37"/>
        <v>1169760</v>
      </c>
      <c r="H197" s="576"/>
      <c r="I197" s="575"/>
      <c r="J197" s="575"/>
      <c r="K197" s="575"/>
      <c r="L197" s="577"/>
      <c r="M197" s="578"/>
      <c r="N197" s="578"/>
      <c r="O197" s="95"/>
      <c r="P197" s="579"/>
      <c r="Q197" s="580"/>
      <c r="R197" s="580"/>
      <c r="S197" s="581"/>
      <c r="T197" s="582"/>
      <c r="U197" s="79"/>
      <c r="V197" s="621"/>
      <c r="W197" s="808"/>
      <c r="X197" s="44"/>
      <c r="Y197" s="44"/>
      <c r="Z197" s="44"/>
      <c r="AA197" s="44"/>
      <c r="AB197" s="44"/>
    </row>
    <row r="198" spans="1:28" s="45" customFormat="1">
      <c r="A198" s="584"/>
      <c r="B198" s="779">
        <f t="shared" si="36"/>
        <v>6.1999999999999975</v>
      </c>
      <c r="C198" s="102" t="s">
        <v>1006</v>
      </c>
      <c r="D198" s="777" t="s">
        <v>540</v>
      </c>
      <c r="E198" s="102">
        <v>7</v>
      </c>
      <c r="F198" s="587">
        <v>105300</v>
      </c>
      <c r="G198" s="774">
        <f t="shared" si="37"/>
        <v>737100</v>
      </c>
      <c r="H198" s="576"/>
      <c r="I198" s="575"/>
      <c r="J198" s="575"/>
      <c r="K198" s="575"/>
      <c r="L198" s="577"/>
      <c r="M198" s="578"/>
      <c r="N198" s="578"/>
      <c r="O198" s="95"/>
      <c r="P198" s="579"/>
      <c r="Q198" s="580"/>
      <c r="R198" s="580"/>
      <c r="S198" s="581"/>
      <c r="T198" s="582"/>
      <c r="U198" s="79"/>
      <c r="V198" s="621"/>
      <c r="W198" s="808"/>
      <c r="X198" s="44"/>
      <c r="Y198" s="44"/>
      <c r="Z198" s="44"/>
      <c r="AA198" s="44"/>
      <c r="AB198" s="44"/>
    </row>
    <row r="199" spans="1:28" s="45" customFormat="1">
      <c r="A199" s="584"/>
      <c r="B199" s="779">
        <f t="shared" si="36"/>
        <v>6.2099999999999973</v>
      </c>
      <c r="C199" s="102" t="s">
        <v>1007</v>
      </c>
      <c r="D199" s="777" t="s">
        <v>512</v>
      </c>
      <c r="E199" s="102">
        <v>2</v>
      </c>
      <c r="F199" s="776">
        <v>628300</v>
      </c>
      <c r="G199" s="774">
        <f t="shared" si="37"/>
        <v>1256600</v>
      </c>
      <c r="H199" s="576"/>
      <c r="I199" s="575"/>
      <c r="J199" s="575"/>
      <c r="K199" s="575"/>
      <c r="L199" s="577"/>
      <c r="M199" s="578"/>
      <c r="N199" s="578"/>
      <c r="O199" s="95"/>
      <c r="P199" s="579"/>
      <c r="Q199" s="580"/>
      <c r="R199" s="580"/>
      <c r="S199" s="581"/>
      <c r="T199" s="582"/>
      <c r="U199" s="79"/>
      <c r="V199" s="621"/>
      <c r="W199" s="808"/>
      <c r="X199" s="44"/>
      <c r="Y199" s="44"/>
      <c r="Z199" s="44"/>
      <c r="AA199" s="44"/>
      <c r="AB199" s="44"/>
    </row>
    <row r="200" spans="1:28" s="45" customFormat="1">
      <c r="A200" s="584"/>
      <c r="B200" s="779">
        <f t="shared" si="36"/>
        <v>6.2199999999999971</v>
      </c>
      <c r="C200" s="102" t="s">
        <v>1021</v>
      </c>
      <c r="D200" s="777" t="s">
        <v>22</v>
      </c>
      <c r="E200" s="102">
        <v>6</v>
      </c>
      <c r="F200" s="879">
        <v>410000</v>
      </c>
      <c r="G200" s="774">
        <f t="shared" si="37"/>
        <v>2460000</v>
      </c>
      <c r="H200" s="576"/>
      <c r="I200" s="575"/>
      <c r="J200" s="575"/>
      <c r="K200" s="575"/>
      <c r="L200" s="577"/>
      <c r="M200" s="578"/>
      <c r="N200" s="578"/>
      <c r="O200" s="95"/>
      <c r="P200" s="579"/>
      <c r="Q200" s="580"/>
      <c r="R200" s="580"/>
      <c r="S200" s="581"/>
      <c r="T200" s="582"/>
      <c r="U200" s="79"/>
      <c r="V200" s="621"/>
      <c r="W200" s="808"/>
      <c r="X200" s="44"/>
      <c r="Y200" s="44"/>
      <c r="Z200" s="44"/>
      <c r="AA200" s="44"/>
      <c r="AB200" s="44"/>
    </row>
    <row r="201" spans="1:28" s="45" customFormat="1">
      <c r="A201" s="584"/>
      <c r="B201" s="779">
        <f t="shared" si="36"/>
        <v>6.2299999999999969</v>
      </c>
      <c r="C201" s="102" t="s">
        <v>1022</v>
      </c>
      <c r="D201" s="777" t="s">
        <v>22</v>
      </c>
      <c r="E201" s="102">
        <v>1</v>
      </c>
      <c r="F201" s="879">
        <v>308000</v>
      </c>
      <c r="G201" s="774">
        <f t="shared" si="37"/>
        <v>308000</v>
      </c>
      <c r="H201" s="576"/>
      <c r="I201" s="575"/>
      <c r="J201" s="575"/>
      <c r="K201" s="575"/>
      <c r="L201" s="577"/>
      <c r="M201" s="578"/>
      <c r="N201" s="578"/>
      <c r="O201" s="95"/>
      <c r="P201" s="579"/>
      <c r="Q201" s="580"/>
      <c r="R201" s="580"/>
      <c r="S201" s="581"/>
      <c r="T201" s="582"/>
      <c r="U201" s="79"/>
      <c r="V201" s="621"/>
      <c r="W201" s="808"/>
      <c r="X201" s="44"/>
      <c r="Y201" s="44"/>
      <c r="Z201" s="44"/>
      <c r="AA201" s="44"/>
      <c r="AB201" s="44"/>
    </row>
    <row r="202" spans="1:28" s="45" customFormat="1">
      <c r="A202" s="138">
        <v>200314</v>
      </c>
      <c r="B202" s="779"/>
      <c r="C202" s="102"/>
      <c r="D202" s="777"/>
      <c r="E202" s="780"/>
      <c r="F202" s="776"/>
      <c r="G202" s="774"/>
      <c r="H202" s="576">
        <v>44727</v>
      </c>
      <c r="I202" s="25">
        <v>59389</v>
      </c>
      <c r="J202" s="25">
        <v>1</v>
      </c>
      <c r="K202" s="25">
        <v>1</v>
      </c>
      <c r="L202" s="28">
        <v>3563340</v>
      </c>
      <c r="M202" s="29">
        <v>2683620</v>
      </c>
      <c r="N202" s="29">
        <v>2683620</v>
      </c>
      <c r="O202" s="95"/>
      <c r="P202" s="96"/>
      <c r="Q202" s="97">
        <v>52319</v>
      </c>
      <c r="R202" s="97">
        <v>890394</v>
      </c>
      <c r="S202" s="98">
        <v>1740900</v>
      </c>
      <c r="T202" s="99"/>
      <c r="U202" s="79"/>
      <c r="V202" s="621">
        <v>33</v>
      </c>
      <c r="W202" s="808"/>
      <c r="X202" s="44"/>
      <c r="Y202" s="44"/>
      <c r="Z202" s="44"/>
      <c r="AA202" s="44"/>
      <c r="AB202" s="44"/>
    </row>
    <row r="203" spans="1:28" s="45" customFormat="1" ht="15.75" thickBot="1">
      <c r="A203" s="143">
        <v>140404</v>
      </c>
      <c r="B203" s="871"/>
      <c r="C203" s="871"/>
      <c r="D203" s="873"/>
      <c r="E203" s="874"/>
      <c r="F203" s="875" t="s">
        <v>973</v>
      </c>
      <c r="G203" s="872">
        <f>SUM(G187:G202)</f>
        <v>37291572</v>
      </c>
      <c r="H203" s="576">
        <v>90513</v>
      </c>
      <c r="I203" s="25">
        <v>120183</v>
      </c>
      <c r="J203" s="25">
        <v>1</v>
      </c>
      <c r="K203" s="25">
        <v>1</v>
      </c>
      <c r="L203" s="28">
        <v>2163294</v>
      </c>
      <c r="M203" s="29">
        <v>1629234</v>
      </c>
      <c r="N203" s="29">
        <v>1629234</v>
      </c>
      <c r="O203" s="95"/>
      <c r="P203" s="96"/>
      <c r="Q203" s="97">
        <v>48580</v>
      </c>
      <c r="R203" s="97">
        <v>593604</v>
      </c>
      <c r="S203" s="98">
        <v>987055</v>
      </c>
      <c r="T203" s="99"/>
      <c r="U203" s="79"/>
      <c r="V203" s="621">
        <v>34</v>
      </c>
      <c r="W203" s="808"/>
      <c r="X203" s="44"/>
      <c r="Y203" s="44"/>
      <c r="Z203" s="44"/>
      <c r="AA203" s="44"/>
      <c r="AB203" s="44"/>
    </row>
    <row r="204" spans="1:28" s="45" customFormat="1">
      <c r="A204" s="584"/>
      <c r="B204" s="771"/>
      <c r="C204" s="102"/>
      <c r="D204" s="777"/>
      <c r="E204" s="780"/>
      <c r="F204" s="776"/>
      <c r="G204" s="774"/>
      <c r="H204" s="576"/>
      <c r="I204" s="575"/>
      <c r="J204" s="575"/>
      <c r="K204" s="575"/>
      <c r="L204" s="577"/>
      <c r="M204" s="578"/>
      <c r="N204" s="578"/>
      <c r="O204" s="95"/>
      <c r="P204" s="579"/>
      <c r="Q204" s="580"/>
      <c r="R204" s="580"/>
      <c r="S204" s="581"/>
      <c r="T204" s="582"/>
      <c r="U204" s="79"/>
      <c r="V204" s="621"/>
      <c r="W204" s="808"/>
      <c r="X204" s="44"/>
      <c r="Y204" s="44"/>
      <c r="Z204" s="44"/>
      <c r="AA204" s="44"/>
      <c r="AB204" s="44"/>
    </row>
    <row r="205" spans="1:28" s="45" customFormat="1" ht="15.75" thickBot="1">
      <c r="A205" s="584"/>
      <c r="B205" s="771"/>
      <c r="C205" s="102"/>
      <c r="D205" s="777"/>
      <c r="E205" s="780"/>
      <c r="F205" s="776"/>
      <c r="G205" s="774"/>
      <c r="H205" s="576"/>
      <c r="I205" s="575"/>
      <c r="J205" s="575"/>
      <c r="K205" s="575"/>
      <c r="L205" s="577"/>
      <c r="M205" s="578"/>
      <c r="N205" s="578"/>
      <c r="O205" s="95"/>
      <c r="P205" s="579"/>
      <c r="Q205" s="580"/>
      <c r="R205" s="580"/>
      <c r="S205" s="581"/>
      <c r="T205" s="582"/>
      <c r="U205" s="79"/>
      <c r="V205" s="621"/>
      <c r="W205" s="808"/>
      <c r="X205" s="44"/>
      <c r="Y205" s="44"/>
      <c r="Z205" s="44"/>
      <c r="AA205" s="44"/>
      <c r="AB205" s="44"/>
    </row>
    <row r="206" spans="1:28" s="45" customFormat="1" ht="15.75" hidden="1" thickBot="1">
      <c r="A206" s="84" t="s">
        <v>40</v>
      </c>
      <c r="B206" s="74"/>
      <c r="C206" s="75" t="s">
        <v>478</v>
      </c>
      <c r="D206" s="87"/>
      <c r="E206" s="88"/>
      <c r="F206" s="89"/>
      <c r="G206" s="90"/>
      <c r="H206" s="91"/>
      <c r="I206" s="89"/>
      <c r="J206" s="89"/>
      <c r="K206" s="89"/>
      <c r="L206" s="92"/>
      <c r="M206" s="93"/>
      <c r="N206" s="94"/>
      <c r="O206" s="95"/>
      <c r="P206" s="96"/>
      <c r="Q206" s="97"/>
      <c r="R206" s="97"/>
      <c r="S206" s="98"/>
      <c r="T206" s="99"/>
      <c r="U206" s="79"/>
      <c r="V206" s="621"/>
      <c r="W206" s="807"/>
      <c r="X206" s="44"/>
      <c r="Y206" s="44"/>
      <c r="Z206" s="44"/>
      <c r="AA206" s="44"/>
      <c r="AB206" s="44"/>
    </row>
    <row r="207" spans="1:28" s="45" customFormat="1">
      <c r="A207" s="586"/>
      <c r="B207" s="74">
        <v>7</v>
      </c>
      <c r="C207" s="75" t="s">
        <v>478</v>
      </c>
      <c r="D207" s="76"/>
      <c r="E207" s="76"/>
      <c r="F207" s="76"/>
      <c r="G207" s="126"/>
      <c r="H207" s="588"/>
      <c r="I207" s="587"/>
      <c r="J207" s="587"/>
      <c r="K207" s="587"/>
      <c r="L207" s="589"/>
      <c r="M207" s="590"/>
      <c r="N207" s="591"/>
      <c r="O207" s="95"/>
      <c r="P207" s="579"/>
      <c r="Q207" s="580"/>
      <c r="R207" s="580"/>
      <c r="S207" s="581"/>
      <c r="T207" s="582"/>
      <c r="U207" s="79"/>
      <c r="V207" s="621"/>
      <c r="W207" s="808"/>
      <c r="X207" s="44"/>
      <c r="Y207" s="44"/>
      <c r="Z207" s="44"/>
      <c r="AA207" s="44"/>
      <c r="AB207" s="44"/>
    </row>
    <row r="208" spans="1:28" s="45" customFormat="1">
      <c r="A208" s="586"/>
      <c r="B208" s="771"/>
      <c r="C208" s="788" t="s">
        <v>947</v>
      </c>
      <c r="D208" s="772"/>
      <c r="E208" s="773"/>
      <c r="F208" s="587"/>
      <c r="G208" s="774"/>
      <c r="H208" s="588"/>
      <c r="I208" s="587"/>
      <c r="J208" s="587"/>
      <c r="K208" s="587"/>
      <c r="L208" s="589"/>
      <c r="M208" s="590"/>
      <c r="N208" s="591"/>
      <c r="O208" s="95"/>
      <c r="P208" s="579"/>
      <c r="Q208" s="580"/>
      <c r="R208" s="580"/>
      <c r="S208" s="581"/>
      <c r="T208" s="582"/>
      <c r="U208" s="79"/>
      <c r="V208" s="621"/>
      <c r="W208" s="808"/>
      <c r="X208" s="44"/>
      <c r="Y208" s="44"/>
      <c r="Z208" s="44"/>
      <c r="AA208" s="44"/>
      <c r="AB208" s="44"/>
    </row>
    <row r="209" spans="1:28" s="45" customFormat="1">
      <c r="A209" s="586"/>
      <c r="B209" s="771">
        <v>7.1</v>
      </c>
      <c r="C209" s="102" t="s">
        <v>943</v>
      </c>
      <c r="D209" s="772" t="s">
        <v>139</v>
      </c>
      <c r="E209" s="587">
        <v>4910</v>
      </c>
      <c r="F209" s="587">
        <v>2610</v>
      </c>
      <c r="G209" s="587">
        <f>+E209*F209</f>
        <v>12815100</v>
      </c>
      <c r="H209" s="588"/>
      <c r="I209" s="587"/>
      <c r="J209" s="587"/>
      <c r="K209" s="587"/>
      <c r="L209" s="589"/>
      <c r="M209" s="590"/>
      <c r="N209" s="591"/>
      <c r="O209" s="95"/>
      <c r="P209" s="579"/>
      <c r="Q209" s="580"/>
      <c r="R209" s="580"/>
      <c r="S209" s="581"/>
      <c r="T209" s="582"/>
      <c r="U209" s="79"/>
      <c r="V209" s="621"/>
      <c r="W209" s="808"/>
      <c r="X209" s="44"/>
      <c r="Y209" s="44"/>
      <c r="Z209" s="44"/>
      <c r="AA209" s="44"/>
      <c r="AB209" s="44"/>
    </row>
    <row r="210" spans="1:28" s="45" customFormat="1">
      <c r="A210" s="586"/>
      <c r="B210" s="771">
        <f>+B209+0.1</f>
        <v>7.1999999999999993</v>
      </c>
      <c r="C210" s="102" t="s">
        <v>1101</v>
      </c>
      <c r="D210" s="772" t="s">
        <v>139</v>
      </c>
      <c r="E210" s="587">
        <v>4468</v>
      </c>
      <c r="F210" s="587">
        <v>5190</v>
      </c>
      <c r="G210" s="587">
        <f t="shared" ref="G210:G214" si="38">+E210*F210</f>
        <v>23188920</v>
      </c>
      <c r="H210" s="588"/>
      <c r="I210" s="587"/>
      <c r="J210" s="587"/>
      <c r="K210" s="587"/>
      <c r="L210" s="589"/>
      <c r="M210" s="590"/>
      <c r="N210" s="591"/>
      <c r="O210" s="95"/>
      <c r="P210" s="579"/>
      <c r="Q210" s="580"/>
      <c r="R210" s="580"/>
      <c r="S210" s="581"/>
      <c r="T210" s="582"/>
      <c r="U210" s="79"/>
      <c r="V210" s="621"/>
      <c r="W210" s="808"/>
      <c r="X210" s="44"/>
      <c r="Y210" s="44"/>
      <c r="Z210" s="44"/>
      <c r="AA210" s="44"/>
      <c r="AB210" s="44"/>
    </row>
    <row r="211" spans="1:28" s="45" customFormat="1">
      <c r="A211" s="586"/>
      <c r="B211" s="771">
        <f t="shared" ref="B211:B217" si="39">+B210+0.1</f>
        <v>7.2999999999999989</v>
      </c>
      <c r="C211" s="102" t="s">
        <v>941</v>
      </c>
      <c r="D211" s="777" t="s">
        <v>139</v>
      </c>
      <c r="E211" s="587">
        <v>442</v>
      </c>
      <c r="F211" s="587">
        <v>10240</v>
      </c>
      <c r="G211" s="587">
        <f t="shared" si="38"/>
        <v>4526080</v>
      </c>
      <c r="H211" s="588"/>
      <c r="I211" s="587"/>
      <c r="J211" s="587"/>
      <c r="K211" s="587"/>
      <c r="L211" s="589"/>
      <c r="M211" s="590"/>
      <c r="N211" s="591"/>
      <c r="O211" s="95"/>
      <c r="P211" s="579"/>
      <c r="Q211" s="580"/>
      <c r="R211" s="580"/>
      <c r="S211" s="581"/>
      <c r="T211" s="582"/>
      <c r="U211" s="79"/>
      <c r="V211" s="621"/>
      <c r="W211" s="808"/>
      <c r="X211" s="44"/>
      <c r="Y211" s="44"/>
      <c r="Z211" s="44"/>
      <c r="AA211" s="44"/>
      <c r="AB211" s="44"/>
    </row>
    <row r="212" spans="1:28" s="45" customFormat="1">
      <c r="A212" s="586"/>
      <c r="B212" s="771">
        <f t="shared" si="39"/>
        <v>7.3999999999999986</v>
      </c>
      <c r="C212" s="102" t="s">
        <v>497</v>
      </c>
      <c r="D212" s="777" t="s">
        <v>56</v>
      </c>
      <c r="E212" s="587">
        <v>613</v>
      </c>
      <c r="F212" s="587">
        <v>17220</v>
      </c>
      <c r="G212" s="587">
        <f t="shared" si="38"/>
        <v>10555860</v>
      </c>
      <c r="H212" s="588"/>
      <c r="I212" s="587"/>
      <c r="J212" s="587"/>
      <c r="K212" s="587"/>
      <c r="L212" s="589"/>
      <c r="M212" s="590"/>
      <c r="N212" s="591"/>
      <c r="O212" s="95"/>
      <c r="P212" s="579"/>
      <c r="Q212" s="580"/>
      <c r="R212" s="580"/>
      <c r="S212" s="581"/>
      <c r="T212" s="582"/>
      <c r="U212" s="79"/>
      <c r="V212" s="621"/>
      <c r="W212" s="808"/>
      <c r="X212" s="44"/>
      <c r="Y212" s="44"/>
      <c r="Z212" s="44"/>
      <c r="AA212" s="44"/>
      <c r="AB212" s="44"/>
    </row>
    <row r="213" spans="1:28" s="45" customFormat="1">
      <c r="A213" s="127">
        <v>290304</v>
      </c>
      <c r="B213" s="771">
        <f t="shared" si="39"/>
        <v>7.4999999999999982</v>
      </c>
      <c r="C213" s="782" t="s">
        <v>981</v>
      </c>
      <c r="D213" s="790" t="s">
        <v>938</v>
      </c>
      <c r="E213" s="587">
        <v>179</v>
      </c>
      <c r="F213" s="587">
        <v>573533</v>
      </c>
      <c r="G213" s="587">
        <f t="shared" si="38"/>
        <v>102662407</v>
      </c>
      <c r="H213" s="576">
        <v>5550</v>
      </c>
      <c r="I213" s="25">
        <v>7369</v>
      </c>
      <c r="J213" s="25">
        <v>1</v>
      </c>
      <c r="K213" s="25">
        <v>2</v>
      </c>
      <c r="L213" s="28">
        <v>3345526</v>
      </c>
      <c r="M213" s="29">
        <v>2519700</v>
      </c>
      <c r="N213" s="29">
        <v>2519700</v>
      </c>
      <c r="O213" s="95"/>
      <c r="P213" s="96"/>
      <c r="Q213" s="97">
        <v>103998</v>
      </c>
      <c r="R213" s="97">
        <v>1431706</v>
      </c>
      <c r="S213" s="98">
        <v>983804</v>
      </c>
      <c r="T213" s="99"/>
      <c r="U213" s="79"/>
      <c r="V213" s="621">
        <v>44</v>
      </c>
      <c r="W213" s="808"/>
      <c r="X213" s="216"/>
      <c r="Y213" s="829"/>
      <c r="Z213" s="833"/>
      <c r="AA213" s="44"/>
      <c r="AB213" s="44"/>
    </row>
    <row r="214" spans="1:28" s="45" customFormat="1">
      <c r="A214" s="584"/>
      <c r="B214" s="771">
        <f t="shared" si="39"/>
        <v>7.5999999999999979</v>
      </c>
      <c r="C214" s="782" t="s">
        <v>993</v>
      </c>
      <c r="D214" s="790" t="s">
        <v>56</v>
      </c>
      <c r="E214" s="587">
        <v>922</v>
      </c>
      <c r="F214" s="587">
        <v>30000</v>
      </c>
      <c r="G214" s="587">
        <f t="shared" si="38"/>
        <v>27660000</v>
      </c>
      <c r="H214" s="576"/>
      <c r="I214" s="575"/>
      <c r="J214" s="575"/>
      <c r="K214" s="575"/>
      <c r="L214" s="577"/>
      <c r="M214" s="578"/>
      <c r="N214" s="578"/>
      <c r="O214" s="95"/>
      <c r="P214" s="579"/>
      <c r="Q214" s="580"/>
      <c r="R214" s="580"/>
      <c r="S214" s="581"/>
      <c r="T214" s="582"/>
      <c r="U214" s="79"/>
      <c r="V214" s="621"/>
      <c r="W214" s="808"/>
      <c r="X214" s="44"/>
      <c r="Y214" s="44"/>
      <c r="Z214" s="44"/>
      <c r="AA214" s="44"/>
      <c r="AB214" s="44"/>
    </row>
    <row r="215" spans="1:28" s="45" customFormat="1">
      <c r="A215" s="143">
        <v>290430</v>
      </c>
      <c r="B215" s="771">
        <f t="shared" si="39"/>
        <v>7.6999999999999975</v>
      </c>
      <c r="C215" s="102" t="s">
        <v>976</v>
      </c>
      <c r="D215" s="772" t="s">
        <v>139</v>
      </c>
      <c r="E215" s="587">
        <v>122</v>
      </c>
      <c r="F215" s="837">
        <v>614040</v>
      </c>
      <c r="G215" s="587">
        <f>+E215*F215</f>
        <v>74912880</v>
      </c>
      <c r="H215" s="576">
        <v>10638</v>
      </c>
      <c r="I215" s="25">
        <v>14125</v>
      </c>
      <c r="J215" s="25">
        <v>1</v>
      </c>
      <c r="K215" s="25">
        <v>1</v>
      </c>
      <c r="L215" s="28">
        <v>1186500</v>
      </c>
      <c r="M215" s="29">
        <v>893592</v>
      </c>
      <c r="N215" s="29">
        <v>893592</v>
      </c>
      <c r="O215" s="95"/>
      <c r="P215" s="96"/>
      <c r="Q215" s="97">
        <v>29433</v>
      </c>
      <c r="R215" s="97">
        <v>588668</v>
      </c>
      <c r="S215" s="98">
        <v>275486</v>
      </c>
      <c r="T215" s="99"/>
      <c r="U215" s="79"/>
      <c r="V215" s="621">
        <v>46</v>
      </c>
      <c r="W215" s="808"/>
      <c r="X215" s="44"/>
      <c r="Y215" s="44"/>
      <c r="Z215" s="44"/>
      <c r="AA215" s="44"/>
      <c r="AB215" s="44"/>
    </row>
    <row r="216" spans="1:28" s="45" customFormat="1">
      <c r="A216" s="584"/>
      <c r="B216" s="771">
        <f t="shared" si="39"/>
        <v>7.7999999999999972</v>
      </c>
      <c r="C216" s="102" t="s">
        <v>939</v>
      </c>
      <c r="D216" s="772" t="s">
        <v>139</v>
      </c>
      <c r="E216" s="587">
        <v>62</v>
      </c>
      <c r="F216" s="587">
        <v>594610</v>
      </c>
      <c r="G216" s="587">
        <f>+E216*F216</f>
        <v>36865820</v>
      </c>
      <c r="H216" s="576"/>
      <c r="I216" s="575"/>
      <c r="J216" s="575"/>
      <c r="K216" s="575"/>
      <c r="L216" s="577"/>
      <c r="M216" s="578"/>
      <c r="N216" s="585"/>
      <c r="O216" s="95"/>
      <c r="P216" s="579"/>
      <c r="Q216" s="580"/>
      <c r="R216" s="580"/>
      <c r="S216" s="581"/>
      <c r="T216" s="582"/>
      <c r="U216" s="79"/>
      <c r="V216" s="621"/>
      <c r="W216" s="808"/>
      <c r="X216" s="44"/>
      <c r="Y216" s="44"/>
      <c r="Z216" s="44"/>
      <c r="AA216" s="44"/>
      <c r="AB216" s="44"/>
    </row>
    <row r="217" spans="1:28" s="45" customFormat="1">
      <c r="A217" s="584"/>
      <c r="B217" s="771">
        <f t="shared" si="39"/>
        <v>7.8999999999999968</v>
      </c>
      <c r="C217" s="102" t="s">
        <v>985</v>
      </c>
      <c r="D217" s="772" t="s">
        <v>22</v>
      </c>
      <c r="E217" s="587">
        <v>2</v>
      </c>
      <c r="F217" s="587">
        <v>201870</v>
      </c>
      <c r="G217" s="587">
        <f>+E217*F217</f>
        <v>403740</v>
      </c>
      <c r="H217" s="576"/>
      <c r="I217" s="575"/>
      <c r="J217" s="575"/>
      <c r="K217" s="575"/>
      <c r="L217" s="577"/>
      <c r="M217" s="578"/>
      <c r="N217" s="585"/>
      <c r="O217" s="95"/>
      <c r="P217" s="579"/>
      <c r="Q217" s="580"/>
      <c r="R217" s="580"/>
      <c r="S217" s="581"/>
      <c r="T217" s="582"/>
      <c r="U217" s="79"/>
      <c r="V217" s="621"/>
      <c r="W217" s="808"/>
      <c r="X217" s="44"/>
      <c r="Y217" s="44"/>
      <c r="Z217" s="44"/>
      <c r="AA217" s="44"/>
      <c r="AB217" s="44"/>
    </row>
    <row r="218" spans="1:28" s="45" customFormat="1">
      <c r="A218" s="584"/>
      <c r="B218" s="779">
        <v>7.1</v>
      </c>
      <c r="C218" s="102" t="s">
        <v>986</v>
      </c>
      <c r="D218" s="772" t="s">
        <v>22</v>
      </c>
      <c r="E218" s="587">
        <v>2</v>
      </c>
      <c r="F218" s="587">
        <v>1473920</v>
      </c>
      <c r="G218" s="587">
        <f>+E218*F218</f>
        <v>2947840</v>
      </c>
      <c r="H218" s="576"/>
      <c r="I218" s="575"/>
      <c r="J218" s="575"/>
      <c r="K218" s="575"/>
      <c r="L218" s="577"/>
      <c r="M218" s="578"/>
      <c r="N218" s="585"/>
      <c r="O218" s="95"/>
      <c r="P218" s="579"/>
      <c r="Q218" s="580"/>
      <c r="R218" s="580"/>
      <c r="S218" s="581"/>
      <c r="T218" s="582"/>
      <c r="U218" s="79"/>
      <c r="V218" s="621"/>
      <c r="W218" s="808"/>
      <c r="X218" s="44"/>
      <c r="Y218" s="44"/>
      <c r="Z218" s="44"/>
      <c r="AA218" s="44"/>
      <c r="AB218" s="44"/>
    </row>
    <row r="219" spans="1:28" s="45" customFormat="1">
      <c r="A219" s="584"/>
      <c r="B219" s="779">
        <v>7.11</v>
      </c>
      <c r="C219" s="102" t="s">
        <v>994</v>
      </c>
      <c r="D219" s="777" t="s">
        <v>22</v>
      </c>
      <c r="E219" s="780">
        <v>2</v>
      </c>
      <c r="F219" s="587">
        <v>118070</v>
      </c>
      <c r="G219" s="587">
        <f>+E219*F219</f>
        <v>236140</v>
      </c>
      <c r="H219" s="576"/>
      <c r="I219" s="575"/>
      <c r="J219" s="575"/>
      <c r="K219" s="575"/>
      <c r="L219" s="577"/>
      <c r="M219" s="578"/>
      <c r="N219" s="585"/>
      <c r="O219" s="95"/>
      <c r="P219" s="579"/>
      <c r="Q219" s="580"/>
      <c r="R219" s="580"/>
      <c r="S219" s="581"/>
      <c r="T219" s="582"/>
      <c r="U219" s="79"/>
      <c r="V219" s="621"/>
      <c r="W219" s="808"/>
      <c r="X219" s="44"/>
      <c r="Y219" s="44"/>
      <c r="Z219" s="44"/>
      <c r="AA219" s="44"/>
      <c r="AB219" s="44"/>
    </row>
    <row r="220" spans="1:28" s="45" customFormat="1">
      <c r="A220" s="105"/>
      <c r="B220" s="139"/>
      <c r="C220" s="140"/>
      <c r="D220" s="23"/>
      <c r="E220" s="107"/>
      <c r="F220" s="25"/>
      <c r="G220" s="795"/>
      <c r="H220" s="576"/>
      <c r="I220" s="25"/>
      <c r="J220" s="25"/>
      <c r="K220" s="25"/>
      <c r="L220" s="109"/>
      <c r="M220" s="110"/>
      <c r="N220" s="111"/>
      <c r="O220" s="95"/>
      <c r="P220" s="96"/>
      <c r="Q220" s="97"/>
      <c r="R220" s="97"/>
      <c r="S220" s="98"/>
      <c r="T220" s="99"/>
      <c r="U220" s="79"/>
      <c r="V220" s="621"/>
      <c r="W220" s="807"/>
      <c r="X220" s="44"/>
      <c r="Y220" s="44"/>
      <c r="Z220" s="44"/>
      <c r="AA220" s="44"/>
      <c r="AB220" s="44"/>
    </row>
    <row r="221" spans="1:28" s="45" customFormat="1" ht="15.75" thickBot="1">
      <c r="A221" s="112" t="s">
        <v>46</v>
      </c>
      <c r="B221" s="113"/>
      <c r="C221" s="114"/>
      <c r="D221" s="115"/>
      <c r="E221" s="116"/>
      <c r="F221" s="117" t="s">
        <v>479</v>
      </c>
      <c r="G221" s="137">
        <f>SUM(G209:G220)</f>
        <v>296774787</v>
      </c>
      <c r="H221" s="576"/>
      <c r="I221" s="25"/>
      <c r="J221" s="25"/>
      <c r="K221" s="25"/>
      <c r="L221" s="109"/>
      <c r="M221" s="110"/>
      <c r="N221" s="119">
        <v>8571640</v>
      </c>
      <c r="O221" s="95"/>
      <c r="P221" s="120">
        <v>0</v>
      </c>
      <c r="Q221" s="121">
        <v>303531</v>
      </c>
      <c r="R221" s="121">
        <v>4125784</v>
      </c>
      <c r="S221" s="122">
        <v>4141954</v>
      </c>
      <c r="T221" s="123">
        <v>0</v>
      </c>
      <c r="U221" s="79"/>
      <c r="V221" s="621"/>
      <c r="W221" s="807"/>
      <c r="X221" s="44"/>
      <c r="Y221" s="44"/>
      <c r="Z221" s="44"/>
      <c r="AA221" s="44"/>
      <c r="AB221" s="44"/>
    </row>
    <row r="222" spans="1:28" s="45" customFormat="1" hidden="1">
      <c r="A222" s="84" t="s">
        <v>40</v>
      </c>
      <c r="B222" s="779"/>
      <c r="C222" s="102"/>
      <c r="D222" s="777"/>
      <c r="E222" s="780"/>
      <c r="F222" s="776">
        <v>38550</v>
      </c>
      <c r="G222" s="774">
        <f t="shared" ref="G222" si="40">E222*F222</f>
        <v>0</v>
      </c>
      <c r="H222" s="91"/>
      <c r="I222" s="89"/>
      <c r="J222" s="89"/>
      <c r="K222" s="89"/>
      <c r="L222" s="92"/>
      <c r="M222" s="93"/>
      <c r="N222" s="94"/>
      <c r="O222" s="95"/>
      <c r="P222" s="96"/>
      <c r="Q222" s="97"/>
      <c r="R222" s="97"/>
      <c r="S222" s="98"/>
      <c r="T222" s="99"/>
      <c r="U222" s="79"/>
      <c r="V222" s="621"/>
      <c r="W222" s="807"/>
      <c r="X222" s="44"/>
      <c r="Y222" s="44"/>
      <c r="Z222" s="44"/>
      <c r="AA222" s="44"/>
      <c r="AB222" s="44"/>
    </row>
    <row r="223" spans="1:28" s="45" customFormat="1">
      <c r="A223" s="586"/>
      <c r="B223" s="771"/>
      <c r="C223" s="102"/>
      <c r="D223" s="777"/>
      <c r="E223" s="780"/>
      <c r="F223" s="587"/>
      <c r="G223" s="774"/>
      <c r="H223" s="588"/>
      <c r="I223" s="587"/>
      <c r="J223" s="587"/>
      <c r="K223" s="587"/>
      <c r="L223" s="589"/>
      <c r="M223" s="590"/>
      <c r="N223" s="591"/>
      <c r="O223" s="95"/>
      <c r="P223" s="579"/>
      <c r="Q223" s="580"/>
      <c r="R223" s="580"/>
      <c r="S223" s="581"/>
      <c r="T223" s="582"/>
      <c r="U223" s="79"/>
      <c r="V223" s="621"/>
      <c r="W223" s="808"/>
      <c r="X223" s="44"/>
      <c r="Y223" s="44"/>
      <c r="Z223" s="44"/>
      <c r="AA223" s="44"/>
      <c r="AB223" s="44"/>
    </row>
    <row r="224" spans="1:28" s="45" customFormat="1">
      <c r="A224" s="586"/>
      <c r="B224" s="771">
        <v>7.12</v>
      </c>
      <c r="C224" s="102" t="s">
        <v>522</v>
      </c>
      <c r="D224" s="777" t="s">
        <v>142</v>
      </c>
      <c r="E224" s="780">
        <v>11700</v>
      </c>
      <c r="F224" s="587">
        <v>3201</v>
      </c>
      <c r="G224" s="587">
        <f>+E224*F226</f>
        <v>52650000</v>
      </c>
      <c r="H224" s="588"/>
      <c r="I224" s="587"/>
      <c r="J224" s="587"/>
      <c r="K224" s="587"/>
      <c r="L224" s="589"/>
      <c r="M224" s="590"/>
      <c r="N224" s="591"/>
      <c r="O224" s="95"/>
      <c r="P224" s="579"/>
      <c r="Q224" s="580"/>
      <c r="R224" s="580"/>
      <c r="S224" s="581"/>
      <c r="T224" s="582"/>
      <c r="U224" s="79"/>
      <c r="V224" s="621"/>
      <c r="W224" s="808"/>
      <c r="X224" s="44"/>
      <c r="Y224" s="44"/>
      <c r="Z224" s="44"/>
      <c r="AA224" s="44"/>
      <c r="AB224" s="44"/>
    </row>
    <row r="225" spans="1:28" s="45" customFormat="1">
      <c r="A225" s="586"/>
      <c r="B225" s="771">
        <f>+B224+0.01</f>
        <v>7.13</v>
      </c>
      <c r="C225" s="102" t="s">
        <v>508</v>
      </c>
      <c r="D225" s="777" t="s">
        <v>500</v>
      </c>
      <c r="E225" s="780">
        <v>124</v>
      </c>
      <c r="F225" s="587">
        <v>18420</v>
      </c>
      <c r="G225" s="587">
        <f t="shared" ref="G225" si="41">E225*F225</f>
        <v>2284080</v>
      </c>
      <c r="H225" s="588"/>
      <c r="I225" s="587"/>
      <c r="J225" s="587"/>
      <c r="K225" s="587"/>
      <c r="L225" s="589"/>
      <c r="M225" s="590"/>
      <c r="N225" s="591"/>
      <c r="O225" s="95"/>
      <c r="P225" s="579"/>
      <c r="Q225" s="580"/>
      <c r="R225" s="580"/>
      <c r="S225" s="581"/>
      <c r="T225" s="582"/>
      <c r="U225" s="79"/>
      <c r="V225" s="621"/>
      <c r="W225" s="808"/>
      <c r="X225" s="44"/>
      <c r="Y225" s="44"/>
      <c r="Z225" s="44"/>
      <c r="AA225" s="44"/>
      <c r="AB225" s="44"/>
    </row>
    <row r="226" spans="1:28" s="45" customFormat="1">
      <c r="A226" s="586"/>
      <c r="B226" s="771">
        <f t="shared" ref="B226:B238" si="42">+B225+0.01</f>
        <v>7.14</v>
      </c>
      <c r="C226" s="102" t="s">
        <v>942</v>
      </c>
      <c r="D226" s="777" t="s">
        <v>56</v>
      </c>
      <c r="E226" s="780">
        <v>183</v>
      </c>
      <c r="F226" s="587">
        <v>4500</v>
      </c>
      <c r="G226" s="587">
        <f t="shared" ref="G226:G227" si="43">+E226*F227</f>
        <v>11538150</v>
      </c>
      <c r="H226" s="588"/>
      <c r="I226" s="587"/>
      <c r="J226" s="587"/>
      <c r="K226" s="587"/>
      <c r="L226" s="589"/>
      <c r="M226" s="590"/>
      <c r="N226" s="591"/>
      <c r="O226" s="95"/>
      <c r="P226" s="579"/>
      <c r="Q226" s="580"/>
      <c r="R226" s="580"/>
      <c r="S226" s="581"/>
      <c r="T226" s="582"/>
      <c r="U226" s="79"/>
      <c r="V226" s="621"/>
      <c r="W226" s="808"/>
      <c r="X226" s="44"/>
      <c r="Y226" s="44"/>
      <c r="Z226" s="44"/>
      <c r="AA226" s="44"/>
      <c r="AB226" s="44"/>
    </row>
    <row r="227" spans="1:28" s="45" customFormat="1">
      <c r="A227" s="586"/>
      <c r="B227" s="771">
        <f t="shared" si="42"/>
        <v>7.1499999999999995</v>
      </c>
      <c r="C227" s="102" t="s">
        <v>984</v>
      </c>
      <c r="D227" s="777" t="s">
        <v>139</v>
      </c>
      <c r="E227" s="780">
        <v>20</v>
      </c>
      <c r="F227" s="587">
        <v>63050</v>
      </c>
      <c r="G227" s="587">
        <f t="shared" si="43"/>
        <v>586600</v>
      </c>
      <c r="H227" s="588"/>
      <c r="I227" s="587"/>
      <c r="J227" s="587"/>
      <c r="K227" s="587"/>
      <c r="L227" s="589"/>
      <c r="M227" s="590"/>
      <c r="N227" s="591"/>
      <c r="O227" s="95"/>
      <c r="P227" s="579"/>
      <c r="Q227" s="580"/>
      <c r="R227" s="580"/>
      <c r="S227" s="581"/>
      <c r="T227" s="582"/>
      <c r="U227" s="79"/>
      <c r="V227" s="621"/>
      <c r="W227" s="808"/>
      <c r="X227" s="44"/>
      <c r="Y227" s="44"/>
      <c r="Z227" s="44"/>
      <c r="AA227" s="44"/>
      <c r="AB227" s="44"/>
    </row>
    <row r="228" spans="1:28" s="45" customFormat="1">
      <c r="A228" s="586"/>
      <c r="B228" s="771">
        <f t="shared" si="42"/>
        <v>7.1599999999999993</v>
      </c>
      <c r="C228" s="102" t="s">
        <v>946</v>
      </c>
      <c r="D228" s="777" t="s">
        <v>540</v>
      </c>
      <c r="E228" s="780">
        <v>101</v>
      </c>
      <c r="F228" s="587">
        <v>29330</v>
      </c>
      <c r="G228" s="587">
        <f>+E228*F228</f>
        <v>2962330</v>
      </c>
      <c r="H228" s="588"/>
      <c r="I228" s="587"/>
      <c r="J228" s="587"/>
      <c r="K228" s="587"/>
      <c r="L228" s="589"/>
      <c r="M228" s="590"/>
      <c r="N228" s="591"/>
      <c r="O228" s="95"/>
      <c r="P228" s="579"/>
      <c r="Q228" s="580"/>
      <c r="R228" s="580"/>
      <c r="S228" s="581"/>
      <c r="T228" s="582"/>
      <c r="U228" s="79"/>
      <c r="V228" s="621"/>
      <c r="W228" s="808"/>
      <c r="X228" s="44"/>
      <c r="Y228" s="44"/>
      <c r="Z228" s="44"/>
      <c r="AA228" s="44"/>
      <c r="AB228" s="44"/>
    </row>
    <row r="229" spans="1:28" s="45" customFormat="1">
      <c r="A229" s="586"/>
      <c r="B229" s="771">
        <f t="shared" si="42"/>
        <v>7.169999999999999</v>
      </c>
      <c r="C229" s="782" t="s">
        <v>999</v>
      </c>
      <c r="D229" s="772" t="s">
        <v>22</v>
      </c>
      <c r="E229" s="587">
        <v>2</v>
      </c>
      <c r="F229" s="587">
        <v>695420</v>
      </c>
      <c r="G229" s="587">
        <f t="shared" ref="G229:G238" si="44">+E229*F229</f>
        <v>1390840</v>
      </c>
      <c r="H229" s="588"/>
      <c r="I229" s="587"/>
      <c r="J229" s="587"/>
      <c r="K229" s="587"/>
      <c r="L229" s="589"/>
      <c r="M229" s="590"/>
      <c r="N229" s="591"/>
      <c r="O229" s="95"/>
      <c r="P229" s="579"/>
      <c r="Q229" s="580"/>
      <c r="R229" s="580"/>
      <c r="S229" s="581"/>
      <c r="T229" s="582"/>
      <c r="U229" s="79"/>
      <c r="V229" s="621"/>
      <c r="W229" s="808"/>
      <c r="X229" s="45">
        <f>1.16*1.1</f>
        <v>1.276</v>
      </c>
      <c r="Y229" s="881">
        <v>545000</v>
      </c>
      <c r="Z229" s="868">
        <f>+Y229*X229</f>
        <v>695420</v>
      </c>
      <c r="AA229" s="44"/>
      <c r="AB229" s="44"/>
    </row>
    <row r="230" spans="1:28" s="45" customFormat="1">
      <c r="A230" s="586"/>
      <c r="B230" s="771">
        <f t="shared" si="42"/>
        <v>7.1799999999999988</v>
      </c>
      <c r="C230" s="782" t="s">
        <v>995</v>
      </c>
      <c r="D230" s="777" t="s">
        <v>22</v>
      </c>
      <c r="E230" s="587">
        <v>2</v>
      </c>
      <c r="F230" s="587">
        <v>612360</v>
      </c>
      <c r="G230" s="587">
        <f t="shared" si="44"/>
        <v>1224720</v>
      </c>
      <c r="H230" s="588"/>
      <c r="I230" s="587"/>
      <c r="J230" s="587"/>
      <c r="K230" s="587"/>
      <c r="L230" s="589"/>
      <c r="M230" s="590"/>
      <c r="N230" s="591"/>
      <c r="O230" s="95"/>
      <c r="P230" s="579"/>
      <c r="Q230" s="580"/>
      <c r="R230" s="580"/>
      <c r="S230" s="581"/>
      <c r="T230" s="582"/>
      <c r="U230" s="79"/>
      <c r="V230" s="621"/>
      <c r="W230" s="808"/>
      <c r="X230" s="45">
        <f t="shared" ref="X230:X234" si="45">1.16*1.1</f>
        <v>1.276</v>
      </c>
      <c r="Y230" s="44"/>
      <c r="Z230" s="868">
        <f t="shared" ref="Z230:Z232" si="46">+Y230*X230</f>
        <v>0</v>
      </c>
      <c r="AA230" s="44"/>
      <c r="AB230" s="44"/>
    </row>
    <row r="231" spans="1:28" s="45" customFormat="1">
      <c r="A231" s="586"/>
      <c r="B231" s="771">
        <f t="shared" si="42"/>
        <v>7.1899999999999986</v>
      </c>
      <c r="C231" s="102" t="s">
        <v>1031</v>
      </c>
      <c r="D231" s="790" t="s">
        <v>22</v>
      </c>
      <c r="E231" s="587">
        <v>2</v>
      </c>
      <c r="F231" s="587">
        <v>963380</v>
      </c>
      <c r="G231" s="587">
        <f t="shared" si="44"/>
        <v>1926760</v>
      </c>
      <c r="H231" s="588"/>
      <c r="I231" s="587"/>
      <c r="J231" s="587"/>
      <c r="K231" s="587"/>
      <c r="L231" s="589"/>
      <c r="M231" s="590"/>
      <c r="N231" s="591"/>
      <c r="O231" s="95"/>
      <c r="P231" s="579"/>
      <c r="Q231" s="580"/>
      <c r="R231" s="580"/>
      <c r="S231" s="581"/>
      <c r="T231" s="582"/>
      <c r="U231" s="79"/>
      <c r="V231" s="621"/>
      <c r="W231" s="808"/>
      <c r="X231" s="45">
        <f t="shared" si="45"/>
        <v>1.276</v>
      </c>
      <c r="Y231" s="44">
        <v>755000</v>
      </c>
      <c r="Z231" s="868">
        <f t="shared" si="46"/>
        <v>963380</v>
      </c>
      <c r="AA231" s="44"/>
      <c r="AB231" s="44"/>
    </row>
    <row r="232" spans="1:28" s="45" customFormat="1">
      <c r="A232" s="586"/>
      <c r="B232" s="779">
        <f t="shared" si="42"/>
        <v>7.1999999999999984</v>
      </c>
      <c r="C232" s="102" t="s">
        <v>1030</v>
      </c>
      <c r="D232" s="777" t="s">
        <v>22</v>
      </c>
      <c r="E232" s="587">
        <v>2</v>
      </c>
      <c r="F232" s="587">
        <v>3242316</v>
      </c>
      <c r="G232" s="587">
        <f t="shared" si="44"/>
        <v>6484632</v>
      </c>
      <c r="H232" s="588"/>
      <c r="I232" s="587"/>
      <c r="J232" s="587"/>
      <c r="K232" s="587"/>
      <c r="L232" s="589"/>
      <c r="M232" s="590"/>
      <c r="N232" s="591"/>
      <c r="O232" s="95"/>
      <c r="P232" s="579"/>
      <c r="Q232" s="580"/>
      <c r="R232" s="580"/>
      <c r="S232" s="581"/>
      <c r="T232" s="582"/>
      <c r="U232" s="79"/>
      <c r="V232" s="621"/>
      <c r="W232" s="808"/>
      <c r="X232" s="45">
        <f t="shared" si="45"/>
        <v>1.276</v>
      </c>
      <c r="Y232" s="44">
        <v>2541000</v>
      </c>
      <c r="Z232" s="883">
        <f t="shared" si="46"/>
        <v>3242316</v>
      </c>
      <c r="AA232" s="44"/>
      <c r="AB232" s="44"/>
    </row>
    <row r="233" spans="1:28" s="45" customFormat="1">
      <c r="A233" s="586"/>
      <c r="B233" s="779">
        <f t="shared" si="42"/>
        <v>7.2099999999999982</v>
      </c>
      <c r="C233" s="1027" t="s">
        <v>881</v>
      </c>
      <c r="D233" s="777" t="s">
        <v>22</v>
      </c>
      <c r="E233" s="587">
        <v>2</v>
      </c>
      <c r="F233" s="587">
        <v>1621796</v>
      </c>
      <c r="G233" s="587">
        <f t="shared" si="44"/>
        <v>3243592</v>
      </c>
      <c r="H233" s="588"/>
      <c r="I233" s="587"/>
      <c r="J233" s="587"/>
      <c r="K233" s="587"/>
      <c r="L233" s="589"/>
      <c r="M233" s="590"/>
      <c r="N233" s="591"/>
      <c r="O233" s="95"/>
      <c r="P233" s="579"/>
      <c r="Q233" s="580"/>
      <c r="R233" s="580"/>
      <c r="S233" s="581"/>
      <c r="T233" s="582"/>
      <c r="U233" s="79"/>
      <c r="V233" s="621"/>
      <c r="W233" s="808"/>
      <c r="X233" s="45">
        <f t="shared" si="45"/>
        <v>1.276</v>
      </c>
      <c r="Y233" s="44">
        <v>1271000</v>
      </c>
      <c r="Z233" s="883">
        <f t="shared" ref="Z233" si="47">+Y233*X233</f>
        <v>1621796</v>
      </c>
      <c r="AA233" s="44"/>
      <c r="AB233" s="44"/>
    </row>
    <row r="234" spans="1:28" s="45" customFormat="1">
      <c r="A234" s="586"/>
      <c r="B234" s="779">
        <f t="shared" si="42"/>
        <v>7.219999999999998</v>
      </c>
      <c r="C234" s="1027" t="s">
        <v>1029</v>
      </c>
      <c r="D234" s="777" t="s">
        <v>22</v>
      </c>
      <c r="E234" s="587">
        <v>4</v>
      </c>
      <c r="F234" s="587">
        <v>1096084</v>
      </c>
      <c r="G234" s="587">
        <f t="shared" ref="G234" si="48">+E234*F234</f>
        <v>4384336</v>
      </c>
      <c r="H234" s="588"/>
      <c r="I234" s="587"/>
      <c r="J234" s="587"/>
      <c r="K234" s="587"/>
      <c r="L234" s="589"/>
      <c r="M234" s="590"/>
      <c r="N234" s="591"/>
      <c r="O234" s="95"/>
      <c r="P234" s="579"/>
      <c r="Q234" s="580"/>
      <c r="R234" s="580"/>
      <c r="S234" s="581"/>
      <c r="T234" s="582"/>
      <c r="U234" s="79"/>
      <c r="V234" s="621"/>
      <c r="W234" s="808"/>
      <c r="X234" s="45">
        <f t="shared" si="45"/>
        <v>1.276</v>
      </c>
      <c r="Y234" s="882">
        <v>859000</v>
      </c>
      <c r="Z234" s="868">
        <f t="shared" ref="Z234" si="49">+Y234*X234</f>
        <v>1096084</v>
      </c>
      <c r="AA234" s="44"/>
      <c r="AB234" s="44"/>
    </row>
    <row r="235" spans="1:28" s="45" customFormat="1">
      <c r="A235" s="586"/>
      <c r="B235" s="779">
        <f t="shared" si="42"/>
        <v>7.2299999999999978</v>
      </c>
      <c r="C235" s="1028" t="s">
        <v>997</v>
      </c>
      <c r="D235" s="777" t="s">
        <v>500</v>
      </c>
      <c r="E235" s="782">
        <v>8</v>
      </c>
      <c r="F235" s="845">
        <v>22800</v>
      </c>
      <c r="G235" s="587">
        <f t="shared" ref="G235:G236" si="50">+E235*F235</f>
        <v>182400</v>
      </c>
      <c r="H235" s="588"/>
      <c r="I235" s="587"/>
      <c r="J235" s="587"/>
      <c r="K235" s="587"/>
      <c r="L235" s="589"/>
      <c r="M235" s="590"/>
      <c r="N235" s="591"/>
      <c r="O235" s="95"/>
      <c r="P235" s="579"/>
      <c r="Q235" s="580"/>
      <c r="R235" s="580"/>
      <c r="S235" s="581"/>
      <c r="T235" s="582"/>
      <c r="U235" s="79"/>
      <c r="V235" s="621"/>
      <c r="W235" s="808"/>
      <c r="X235" s="44"/>
      <c r="Y235" s="44"/>
      <c r="Z235" s="44"/>
      <c r="AA235" s="44"/>
      <c r="AB235" s="44"/>
    </row>
    <row r="236" spans="1:28" s="45" customFormat="1">
      <c r="A236" s="586"/>
      <c r="B236" s="779">
        <f t="shared" si="42"/>
        <v>7.2399999999999975</v>
      </c>
      <c r="C236" s="782" t="s">
        <v>998</v>
      </c>
      <c r="D236" s="846" t="s">
        <v>22</v>
      </c>
      <c r="E236" s="782">
        <v>4</v>
      </c>
      <c r="F236" s="845">
        <v>38090</v>
      </c>
      <c r="G236" s="587">
        <f t="shared" si="50"/>
        <v>152360</v>
      </c>
      <c r="H236" s="588"/>
      <c r="I236" s="587"/>
      <c r="J236" s="587"/>
      <c r="K236" s="587"/>
      <c r="L236" s="589"/>
      <c r="M236" s="590"/>
      <c r="N236" s="591"/>
      <c r="O236" s="95"/>
      <c r="P236" s="579"/>
      <c r="Q236" s="580"/>
      <c r="R236" s="580"/>
      <c r="S236" s="581"/>
      <c r="T236" s="582"/>
      <c r="U236" s="79"/>
      <c r="V236" s="621"/>
      <c r="W236" s="808"/>
      <c r="X236" s="44"/>
      <c r="Y236" s="44"/>
      <c r="Z236" s="44"/>
      <c r="AA236" s="44"/>
      <c r="AB236" s="44"/>
    </row>
    <row r="237" spans="1:28" s="45" customFormat="1">
      <c r="A237" s="586"/>
      <c r="B237" s="779">
        <f t="shared" si="42"/>
        <v>7.2499999999999973</v>
      </c>
      <c r="C237" s="102" t="s">
        <v>996</v>
      </c>
      <c r="D237" s="772" t="s">
        <v>500</v>
      </c>
      <c r="E237" s="587">
        <v>2</v>
      </c>
      <c r="F237" s="845">
        <v>22800</v>
      </c>
      <c r="G237" s="587">
        <f t="shared" si="44"/>
        <v>45600</v>
      </c>
      <c r="H237" s="588"/>
      <c r="I237" s="587"/>
      <c r="J237" s="587"/>
      <c r="K237" s="587"/>
      <c r="L237" s="589"/>
      <c r="M237" s="590"/>
      <c r="N237" s="591"/>
      <c r="O237" s="95"/>
      <c r="P237" s="579"/>
      <c r="Q237" s="580"/>
      <c r="R237" s="580"/>
      <c r="S237" s="581"/>
      <c r="T237" s="582"/>
      <c r="U237" s="79"/>
      <c r="V237" s="621"/>
      <c r="W237" s="808"/>
      <c r="X237" s="44"/>
      <c r="Y237" s="44"/>
      <c r="Z237" s="44"/>
      <c r="AA237" s="44"/>
      <c r="AB237" s="44"/>
    </row>
    <row r="238" spans="1:28" s="45" customFormat="1">
      <c r="A238" s="586"/>
      <c r="B238" s="779">
        <f t="shared" si="42"/>
        <v>7.2599999999999971</v>
      </c>
      <c r="C238" s="782" t="s">
        <v>904</v>
      </c>
      <c r="D238" s="846" t="s">
        <v>22</v>
      </c>
      <c r="E238" s="782">
        <v>24</v>
      </c>
      <c r="F238" s="845">
        <v>10670</v>
      </c>
      <c r="G238" s="587">
        <f t="shared" si="44"/>
        <v>256080</v>
      </c>
      <c r="H238" s="588"/>
      <c r="I238" s="587"/>
      <c r="J238" s="587"/>
      <c r="K238" s="587"/>
      <c r="L238" s="589"/>
      <c r="M238" s="590"/>
      <c r="N238" s="591"/>
      <c r="O238" s="95"/>
      <c r="P238" s="579"/>
      <c r="Q238" s="580"/>
      <c r="R238" s="580"/>
      <c r="S238" s="581"/>
      <c r="T238" s="582"/>
      <c r="U238" s="79"/>
      <c r="V238" s="621"/>
      <c r="W238" s="808"/>
      <c r="X238" s="44"/>
      <c r="Y238" s="44"/>
      <c r="Z238" s="44"/>
      <c r="AA238" s="44"/>
      <c r="AB238" s="44"/>
    </row>
    <row r="239" spans="1:28" s="45" customFormat="1">
      <c r="A239" s="586"/>
      <c r="B239" s="771"/>
      <c r="D239" s="772"/>
      <c r="E239" s="780"/>
      <c r="F239" s="25"/>
      <c r="G239" s="795"/>
      <c r="H239" s="588"/>
      <c r="I239" s="587"/>
      <c r="J239" s="587"/>
      <c r="K239" s="587"/>
      <c r="L239" s="589"/>
      <c r="M239" s="590"/>
      <c r="N239" s="591"/>
      <c r="O239" s="95"/>
      <c r="P239" s="579"/>
      <c r="Q239" s="580"/>
      <c r="R239" s="580"/>
      <c r="S239" s="581"/>
      <c r="T239" s="582"/>
      <c r="U239" s="79"/>
      <c r="V239" s="621"/>
      <c r="W239" s="808"/>
      <c r="X239" s="44"/>
      <c r="Y239" s="44"/>
      <c r="Z239" s="44"/>
      <c r="AA239" s="44"/>
      <c r="AB239" s="44"/>
    </row>
    <row r="240" spans="1:28" s="45" customFormat="1" ht="15.75" thickBot="1">
      <c r="A240" s="586"/>
      <c r="B240" s="114"/>
      <c r="C240" s="114"/>
      <c r="D240" s="115"/>
      <c r="E240" s="116"/>
      <c r="F240" s="117" t="s">
        <v>970</v>
      </c>
      <c r="G240" s="137">
        <f>SUM(G224:G239)</f>
        <v>89312480</v>
      </c>
      <c r="H240" s="588"/>
      <c r="I240" s="587"/>
      <c r="J240" s="587"/>
      <c r="K240" s="587"/>
      <c r="L240" s="589"/>
      <c r="M240" s="590"/>
      <c r="N240" s="591"/>
      <c r="O240" s="95"/>
      <c r="P240" s="579"/>
      <c r="Q240" s="580"/>
      <c r="R240" s="580"/>
      <c r="S240" s="581"/>
      <c r="T240" s="582"/>
      <c r="U240" s="79"/>
      <c r="V240" s="621"/>
      <c r="W240" s="808"/>
      <c r="X240" s="44"/>
      <c r="Y240" s="44"/>
      <c r="Z240" s="44"/>
      <c r="AA240" s="44"/>
      <c r="AB240" s="44"/>
    </row>
    <row r="241" spans="1:28" s="45" customFormat="1">
      <c r="A241" s="586"/>
      <c r="B241" s="771"/>
      <c r="C241" s="102"/>
      <c r="D241" s="772"/>
      <c r="E241" s="780"/>
      <c r="F241" s="587"/>
      <c r="G241" s="774"/>
      <c r="H241" s="588"/>
      <c r="I241" s="587"/>
      <c r="J241" s="587"/>
      <c r="K241" s="587"/>
      <c r="L241" s="589"/>
      <c r="M241" s="590"/>
      <c r="N241" s="591"/>
      <c r="O241" s="95"/>
      <c r="P241" s="579"/>
      <c r="Q241" s="580"/>
      <c r="R241" s="580"/>
      <c r="S241" s="581"/>
      <c r="T241" s="582"/>
      <c r="U241" s="79"/>
      <c r="V241" s="621"/>
      <c r="W241" s="808"/>
      <c r="X241" s="44"/>
      <c r="Y241" s="44"/>
      <c r="Z241" s="44"/>
      <c r="AA241" s="44"/>
      <c r="AB241" s="44"/>
    </row>
    <row r="242" spans="1:28" s="45" customFormat="1" ht="15.75" thickBot="1">
      <c r="A242" s="127" t="s">
        <v>82</v>
      </c>
      <c r="B242" s="871"/>
      <c r="C242" s="871"/>
      <c r="D242" s="873"/>
      <c r="E242" s="874"/>
      <c r="F242" s="875" t="s">
        <v>971</v>
      </c>
      <c r="G242" s="872">
        <f>+G221+G240</f>
        <v>386087267</v>
      </c>
      <c r="H242" s="576">
        <v>38048</v>
      </c>
      <c r="I242" s="25">
        <v>50520</v>
      </c>
      <c r="J242" s="25">
        <v>1</v>
      </c>
      <c r="K242" s="25">
        <v>1</v>
      </c>
      <c r="L242" s="28">
        <v>8083200</v>
      </c>
      <c r="M242" s="29">
        <v>6087680</v>
      </c>
      <c r="N242" s="29">
        <v>6087680</v>
      </c>
      <c r="O242" s="95"/>
      <c r="P242" s="96"/>
      <c r="Q242" s="97">
        <v>36283</v>
      </c>
      <c r="R242" s="97">
        <v>725664</v>
      </c>
      <c r="S242" s="98">
        <v>5325664</v>
      </c>
      <c r="T242" s="99"/>
      <c r="U242" s="79"/>
      <c r="V242" s="621">
        <v>48</v>
      </c>
      <c r="W242" s="808"/>
      <c r="X242" s="44"/>
      <c r="Y242" s="44"/>
      <c r="Z242" s="44"/>
      <c r="AA242" s="44"/>
      <c r="AB242" s="44"/>
    </row>
    <row r="243" spans="1:28" s="45" customFormat="1" ht="15.75" thickBot="1">
      <c r="A243" s="143">
        <v>210134</v>
      </c>
      <c r="B243" s="139"/>
      <c r="C243" s="140"/>
      <c r="D243" s="141"/>
      <c r="E243" s="142"/>
      <c r="F243" s="25"/>
      <c r="G243" s="792">
        <f t="shared" ref="G243" si="51">+F243*E243</f>
        <v>0</v>
      </c>
      <c r="H243" s="576">
        <v>827142</v>
      </c>
      <c r="I243" s="25">
        <v>1098279</v>
      </c>
      <c r="J243" s="25">
        <v>1</v>
      </c>
      <c r="K243" s="25">
        <v>7</v>
      </c>
      <c r="L243" s="28">
        <v>85665762</v>
      </c>
      <c r="M243" s="29">
        <v>64517076</v>
      </c>
      <c r="N243" s="29">
        <v>64517076</v>
      </c>
      <c r="O243" s="95"/>
      <c r="P243" s="96"/>
      <c r="Q243" s="97">
        <v>1112574</v>
      </c>
      <c r="R243" s="97">
        <v>22251487</v>
      </c>
      <c r="S243" s="98">
        <v>41153018</v>
      </c>
      <c r="T243" s="99"/>
      <c r="U243" s="79"/>
      <c r="V243" s="621">
        <v>49</v>
      </c>
      <c r="W243" s="808"/>
      <c r="X243" s="44"/>
      <c r="Y243" s="44"/>
      <c r="Z243" s="44"/>
      <c r="AA243" s="44"/>
      <c r="AB243" s="44"/>
    </row>
    <row r="244" spans="1:28" s="45" customFormat="1">
      <c r="A244" s="584"/>
      <c r="B244" s="74">
        <v>8</v>
      </c>
      <c r="C244" s="75" t="s">
        <v>1023</v>
      </c>
      <c r="D244" s="76"/>
      <c r="E244" s="76"/>
      <c r="F244" s="76"/>
      <c r="G244" s="126"/>
      <c r="H244" s="576"/>
      <c r="I244" s="575"/>
      <c r="J244" s="575"/>
      <c r="K244" s="575"/>
      <c r="L244" s="577"/>
      <c r="M244" s="578"/>
      <c r="N244" s="585"/>
      <c r="O244" s="95"/>
      <c r="P244" s="579"/>
      <c r="Q244" s="580"/>
      <c r="R244" s="580"/>
      <c r="S244" s="581"/>
      <c r="T244" s="582"/>
      <c r="U244" s="79"/>
      <c r="V244" s="621"/>
      <c r="W244" s="808"/>
      <c r="X244" s="44"/>
      <c r="Y244" s="44"/>
      <c r="Z244" s="44"/>
      <c r="AA244" s="44"/>
      <c r="AB244" s="44"/>
    </row>
    <row r="245" spans="1:28" s="45" customFormat="1">
      <c r="A245" s="584"/>
      <c r="B245" s="771"/>
      <c r="C245" s="788" t="s">
        <v>947</v>
      </c>
      <c r="D245" s="772"/>
      <c r="E245" s="773"/>
      <c r="F245" s="587"/>
      <c r="G245" s="774"/>
      <c r="H245" s="576"/>
      <c r="I245" s="575"/>
      <c r="J245" s="575"/>
      <c r="K245" s="575"/>
      <c r="L245" s="577"/>
      <c r="M245" s="578"/>
      <c r="N245" s="585"/>
      <c r="O245" s="95"/>
      <c r="P245" s="579"/>
      <c r="Q245" s="580"/>
      <c r="R245" s="580"/>
      <c r="S245" s="581"/>
      <c r="T245" s="582"/>
      <c r="U245" s="79"/>
      <c r="V245" s="621"/>
      <c r="W245" s="808"/>
      <c r="X245" s="44"/>
      <c r="Y245" s="44"/>
      <c r="Z245" s="44"/>
      <c r="AA245" s="44"/>
      <c r="AB245" s="44"/>
    </row>
    <row r="246" spans="1:28" s="45" customFormat="1">
      <c r="A246" s="584"/>
      <c r="B246" s="771">
        <v>8.1</v>
      </c>
      <c r="C246" s="102" t="s">
        <v>943</v>
      </c>
      <c r="D246" s="772" t="s">
        <v>139</v>
      </c>
      <c r="E246" s="587">
        <v>550</v>
      </c>
      <c r="F246" s="587">
        <v>2610</v>
      </c>
      <c r="G246" s="587">
        <f>+E246*F246</f>
        <v>1435500</v>
      </c>
      <c r="H246" s="576"/>
      <c r="I246" s="575"/>
      <c r="J246" s="575"/>
      <c r="K246" s="575"/>
      <c r="L246" s="577"/>
      <c r="M246" s="578"/>
      <c r="N246" s="585"/>
      <c r="O246" s="95"/>
      <c r="P246" s="579"/>
      <c r="Q246" s="580"/>
      <c r="R246" s="580"/>
      <c r="S246" s="581"/>
      <c r="T246" s="582"/>
      <c r="U246" s="79"/>
      <c r="V246" s="621"/>
      <c r="W246" s="808"/>
      <c r="X246" s="44"/>
      <c r="Y246" s="44"/>
      <c r="Z246" s="44"/>
      <c r="AA246" s="44"/>
      <c r="AB246" s="44"/>
    </row>
    <row r="247" spans="1:28" s="45" customFormat="1">
      <c r="A247" s="584"/>
      <c r="B247" s="771">
        <f>+B246+0.1</f>
        <v>8.1999999999999993</v>
      </c>
      <c r="C247" s="102" t="s">
        <v>1101</v>
      </c>
      <c r="D247" s="772" t="s">
        <v>139</v>
      </c>
      <c r="E247" s="587">
        <f>+E246</f>
        <v>550</v>
      </c>
      <c r="F247" s="587">
        <v>5190</v>
      </c>
      <c r="G247" s="587">
        <f t="shared" ref="G247:G249" si="52">+E247*F247</f>
        <v>2854500</v>
      </c>
      <c r="H247" s="576"/>
      <c r="I247" s="575"/>
      <c r="J247" s="575"/>
      <c r="K247" s="575"/>
      <c r="L247" s="577"/>
      <c r="M247" s="578"/>
      <c r="N247" s="585"/>
      <c r="O247" s="95"/>
      <c r="P247" s="579"/>
      <c r="Q247" s="580"/>
      <c r="R247" s="580"/>
      <c r="S247" s="581"/>
      <c r="T247" s="582"/>
      <c r="U247" s="79"/>
      <c r="V247" s="621"/>
      <c r="W247" s="808"/>
      <c r="X247" s="44"/>
      <c r="Y247" s="44"/>
      <c r="Z247" s="44"/>
      <c r="AA247" s="44"/>
      <c r="AB247" s="44"/>
    </row>
    <row r="248" spans="1:28" s="45" customFormat="1">
      <c r="A248" s="584"/>
      <c r="B248" s="771">
        <f t="shared" ref="B248:B250" si="53">+B247+0.1</f>
        <v>8.2999999999999989</v>
      </c>
      <c r="C248" s="102" t="s">
        <v>497</v>
      </c>
      <c r="D248" s="777" t="s">
        <v>56</v>
      </c>
      <c r="E248" s="587">
        <v>163</v>
      </c>
      <c r="F248" s="587">
        <v>17220</v>
      </c>
      <c r="G248" s="587">
        <f t="shared" si="52"/>
        <v>2806860</v>
      </c>
      <c r="H248" s="576"/>
      <c r="I248" s="575"/>
      <c r="J248" s="575"/>
      <c r="K248" s="575"/>
      <c r="L248" s="577"/>
      <c r="M248" s="578"/>
      <c r="N248" s="585"/>
      <c r="O248" s="95"/>
      <c r="P248" s="579"/>
      <c r="Q248" s="580"/>
      <c r="R248" s="580"/>
      <c r="S248" s="581"/>
      <c r="T248" s="582"/>
      <c r="U248" s="79"/>
      <c r="V248" s="621"/>
      <c r="W248" s="808"/>
      <c r="X248" s="44"/>
      <c r="Y248" s="44"/>
      <c r="Z248" s="44"/>
      <c r="AA248" s="44"/>
      <c r="AB248" s="44"/>
    </row>
    <row r="249" spans="1:28" s="45" customFormat="1">
      <c r="A249" s="584"/>
      <c r="B249" s="771">
        <f t="shared" si="53"/>
        <v>8.3999999999999986</v>
      </c>
      <c r="C249" s="782" t="s">
        <v>1003</v>
      </c>
      <c r="D249" s="790" t="s">
        <v>139</v>
      </c>
      <c r="E249" s="780">
        <v>55</v>
      </c>
      <c r="F249" s="587">
        <v>393333</v>
      </c>
      <c r="G249" s="587">
        <f t="shared" si="52"/>
        <v>21633315</v>
      </c>
      <c r="H249" s="576"/>
      <c r="I249" s="575"/>
      <c r="J249" s="575"/>
      <c r="K249" s="575"/>
      <c r="L249" s="577"/>
      <c r="M249" s="578"/>
      <c r="N249" s="585"/>
      <c r="O249" s="95"/>
      <c r="P249" s="579"/>
      <c r="Q249" s="580"/>
      <c r="R249" s="580"/>
      <c r="S249" s="581"/>
      <c r="T249" s="582"/>
      <c r="U249" s="79"/>
      <c r="V249" s="621"/>
      <c r="W249" s="808"/>
      <c r="X249" s="44"/>
      <c r="Y249" s="44"/>
      <c r="Z249" s="44"/>
      <c r="AA249" s="44"/>
      <c r="AB249" s="44"/>
    </row>
    <row r="250" spans="1:28" s="45" customFormat="1">
      <c r="A250" s="584"/>
      <c r="B250" s="771">
        <f t="shared" si="53"/>
        <v>8.4999999999999982</v>
      </c>
      <c r="C250" s="102" t="s">
        <v>976</v>
      </c>
      <c r="D250" s="772" t="s">
        <v>139</v>
      </c>
      <c r="E250" s="587">
        <v>9</v>
      </c>
      <c r="F250" s="837">
        <v>614040</v>
      </c>
      <c r="G250" s="587">
        <f>+E250*F250</f>
        <v>5526360</v>
      </c>
      <c r="H250" s="576"/>
      <c r="I250" s="575"/>
      <c r="J250" s="575"/>
      <c r="K250" s="575"/>
      <c r="L250" s="577"/>
      <c r="M250" s="578"/>
      <c r="N250" s="585"/>
      <c r="O250" s="95"/>
      <c r="P250" s="579"/>
      <c r="Q250" s="580"/>
      <c r="R250" s="580"/>
      <c r="S250" s="581"/>
      <c r="T250" s="582"/>
      <c r="U250" s="79"/>
      <c r="V250" s="621"/>
      <c r="W250" s="808"/>
      <c r="X250" s="44"/>
      <c r="Y250" s="44"/>
      <c r="Z250" s="44"/>
      <c r="AA250" s="44"/>
      <c r="AB250" s="44"/>
    </row>
    <row r="251" spans="1:28" s="45" customFormat="1">
      <c r="A251" s="584"/>
      <c r="B251" s="771"/>
      <c r="C251" s="102"/>
      <c r="D251" s="772" t="s">
        <v>139</v>
      </c>
      <c r="E251" s="587"/>
      <c r="F251" s="587">
        <v>594610</v>
      </c>
      <c r="G251" s="587">
        <f>+E251*F251</f>
        <v>0</v>
      </c>
      <c r="H251" s="576"/>
      <c r="I251" s="575"/>
      <c r="J251" s="575"/>
      <c r="K251" s="575"/>
      <c r="L251" s="577"/>
      <c r="M251" s="578"/>
      <c r="N251" s="585"/>
      <c r="O251" s="95"/>
      <c r="P251" s="579"/>
      <c r="Q251" s="580"/>
      <c r="R251" s="580"/>
      <c r="S251" s="581"/>
      <c r="T251" s="582"/>
      <c r="U251" s="79"/>
      <c r="V251" s="621"/>
      <c r="W251" s="808"/>
      <c r="X251" s="44"/>
      <c r="Y251" s="44"/>
      <c r="Z251" s="44"/>
      <c r="AA251" s="44"/>
      <c r="AB251" s="44"/>
    </row>
    <row r="252" spans="1:28" s="45" customFormat="1" ht="15.75" thickBot="1">
      <c r="A252" s="584"/>
      <c r="B252" s="771"/>
      <c r="C252" s="114"/>
      <c r="D252" s="115"/>
      <c r="E252" s="116"/>
      <c r="F252" s="117" t="s">
        <v>1099</v>
      </c>
      <c r="G252" s="137">
        <f>SUM(G245:G251)</f>
        <v>34256535</v>
      </c>
      <c r="H252" s="576"/>
      <c r="I252" s="575"/>
      <c r="J252" s="575"/>
      <c r="K252" s="575"/>
      <c r="L252" s="577"/>
      <c r="M252" s="578"/>
      <c r="N252" s="585"/>
      <c r="O252" s="95"/>
      <c r="P252" s="579"/>
      <c r="Q252" s="580"/>
      <c r="R252" s="580"/>
      <c r="S252" s="581"/>
      <c r="T252" s="582"/>
      <c r="U252" s="79"/>
      <c r="V252" s="621"/>
      <c r="W252" s="808"/>
      <c r="X252" s="44"/>
      <c r="Y252" s="44"/>
      <c r="Z252" s="44"/>
      <c r="AA252" s="44"/>
      <c r="AB252" s="44"/>
    </row>
    <row r="253" spans="1:28" s="45" customFormat="1">
      <c r="A253" s="584"/>
      <c r="B253" s="771"/>
      <c r="C253" s="102"/>
      <c r="D253" s="772"/>
      <c r="E253" s="587"/>
      <c r="F253" s="587"/>
      <c r="G253" s="587"/>
      <c r="H253" s="576"/>
      <c r="I253" s="575"/>
      <c r="J253" s="575"/>
      <c r="K253" s="575"/>
      <c r="L253" s="577"/>
      <c r="M253" s="578"/>
      <c r="N253" s="585"/>
      <c r="O253" s="95"/>
      <c r="P253" s="579"/>
      <c r="Q253" s="580"/>
      <c r="R253" s="580"/>
      <c r="S253" s="581"/>
      <c r="T253" s="582"/>
      <c r="U253" s="79"/>
      <c r="V253" s="621"/>
      <c r="W253" s="808"/>
      <c r="X253" s="44"/>
      <c r="Y253" s="44"/>
      <c r="Z253" s="44"/>
      <c r="AA253" s="44"/>
      <c r="AB253" s="44"/>
    </row>
    <row r="254" spans="1:28" s="45" customFormat="1">
      <c r="A254" s="584"/>
      <c r="B254" s="771">
        <f>+B250+0.1</f>
        <v>8.5999999999999979</v>
      </c>
      <c r="C254" s="102" t="s">
        <v>522</v>
      </c>
      <c r="D254" s="777" t="s">
        <v>142</v>
      </c>
      <c r="E254" s="780">
        <v>5000</v>
      </c>
      <c r="F254" s="891">
        <v>3201</v>
      </c>
      <c r="G254" s="587">
        <f>+E254*F256</f>
        <v>22500000</v>
      </c>
      <c r="H254" s="576"/>
      <c r="I254" s="575"/>
      <c r="J254" s="575"/>
      <c r="K254" s="575"/>
      <c r="L254" s="577"/>
      <c r="M254" s="578"/>
      <c r="N254" s="585"/>
      <c r="O254" s="95"/>
      <c r="P254" s="579"/>
      <c r="Q254" s="580"/>
      <c r="R254" s="580"/>
      <c r="S254" s="581"/>
      <c r="T254" s="582"/>
      <c r="U254" s="79"/>
      <c r="V254" s="621"/>
      <c r="W254" s="808"/>
      <c r="X254" s="44"/>
      <c r="Y254" s="44"/>
      <c r="Z254" s="44"/>
      <c r="AA254" s="44"/>
      <c r="AB254" s="44"/>
    </row>
    <row r="255" spans="1:28" s="45" customFormat="1">
      <c r="A255" s="584"/>
      <c r="B255" s="771">
        <f>+B254+0.1</f>
        <v>8.6999999999999975</v>
      </c>
      <c r="C255" s="102" t="s">
        <v>508</v>
      </c>
      <c r="D255" s="777" t="s">
        <v>500</v>
      </c>
      <c r="E255" s="780">
        <v>90</v>
      </c>
      <c r="F255" s="891">
        <v>18420</v>
      </c>
      <c r="G255" s="587">
        <f t="shared" ref="G255" si="54">E255*F255</f>
        <v>1657800</v>
      </c>
      <c r="H255" s="576"/>
      <c r="I255" s="575"/>
      <c r="J255" s="575"/>
      <c r="K255" s="575"/>
      <c r="L255" s="577"/>
      <c r="M255" s="578"/>
      <c r="N255" s="585"/>
      <c r="O255" s="95"/>
      <c r="P255" s="579"/>
      <c r="Q255" s="580"/>
      <c r="R255" s="580"/>
      <c r="S255" s="581"/>
      <c r="T255" s="582"/>
      <c r="U255" s="79"/>
      <c r="V255" s="621"/>
      <c r="W255" s="808"/>
      <c r="X255" s="44"/>
      <c r="Y255" s="44"/>
      <c r="Z255" s="44"/>
      <c r="AA255" s="44"/>
      <c r="AB255" s="44"/>
    </row>
    <row r="256" spans="1:28" s="45" customFormat="1">
      <c r="A256" s="584"/>
      <c r="B256" s="771">
        <f>+B255+0.1</f>
        <v>8.7999999999999972</v>
      </c>
      <c r="C256" s="102" t="s">
        <v>942</v>
      </c>
      <c r="D256" s="777" t="s">
        <v>56</v>
      </c>
      <c r="E256" s="780">
        <v>92</v>
      </c>
      <c r="F256" s="891">
        <v>4500</v>
      </c>
      <c r="G256" s="587">
        <f t="shared" ref="G256:G257" si="55">+E256*F257</f>
        <v>5800600</v>
      </c>
      <c r="H256" s="576"/>
      <c r="I256" s="575"/>
      <c r="J256" s="575"/>
      <c r="K256" s="575"/>
      <c r="L256" s="577"/>
      <c r="M256" s="578"/>
      <c r="N256" s="585"/>
      <c r="O256" s="95"/>
      <c r="P256" s="579"/>
      <c r="Q256" s="580"/>
      <c r="R256" s="580"/>
      <c r="S256" s="581"/>
      <c r="T256" s="582"/>
      <c r="U256" s="79"/>
      <c r="V256" s="621"/>
      <c r="W256" s="808"/>
      <c r="X256" s="44"/>
      <c r="Y256" s="44"/>
      <c r="Z256" s="44"/>
      <c r="AA256" s="44"/>
      <c r="AB256" s="44"/>
    </row>
    <row r="257" spans="1:28" s="45" customFormat="1">
      <c r="A257" s="584"/>
      <c r="B257" s="844">
        <v>8.9</v>
      </c>
      <c r="C257" s="102" t="s">
        <v>984</v>
      </c>
      <c r="D257" s="777" t="s">
        <v>139</v>
      </c>
      <c r="E257" s="780">
        <v>11</v>
      </c>
      <c r="F257" s="892">
        <v>63050</v>
      </c>
      <c r="G257" s="587">
        <f t="shared" si="55"/>
        <v>322630</v>
      </c>
      <c r="H257" s="576"/>
      <c r="I257" s="575"/>
      <c r="J257" s="575"/>
      <c r="K257" s="575"/>
      <c r="L257" s="577"/>
      <c r="M257" s="578"/>
      <c r="N257" s="585"/>
      <c r="O257" s="95"/>
      <c r="P257" s="579"/>
      <c r="Q257" s="580"/>
      <c r="R257" s="580"/>
      <c r="S257" s="581"/>
      <c r="T257" s="582"/>
      <c r="U257" s="79"/>
      <c r="V257" s="621"/>
      <c r="W257" s="808"/>
      <c r="X257" s="44"/>
      <c r="Y257" s="44"/>
      <c r="Z257" s="44"/>
      <c r="AA257" s="44"/>
      <c r="AB257" s="44"/>
    </row>
    <row r="258" spans="1:28" s="45" customFormat="1">
      <c r="A258" s="584"/>
      <c r="B258" s="779">
        <v>8.1</v>
      </c>
      <c r="C258" s="102" t="s">
        <v>946</v>
      </c>
      <c r="D258" s="777" t="s">
        <v>540</v>
      </c>
      <c r="E258" s="780">
        <v>13</v>
      </c>
      <c r="F258" s="891">
        <v>29330</v>
      </c>
      <c r="G258" s="587">
        <f>+E258*F258</f>
        <v>381290</v>
      </c>
      <c r="H258" s="576"/>
      <c r="I258" s="575"/>
      <c r="J258" s="575"/>
      <c r="K258" s="575"/>
      <c r="L258" s="577"/>
      <c r="M258" s="578"/>
      <c r="N258" s="585"/>
      <c r="O258" s="95"/>
      <c r="P258" s="579"/>
      <c r="Q258" s="580"/>
      <c r="R258" s="580"/>
      <c r="S258" s="581"/>
      <c r="T258" s="582"/>
      <c r="U258" s="79"/>
      <c r="V258" s="621"/>
      <c r="W258" s="808"/>
      <c r="X258" s="44"/>
      <c r="Y258" s="44"/>
      <c r="Z258" s="44"/>
      <c r="AA258" s="44"/>
      <c r="AB258" s="44"/>
    </row>
    <row r="259" spans="1:28" s="45" customFormat="1" ht="29.25" customHeight="1">
      <c r="A259" s="584"/>
      <c r="B259" s="779">
        <v>8.11</v>
      </c>
      <c r="C259" s="782" t="s">
        <v>1102</v>
      </c>
      <c r="D259" s="772" t="s">
        <v>22</v>
      </c>
      <c r="E259" s="587">
        <v>4</v>
      </c>
      <c r="F259" s="891">
        <v>1240272</v>
      </c>
      <c r="G259" s="587">
        <f t="shared" ref="G259:G266" si="56">+E259*F259</f>
        <v>4961088</v>
      </c>
      <c r="H259" s="576"/>
      <c r="I259" s="575"/>
      <c r="J259" s="575"/>
      <c r="K259" s="575"/>
      <c r="L259" s="577"/>
      <c r="M259" s="578"/>
      <c r="N259" s="585"/>
      <c r="O259" s="95"/>
      <c r="P259" s="579"/>
      <c r="Q259" s="580"/>
      <c r="R259" s="580"/>
      <c r="S259" s="581"/>
      <c r="T259" s="582"/>
      <c r="U259" s="79"/>
      <c r="V259" s="621"/>
      <c r="W259" s="808">
        <f>700000+162000+110000</f>
        <v>972000</v>
      </c>
      <c r="X259" s="44">
        <f>+W259*1.16*1.1</f>
        <v>1240272</v>
      </c>
      <c r="Y259" s="44"/>
      <c r="Z259" s="44"/>
      <c r="AA259" s="44"/>
      <c r="AB259" s="44"/>
    </row>
    <row r="260" spans="1:28" s="45" customFormat="1">
      <c r="A260" s="584"/>
      <c r="B260" s="779">
        <v>8.1199999999999992</v>
      </c>
      <c r="C260" s="782" t="s">
        <v>1108</v>
      </c>
      <c r="D260" s="777" t="s">
        <v>22</v>
      </c>
      <c r="E260" s="587">
        <v>12</v>
      </c>
      <c r="F260" s="891">
        <v>40312</v>
      </c>
      <c r="G260" s="587">
        <f t="shared" si="56"/>
        <v>483744</v>
      </c>
      <c r="H260" s="576"/>
      <c r="I260" s="575"/>
      <c r="J260" s="575"/>
      <c r="K260" s="575"/>
      <c r="L260" s="577"/>
      <c r="M260" s="578"/>
      <c r="N260" s="585"/>
      <c r="O260" s="95"/>
      <c r="P260" s="579"/>
      <c r="Q260" s="580"/>
      <c r="R260" s="580"/>
      <c r="S260" s="581"/>
      <c r="T260" s="582"/>
      <c r="U260" s="79"/>
      <c r="V260" s="621"/>
      <c r="W260" s="808"/>
      <c r="X260" s="44"/>
      <c r="Y260" s="44"/>
      <c r="Z260" s="44"/>
      <c r="AA260" s="44"/>
      <c r="AB260" s="44"/>
    </row>
    <row r="261" spans="1:28" s="45" customFormat="1">
      <c r="A261" s="584"/>
      <c r="B261" s="779">
        <f>+B260+0.01</f>
        <v>8.129999999999999</v>
      </c>
      <c r="C261" s="102" t="s">
        <v>1107</v>
      </c>
      <c r="D261" s="790" t="s">
        <v>22</v>
      </c>
      <c r="E261" s="587">
        <v>28</v>
      </c>
      <c r="F261" s="891">
        <v>10810</v>
      </c>
      <c r="G261" s="587">
        <f t="shared" si="56"/>
        <v>302680</v>
      </c>
      <c r="H261" s="576"/>
      <c r="I261" s="575"/>
      <c r="J261" s="575"/>
      <c r="K261" s="575"/>
      <c r="L261" s="577"/>
      <c r="M261" s="578"/>
      <c r="N261" s="585"/>
      <c r="O261" s="95"/>
      <c r="P261" s="579"/>
      <c r="Q261" s="580"/>
      <c r="R261" s="580"/>
      <c r="S261" s="581"/>
      <c r="T261" s="582"/>
      <c r="U261" s="79"/>
      <c r="V261" s="621"/>
      <c r="W261" s="890">
        <v>33593</v>
      </c>
      <c r="X261" s="44">
        <f>+W261*1.2</f>
        <v>40311.599999999999</v>
      </c>
      <c r="Y261" s="44"/>
      <c r="Z261" s="44"/>
      <c r="AA261" s="44"/>
      <c r="AB261" s="44"/>
    </row>
    <row r="262" spans="1:28" s="45" customFormat="1" ht="16.5">
      <c r="A262" s="584"/>
      <c r="B262" s="779">
        <f t="shared" ref="B262:B266" si="57">+B261+0.01</f>
        <v>8.1399999999999988</v>
      </c>
      <c r="C262" s="102" t="s">
        <v>1103</v>
      </c>
      <c r="D262" s="772" t="s">
        <v>500</v>
      </c>
      <c r="E262" s="587">
        <v>86</v>
      </c>
      <c r="F262" s="893">
        <v>22800</v>
      </c>
      <c r="G262" s="587">
        <f t="shared" si="56"/>
        <v>1960800</v>
      </c>
      <c r="H262" s="576"/>
      <c r="I262" s="575"/>
      <c r="J262" s="575"/>
      <c r="K262" s="575"/>
      <c r="L262" s="577"/>
      <c r="M262" s="578"/>
      <c r="N262" s="585"/>
      <c r="O262" s="95"/>
      <c r="P262" s="579"/>
      <c r="Q262" s="580"/>
      <c r="R262" s="580"/>
      <c r="S262" s="581"/>
      <c r="T262" s="582"/>
      <c r="U262" s="79"/>
      <c r="V262" s="621"/>
      <c r="W262" s="808"/>
      <c r="X262" s="44"/>
      <c r="Y262" s="44"/>
      <c r="Z262" s="44"/>
      <c r="AA262" s="44"/>
      <c r="AB262" s="44"/>
    </row>
    <row r="263" spans="1:28" s="45" customFormat="1">
      <c r="A263" s="584"/>
      <c r="B263" s="779">
        <f t="shared" si="57"/>
        <v>8.1499999999999986</v>
      </c>
      <c r="C263" s="782" t="s">
        <v>1106</v>
      </c>
      <c r="D263" s="777" t="s">
        <v>139</v>
      </c>
      <c r="E263" s="587">
        <v>44</v>
      </c>
      <c r="F263" s="892">
        <v>63050</v>
      </c>
      <c r="G263" s="587">
        <f t="shared" si="56"/>
        <v>2774200</v>
      </c>
      <c r="H263" s="576"/>
      <c r="I263" s="575"/>
      <c r="J263" s="575"/>
      <c r="K263" s="575"/>
      <c r="L263" s="577"/>
      <c r="M263" s="578"/>
      <c r="N263" s="585"/>
      <c r="O263" s="95"/>
      <c r="P263" s="579"/>
      <c r="Q263" s="580"/>
      <c r="R263" s="580"/>
      <c r="S263" s="581"/>
      <c r="T263" s="582"/>
      <c r="U263" s="79"/>
      <c r="V263" s="621"/>
      <c r="W263" s="808"/>
      <c r="X263" s="44"/>
      <c r="Y263" s="44"/>
      <c r="Z263" s="44"/>
      <c r="AA263" s="44"/>
      <c r="AB263" s="44"/>
    </row>
    <row r="264" spans="1:28" s="45" customFormat="1">
      <c r="A264" s="584"/>
      <c r="B264" s="779">
        <f t="shared" si="57"/>
        <v>8.1599999999999984</v>
      </c>
      <c r="C264" s="782" t="s">
        <v>166</v>
      </c>
      <c r="D264" s="777" t="s">
        <v>139</v>
      </c>
      <c r="E264" s="587">
        <v>38</v>
      </c>
      <c r="F264" s="891">
        <v>43840</v>
      </c>
      <c r="G264" s="587">
        <f t="shared" si="56"/>
        <v>1665920</v>
      </c>
      <c r="H264" s="576"/>
      <c r="I264" s="575"/>
      <c r="J264" s="575"/>
      <c r="K264" s="575"/>
      <c r="L264" s="577"/>
      <c r="M264" s="578"/>
      <c r="N264" s="585"/>
      <c r="O264" s="95"/>
      <c r="P264" s="579"/>
      <c r="Q264" s="580"/>
      <c r="R264" s="580"/>
      <c r="S264" s="581"/>
      <c r="T264" s="582"/>
      <c r="U264" s="79"/>
      <c r="V264" s="621"/>
      <c r="W264" s="808"/>
      <c r="X264" s="44"/>
      <c r="Y264" s="44"/>
      <c r="Z264" s="44"/>
      <c r="AA264" s="44"/>
      <c r="AB264" s="44"/>
    </row>
    <row r="265" spans="1:28" s="45" customFormat="1" ht="25.5">
      <c r="A265" s="584"/>
      <c r="B265" s="779">
        <f t="shared" si="57"/>
        <v>8.1699999999999982</v>
      </c>
      <c r="C265" s="782" t="s">
        <v>1105</v>
      </c>
      <c r="D265" s="777" t="s">
        <v>56</v>
      </c>
      <c r="E265" s="782">
        <v>144</v>
      </c>
      <c r="F265" s="893">
        <v>30890</v>
      </c>
      <c r="G265" s="587">
        <f t="shared" si="56"/>
        <v>4448160</v>
      </c>
      <c r="H265" s="576"/>
      <c r="I265" s="575"/>
      <c r="J265" s="575"/>
      <c r="K265" s="575"/>
      <c r="L265" s="577"/>
      <c r="M265" s="578"/>
      <c r="N265" s="585"/>
      <c r="O265" s="95"/>
      <c r="P265" s="579"/>
      <c r="Q265" s="580"/>
      <c r="R265" s="580"/>
      <c r="S265" s="581"/>
      <c r="T265" s="582"/>
      <c r="U265" s="79"/>
      <c r="V265" s="621"/>
      <c r="W265" s="808">
        <v>26500</v>
      </c>
      <c r="X265" s="894"/>
      <c r="Y265" s="44"/>
      <c r="Z265" s="44"/>
      <c r="AA265" s="44"/>
      <c r="AB265" s="44"/>
    </row>
    <row r="266" spans="1:28" s="45" customFormat="1" ht="16.5">
      <c r="A266" s="584"/>
      <c r="B266" s="779">
        <f t="shared" si="57"/>
        <v>8.1799999999999979</v>
      </c>
      <c r="C266" s="782" t="s">
        <v>1104</v>
      </c>
      <c r="D266" s="846" t="s">
        <v>22</v>
      </c>
      <c r="E266" s="782">
        <v>4</v>
      </c>
      <c r="F266" s="893">
        <v>158050</v>
      </c>
      <c r="G266" s="587">
        <f t="shared" si="56"/>
        <v>632200</v>
      </c>
      <c r="H266" s="576"/>
      <c r="I266" s="575"/>
      <c r="J266" s="575"/>
      <c r="K266" s="575"/>
      <c r="L266" s="577"/>
      <c r="M266" s="578"/>
      <c r="N266" s="585"/>
      <c r="O266" s="95"/>
      <c r="P266" s="579"/>
      <c r="Q266" s="580"/>
      <c r="R266" s="580"/>
      <c r="S266" s="581"/>
      <c r="T266" s="582"/>
      <c r="U266" s="79"/>
      <c r="V266" s="621"/>
      <c r="W266" s="890">
        <v>158050</v>
      </c>
      <c r="X266" s="44"/>
      <c r="Y266" s="44"/>
      <c r="Z266" s="44"/>
      <c r="AA266" s="44"/>
      <c r="AB266" s="44"/>
    </row>
    <row r="267" spans="1:28" s="45" customFormat="1" ht="15.75" thickBot="1">
      <c r="A267" s="584"/>
      <c r="B267" s="592"/>
      <c r="C267" s="114"/>
      <c r="D267" s="115"/>
      <c r="E267" s="116"/>
      <c r="F267" s="117" t="s">
        <v>1100</v>
      </c>
      <c r="G267" s="137">
        <f>SUM(G254:G266)</f>
        <v>47891112</v>
      </c>
      <c r="H267" s="576"/>
      <c r="I267" s="575"/>
      <c r="J267" s="575"/>
      <c r="K267" s="575"/>
      <c r="L267" s="577"/>
      <c r="M267" s="578"/>
      <c r="N267" s="585"/>
      <c r="O267" s="95"/>
      <c r="P267" s="579"/>
      <c r="Q267" s="580"/>
      <c r="R267" s="580"/>
      <c r="S267" s="581"/>
      <c r="T267" s="582"/>
      <c r="U267" s="79"/>
      <c r="V267" s="621"/>
      <c r="W267" s="808"/>
      <c r="X267" s="44"/>
      <c r="Y267" s="44"/>
      <c r="Z267" s="44"/>
      <c r="AA267" s="44"/>
      <c r="AB267" s="44"/>
    </row>
    <row r="268" spans="1:28" s="45" customFormat="1">
      <c r="A268" s="584"/>
      <c r="B268" s="592"/>
      <c r="C268" s="140"/>
      <c r="D268" s="23"/>
      <c r="E268" s="107"/>
      <c r="F268" s="25"/>
      <c r="G268" s="795"/>
      <c r="H268" s="576"/>
      <c r="I268" s="575"/>
      <c r="J268" s="575"/>
      <c r="K268" s="575"/>
      <c r="L268" s="577"/>
      <c r="M268" s="578"/>
      <c r="N268" s="585"/>
      <c r="O268" s="95"/>
      <c r="P268" s="579"/>
      <c r="Q268" s="580"/>
      <c r="R268" s="580"/>
      <c r="S268" s="581"/>
      <c r="T268" s="582"/>
      <c r="U268" s="79"/>
      <c r="V268" s="621"/>
      <c r="W268" s="808"/>
      <c r="X268" s="44"/>
      <c r="Y268" s="44"/>
      <c r="Z268" s="44"/>
      <c r="AA268" s="44"/>
      <c r="AB268" s="44"/>
    </row>
    <row r="269" spans="1:28" s="45" customFormat="1" ht="15.75" thickBot="1">
      <c r="A269" s="584"/>
      <c r="B269" s="1026"/>
      <c r="C269" s="871"/>
      <c r="D269" s="873"/>
      <c r="E269" s="874"/>
      <c r="F269" s="947" t="s">
        <v>1024</v>
      </c>
      <c r="G269" s="872">
        <f>+G267+G252</f>
        <v>82147647</v>
      </c>
      <c r="H269" s="576"/>
      <c r="I269" s="575"/>
      <c r="J269" s="575"/>
      <c r="K269" s="575"/>
      <c r="L269" s="577"/>
      <c r="M269" s="578"/>
      <c r="N269" s="585"/>
      <c r="O269" s="95"/>
      <c r="P269" s="579"/>
      <c r="Q269" s="580"/>
      <c r="R269" s="580"/>
      <c r="S269" s="581"/>
      <c r="T269" s="582"/>
      <c r="U269" s="79"/>
      <c r="V269" s="621"/>
      <c r="W269" s="808"/>
      <c r="X269" s="44"/>
      <c r="Y269" s="44"/>
      <c r="Z269" s="44"/>
      <c r="AA269" s="44"/>
      <c r="AB269" s="44"/>
    </row>
    <row r="270" spans="1:28" s="45" customFormat="1" ht="15.75" thickBot="1">
      <c r="A270" s="584"/>
      <c r="B270" s="592"/>
      <c r="C270" s="593"/>
      <c r="D270" s="827"/>
      <c r="E270" s="594"/>
      <c r="F270" s="575"/>
      <c r="G270" s="792"/>
      <c r="H270" s="576"/>
      <c r="I270" s="575"/>
      <c r="J270" s="575"/>
      <c r="K270" s="575"/>
      <c r="L270" s="577"/>
      <c r="M270" s="578"/>
      <c r="N270" s="585"/>
      <c r="O270" s="95"/>
      <c r="P270" s="579"/>
      <c r="Q270" s="580"/>
      <c r="R270" s="580"/>
      <c r="S270" s="581"/>
      <c r="T270" s="582"/>
      <c r="U270" s="79"/>
      <c r="V270" s="621"/>
      <c r="W270" s="808"/>
      <c r="X270" s="44"/>
      <c r="Y270" s="44"/>
      <c r="Z270" s="44"/>
      <c r="AA270" s="44"/>
      <c r="AB270" s="44"/>
    </row>
    <row r="271" spans="1:28" s="45" customFormat="1">
      <c r="A271" s="584"/>
      <c r="B271" s="592">
        <v>9</v>
      </c>
      <c r="C271" s="75" t="s">
        <v>1038</v>
      </c>
      <c r="D271" s="76"/>
      <c r="E271" s="76"/>
      <c r="F271" s="76"/>
      <c r="G271" s="126"/>
      <c r="H271" s="576"/>
      <c r="I271" s="575"/>
      <c r="J271" s="575"/>
      <c r="K271" s="575"/>
      <c r="L271" s="577"/>
      <c r="M271" s="578"/>
      <c r="N271" s="585"/>
      <c r="O271" s="95"/>
      <c r="P271" s="579"/>
      <c r="Q271" s="580"/>
      <c r="R271" s="580"/>
      <c r="S271" s="581"/>
      <c r="T271" s="582"/>
      <c r="U271" s="79"/>
      <c r="V271" s="621"/>
      <c r="W271" s="808"/>
      <c r="X271" s="44"/>
      <c r="Y271" s="44"/>
      <c r="Z271" s="44"/>
      <c r="AA271" s="44"/>
      <c r="AB271" s="44"/>
    </row>
    <row r="272" spans="1:28" s="45" customFormat="1">
      <c r="A272" s="584"/>
      <c r="B272" s="592">
        <v>9.1</v>
      </c>
      <c r="C272" s="102" t="s">
        <v>943</v>
      </c>
      <c r="D272" s="772" t="s">
        <v>139</v>
      </c>
      <c r="E272" s="587">
        <v>190</v>
      </c>
      <c r="F272" s="587">
        <v>2610</v>
      </c>
      <c r="G272" s="587">
        <f>+E272*F272</f>
        <v>495900</v>
      </c>
      <c r="H272" s="576"/>
      <c r="I272" s="575"/>
      <c r="J272" s="575"/>
      <c r="K272" s="575"/>
      <c r="L272" s="577"/>
      <c r="M272" s="578"/>
      <c r="N272" s="585"/>
      <c r="O272" s="95"/>
      <c r="P272" s="579"/>
      <c r="Q272" s="580"/>
      <c r="R272" s="580"/>
      <c r="S272" s="581"/>
      <c r="T272" s="582"/>
      <c r="U272" s="79"/>
      <c r="V272" s="621"/>
      <c r="W272" s="808"/>
      <c r="X272" s="44"/>
      <c r="Y272" s="44"/>
      <c r="Z272" s="44"/>
      <c r="AA272" s="44"/>
      <c r="AB272" s="44"/>
    </row>
    <row r="273" spans="1:28" s="45" customFormat="1">
      <c r="A273" s="584"/>
      <c r="B273" s="592">
        <v>9.1999999999999993</v>
      </c>
      <c r="C273" s="102" t="s">
        <v>1046</v>
      </c>
      <c r="D273" s="772"/>
      <c r="E273" s="587"/>
      <c r="F273" s="587"/>
      <c r="G273" s="587"/>
      <c r="H273" s="576"/>
      <c r="I273" s="575"/>
      <c r="J273" s="575"/>
      <c r="K273" s="575"/>
      <c r="L273" s="577"/>
      <c r="M273" s="578"/>
      <c r="N273" s="585"/>
      <c r="O273" s="95"/>
      <c r="P273" s="579"/>
      <c r="Q273" s="580"/>
      <c r="R273" s="580"/>
      <c r="S273" s="581"/>
      <c r="T273" s="582"/>
      <c r="U273" s="79"/>
      <c r="V273" s="621"/>
      <c r="W273" s="808"/>
      <c r="X273" s="44"/>
      <c r="Y273" s="44"/>
      <c r="Z273" s="44"/>
      <c r="AA273" s="44"/>
      <c r="AB273" s="44"/>
    </row>
    <row r="274" spans="1:28" s="45" customFormat="1">
      <c r="A274" s="584"/>
      <c r="B274" s="592" t="s">
        <v>1048</v>
      </c>
      <c r="C274" s="593" t="s">
        <v>1039</v>
      </c>
      <c r="D274" s="827" t="s">
        <v>56</v>
      </c>
      <c r="E274" s="594">
        <v>454</v>
      </c>
      <c r="F274" s="575">
        <v>34420</v>
      </c>
      <c r="G274" s="587">
        <f t="shared" ref="G274:G314" si="58">+E274*F274</f>
        <v>15626680</v>
      </c>
      <c r="H274" s="576"/>
      <c r="I274" s="575"/>
      <c r="J274" s="575"/>
      <c r="K274" s="575"/>
      <c r="L274" s="577"/>
      <c r="M274" s="578"/>
      <c r="N274" s="585"/>
      <c r="O274" s="95"/>
      <c r="P274" s="579"/>
      <c r="Q274" s="580"/>
      <c r="R274" s="580"/>
      <c r="S274" s="581"/>
      <c r="T274" s="582"/>
      <c r="U274" s="79"/>
      <c r="V274" s="621"/>
      <c r="W274" s="808"/>
      <c r="X274" s="44"/>
      <c r="Y274" s="44"/>
      <c r="Z274" s="44"/>
      <c r="AA274" s="44"/>
      <c r="AB274" s="44"/>
    </row>
    <row r="275" spans="1:28" s="45" customFormat="1">
      <c r="A275" s="584"/>
      <c r="B275" s="592">
        <v>9.3000000000000007</v>
      </c>
      <c r="C275" s="593" t="s">
        <v>1047</v>
      </c>
      <c r="D275" s="827"/>
      <c r="E275" s="594"/>
      <c r="F275" s="575"/>
      <c r="G275" s="587"/>
      <c r="H275" s="576"/>
      <c r="I275" s="575"/>
      <c r="J275" s="575"/>
      <c r="K275" s="575"/>
      <c r="L275" s="577"/>
      <c r="M275" s="578"/>
      <c r="N275" s="585"/>
      <c r="O275" s="95"/>
      <c r="P275" s="579"/>
      <c r="Q275" s="580"/>
      <c r="R275" s="580"/>
      <c r="S275" s="581"/>
      <c r="T275" s="582"/>
      <c r="U275" s="79"/>
      <c r="V275" s="621"/>
      <c r="W275" s="808"/>
      <c r="X275" s="44"/>
      <c r="Y275" s="44"/>
      <c r="Z275" s="44"/>
      <c r="AA275" s="44"/>
      <c r="AB275" s="44"/>
    </row>
    <row r="276" spans="1:28" s="45" customFormat="1" ht="25.5">
      <c r="A276" s="584"/>
      <c r="B276" s="592" t="s">
        <v>1049</v>
      </c>
      <c r="C276" s="593" t="s">
        <v>1040</v>
      </c>
      <c r="D276" s="827" t="s">
        <v>139</v>
      </c>
      <c r="E276" s="594">
        <v>6.84</v>
      </c>
      <c r="F276" s="575">
        <v>312309</v>
      </c>
      <c r="G276" s="587">
        <f t="shared" si="58"/>
        <v>2136193.56</v>
      </c>
      <c r="H276" s="576"/>
      <c r="I276" s="575"/>
      <c r="J276" s="575"/>
      <c r="K276" s="575"/>
      <c r="L276" s="577"/>
      <c r="M276" s="578"/>
      <c r="N276" s="585"/>
      <c r="O276" s="95"/>
      <c r="P276" s="579"/>
      <c r="Q276" s="580"/>
      <c r="R276" s="580"/>
      <c r="S276" s="581"/>
      <c r="T276" s="582"/>
      <c r="U276" s="79"/>
      <c r="V276" s="621"/>
      <c r="W276" s="808"/>
      <c r="X276" s="44"/>
      <c r="Y276" s="44"/>
      <c r="Z276" s="44"/>
      <c r="AA276" s="44"/>
      <c r="AB276" s="44"/>
    </row>
    <row r="277" spans="1:28" s="45" customFormat="1" ht="38.25">
      <c r="A277" s="584"/>
      <c r="B277" s="592" t="s">
        <v>1050</v>
      </c>
      <c r="C277" s="593" t="s">
        <v>1041</v>
      </c>
      <c r="D277" s="827" t="s">
        <v>500</v>
      </c>
      <c r="E277" s="594">
        <v>134</v>
      </c>
      <c r="F277" s="575">
        <v>21831</v>
      </c>
      <c r="G277" s="587">
        <f t="shared" si="58"/>
        <v>2925354</v>
      </c>
      <c r="H277" s="576"/>
      <c r="I277" s="575"/>
      <c r="J277" s="575"/>
      <c r="K277" s="575"/>
      <c r="L277" s="577"/>
      <c r="M277" s="578"/>
      <c r="N277" s="585"/>
      <c r="O277" s="95"/>
      <c r="P277" s="579"/>
      <c r="Q277" s="580"/>
      <c r="R277" s="580"/>
      <c r="S277" s="581"/>
      <c r="T277" s="582"/>
      <c r="U277" s="79"/>
      <c r="V277" s="621"/>
      <c r="W277" s="808"/>
      <c r="X277" s="44"/>
      <c r="Y277" s="44"/>
      <c r="Z277" s="44"/>
      <c r="AA277" s="44"/>
      <c r="AB277" s="44"/>
    </row>
    <row r="278" spans="1:28" s="45" customFormat="1" ht="25.5">
      <c r="A278" s="584"/>
      <c r="B278" s="592" t="s">
        <v>1051</v>
      </c>
      <c r="C278" s="593" t="s">
        <v>1042</v>
      </c>
      <c r="D278" s="827" t="s">
        <v>139</v>
      </c>
      <c r="E278" s="594">
        <v>13.7</v>
      </c>
      <c r="F278" s="575">
        <v>656039</v>
      </c>
      <c r="G278" s="587">
        <f t="shared" si="58"/>
        <v>8987734.2999999989</v>
      </c>
      <c r="H278" s="576"/>
      <c r="I278" s="575"/>
      <c r="J278" s="575"/>
      <c r="K278" s="575"/>
      <c r="L278" s="577"/>
      <c r="M278" s="578"/>
      <c r="N278" s="585"/>
      <c r="O278" s="95"/>
      <c r="P278" s="579"/>
      <c r="Q278" s="580"/>
      <c r="R278" s="580"/>
      <c r="S278" s="581"/>
      <c r="T278" s="582"/>
      <c r="U278" s="79"/>
      <c r="V278" s="621"/>
      <c r="W278" s="808"/>
      <c r="X278" s="44"/>
      <c r="Y278" s="44"/>
      <c r="Z278" s="44"/>
      <c r="AA278" s="44"/>
      <c r="AB278" s="44"/>
    </row>
    <row r="279" spans="1:28" s="45" customFormat="1" ht="25.5">
      <c r="A279" s="584"/>
      <c r="B279" s="592" t="s">
        <v>1052</v>
      </c>
      <c r="C279" s="593" t="s">
        <v>1043</v>
      </c>
      <c r="D279" s="827" t="s">
        <v>500</v>
      </c>
      <c r="E279" s="594">
        <v>134</v>
      </c>
      <c r="F279" s="575">
        <v>22250</v>
      </c>
      <c r="G279" s="587">
        <f t="shared" si="58"/>
        <v>2981500</v>
      </c>
      <c r="H279" s="576"/>
      <c r="I279" s="575"/>
      <c r="J279" s="575"/>
      <c r="K279" s="575"/>
      <c r="L279" s="577"/>
      <c r="M279" s="578"/>
      <c r="N279" s="585"/>
      <c r="O279" s="95"/>
      <c r="P279" s="579"/>
      <c r="Q279" s="580"/>
      <c r="R279" s="580"/>
      <c r="S279" s="581"/>
      <c r="T279" s="582"/>
      <c r="U279" s="79"/>
      <c r="V279" s="621"/>
      <c r="W279" s="808"/>
      <c r="X279" s="44"/>
      <c r="Y279" s="44"/>
      <c r="Z279" s="44"/>
      <c r="AA279" s="44"/>
      <c r="AB279" s="44"/>
    </row>
    <row r="280" spans="1:28" s="45" customFormat="1" ht="25.5">
      <c r="A280" s="584"/>
      <c r="B280" s="592" t="s">
        <v>1053</v>
      </c>
      <c r="C280" s="593" t="s">
        <v>1045</v>
      </c>
      <c r="D280" s="827" t="s">
        <v>139</v>
      </c>
      <c r="E280" s="594">
        <v>2.4</v>
      </c>
      <c r="F280" s="575">
        <v>640640</v>
      </c>
      <c r="G280" s="587">
        <f t="shared" si="58"/>
        <v>1537536</v>
      </c>
      <c r="H280" s="576"/>
      <c r="I280" s="575"/>
      <c r="J280" s="575"/>
      <c r="K280" s="575"/>
      <c r="L280" s="577"/>
      <c r="M280" s="578"/>
      <c r="N280" s="585"/>
      <c r="O280" s="95"/>
      <c r="P280" s="579"/>
      <c r="Q280" s="580"/>
      <c r="R280" s="580"/>
      <c r="S280" s="581"/>
      <c r="T280" s="582"/>
      <c r="U280" s="79"/>
      <c r="V280" s="621"/>
      <c r="W280" s="808"/>
      <c r="X280" s="44"/>
      <c r="Y280" s="44"/>
      <c r="Z280" s="44"/>
      <c r="AA280" s="44"/>
      <c r="AB280" s="44"/>
    </row>
    <row r="281" spans="1:28" s="45" customFormat="1">
      <c r="A281" s="584"/>
      <c r="B281" s="592">
        <v>9.4</v>
      </c>
      <c r="C281" s="593" t="s">
        <v>1054</v>
      </c>
      <c r="D281" s="827"/>
      <c r="E281" s="594"/>
      <c r="F281" s="575"/>
      <c r="G281" s="587"/>
      <c r="H281" s="576"/>
      <c r="I281" s="575"/>
      <c r="J281" s="575"/>
      <c r="K281" s="575"/>
      <c r="L281" s="577"/>
      <c r="M281" s="578"/>
      <c r="N281" s="585"/>
      <c r="O281" s="95"/>
      <c r="P281" s="579"/>
      <c r="Q281" s="580"/>
      <c r="R281" s="580"/>
      <c r="S281" s="581"/>
      <c r="T281" s="582"/>
      <c r="U281" s="79"/>
      <c r="V281" s="621"/>
      <c r="W281" s="808"/>
      <c r="X281" s="44"/>
      <c r="Y281" s="44"/>
      <c r="Z281" s="44"/>
      <c r="AA281" s="44"/>
      <c r="AB281" s="44"/>
    </row>
    <row r="282" spans="1:28" s="45" customFormat="1">
      <c r="A282" s="584"/>
      <c r="B282" s="592" t="s">
        <v>1055</v>
      </c>
      <c r="C282" s="102" t="s">
        <v>522</v>
      </c>
      <c r="D282" s="777" t="s">
        <v>142</v>
      </c>
      <c r="E282" s="780">
        <v>3950</v>
      </c>
      <c r="F282" s="587">
        <v>3201</v>
      </c>
      <c r="G282" s="587">
        <f>+E282*F282</f>
        <v>12643950</v>
      </c>
      <c r="H282" s="576"/>
      <c r="I282" s="575"/>
      <c r="J282" s="575"/>
      <c r="K282" s="575"/>
      <c r="L282" s="577"/>
      <c r="M282" s="578"/>
      <c r="N282" s="585"/>
      <c r="O282" s="95"/>
      <c r="P282" s="579"/>
      <c r="Q282" s="580"/>
      <c r="R282" s="580"/>
      <c r="S282" s="581"/>
      <c r="T282" s="582"/>
      <c r="U282" s="79"/>
      <c r="V282" s="621"/>
      <c r="W282" s="808"/>
      <c r="X282" s="44"/>
      <c r="Y282" s="44"/>
      <c r="Z282" s="44"/>
      <c r="AA282" s="44"/>
      <c r="AB282" s="44"/>
    </row>
    <row r="283" spans="1:28" s="45" customFormat="1">
      <c r="A283" s="584"/>
      <c r="B283" s="592" t="s">
        <v>1056</v>
      </c>
      <c r="C283" s="102" t="s">
        <v>1044</v>
      </c>
      <c r="D283" s="777" t="s">
        <v>142</v>
      </c>
      <c r="E283" s="780">
        <v>2360</v>
      </c>
      <c r="F283" s="587">
        <v>3201</v>
      </c>
      <c r="G283" s="587">
        <f t="shared" ref="G283" si="59">+E283*F283</f>
        <v>7554360</v>
      </c>
      <c r="H283" s="576"/>
      <c r="I283" s="575"/>
      <c r="J283" s="575"/>
      <c r="K283" s="575"/>
      <c r="L283" s="577"/>
      <c r="M283" s="578"/>
      <c r="N283" s="585"/>
      <c r="O283" s="95"/>
      <c r="P283" s="579"/>
      <c r="Q283" s="580"/>
      <c r="R283" s="580"/>
      <c r="S283" s="581"/>
      <c r="T283" s="582"/>
      <c r="U283" s="79"/>
      <c r="V283" s="621"/>
      <c r="W283" s="808"/>
      <c r="X283" s="44"/>
      <c r="Y283" s="44"/>
      <c r="Z283" s="44"/>
      <c r="AA283" s="44"/>
      <c r="AB283" s="44"/>
    </row>
    <row r="284" spans="1:28" s="45" customFormat="1">
      <c r="A284" s="584"/>
      <c r="B284" s="592">
        <v>9.5</v>
      </c>
      <c r="C284" s="593" t="s">
        <v>64</v>
      </c>
      <c r="D284" s="827"/>
      <c r="E284" s="594"/>
      <c r="F284" s="575"/>
      <c r="G284" s="587"/>
      <c r="H284" s="576"/>
      <c r="I284" s="575"/>
      <c r="J284" s="575"/>
      <c r="K284" s="575"/>
      <c r="L284" s="577"/>
      <c r="M284" s="578"/>
      <c r="N284" s="585"/>
      <c r="O284" s="95"/>
      <c r="P284" s="579"/>
      <c r="Q284" s="580"/>
      <c r="R284" s="580"/>
      <c r="S284" s="581"/>
      <c r="T284" s="582"/>
      <c r="U284" s="79"/>
      <c r="V284" s="621"/>
      <c r="W284" s="808"/>
      <c r="X284" s="44"/>
      <c r="Y284" s="44"/>
      <c r="Z284" s="44"/>
      <c r="AA284" s="44"/>
      <c r="AB284" s="44"/>
    </row>
    <row r="285" spans="1:28" s="45" customFormat="1" ht="25.5">
      <c r="A285" s="584"/>
      <c r="B285" s="592">
        <v>9.9</v>
      </c>
      <c r="C285" s="593" t="s">
        <v>1057</v>
      </c>
      <c r="D285" s="827" t="s">
        <v>56</v>
      </c>
      <c r="E285" s="594">
        <v>260</v>
      </c>
      <c r="F285" s="575">
        <v>16360</v>
      </c>
      <c r="G285" s="587">
        <f t="shared" si="58"/>
        <v>4253600</v>
      </c>
      <c r="H285" s="576"/>
      <c r="I285" s="575"/>
      <c r="J285" s="575"/>
      <c r="K285" s="575"/>
      <c r="L285" s="577"/>
      <c r="M285" s="578"/>
      <c r="N285" s="585"/>
      <c r="O285" s="95"/>
      <c r="P285" s="579"/>
      <c r="Q285" s="580"/>
      <c r="R285" s="580"/>
      <c r="S285" s="581"/>
      <c r="T285" s="582"/>
      <c r="U285" s="79"/>
      <c r="V285" s="621"/>
      <c r="W285" s="808"/>
      <c r="X285" s="44"/>
      <c r="Y285" s="44"/>
      <c r="Z285" s="44"/>
      <c r="AA285" s="44"/>
      <c r="AB285" s="44"/>
    </row>
    <row r="286" spans="1:28" s="45" customFormat="1" ht="25.5">
      <c r="A286" s="584"/>
      <c r="B286" s="592" t="s">
        <v>1089</v>
      </c>
      <c r="C286" s="593" t="s">
        <v>1058</v>
      </c>
      <c r="D286" s="827" t="s">
        <v>500</v>
      </c>
      <c r="E286" s="594">
        <v>80</v>
      </c>
      <c r="F286" s="575">
        <v>34480</v>
      </c>
      <c r="G286" s="587">
        <f t="shared" si="58"/>
        <v>2758400</v>
      </c>
      <c r="H286" s="576"/>
      <c r="I286" s="575"/>
      <c r="J286" s="575"/>
      <c r="K286" s="575"/>
      <c r="L286" s="577"/>
      <c r="M286" s="578"/>
      <c r="N286" s="585"/>
      <c r="O286" s="95"/>
      <c r="P286" s="579"/>
      <c r="Q286" s="580"/>
      <c r="R286" s="580"/>
      <c r="S286" s="581"/>
      <c r="T286" s="582"/>
      <c r="U286" s="79"/>
      <c r="V286" s="621"/>
      <c r="W286" s="808"/>
      <c r="X286" s="44"/>
      <c r="Y286" s="44"/>
      <c r="Z286" s="44"/>
      <c r="AA286" s="44"/>
      <c r="AB286" s="44"/>
    </row>
    <row r="287" spans="1:28" s="45" customFormat="1">
      <c r="A287" s="584"/>
      <c r="B287" s="592" t="s">
        <v>1090</v>
      </c>
      <c r="C287" s="593" t="s">
        <v>1059</v>
      </c>
      <c r="D287" s="827" t="s">
        <v>56</v>
      </c>
      <c r="E287" s="594">
        <v>260</v>
      </c>
      <c r="F287" s="575">
        <v>29541</v>
      </c>
      <c r="G287" s="587">
        <f t="shared" si="58"/>
        <v>7680660</v>
      </c>
      <c r="H287" s="576"/>
      <c r="I287" s="575"/>
      <c r="J287" s="575"/>
      <c r="K287" s="575"/>
      <c r="L287" s="577"/>
      <c r="M287" s="578"/>
      <c r="N287" s="585"/>
      <c r="O287" s="95"/>
      <c r="P287" s="579"/>
      <c r="Q287" s="580"/>
      <c r="R287" s="580"/>
      <c r="S287" s="581"/>
      <c r="T287" s="582"/>
      <c r="U287" s="79"/>
      <c r="V287" s="621"/>
      <c r="W287" s="808"/>
      <c r="X287" s="44"/>
      <c r="Y287" s="44"/>
      <c r="Z287" s="44"/>
      <c r="AA287" s="44"/>
      <c r="AB287" s="44"/>
    </row>
    <row r="288" spans="1:28" s="45" customFormat="1">
      <c r="A288" s="584"/>
      <c r="B288" s="592">
        <v>9.6</v>
      </c>
      <c r="C288" s="593" t="s">
        <v>1060</v>
      </c>
      <c r="D288" s="827"/>
      <c r="E288" s="594"/>
      <c r="F288" s="575"/>
      <c r="G288" s="587"/>
      <c r="H288" s="576"/>
      <c r="I288" s="575"/>
      <c r="J288" s="575"/>
      <c r="K288" s="575"/>
      <c r="L288" s="577"/>
      <c r="M288" s="578"/>
      <c r="N288" s="585"/>
      <c r="O288" s="95"/>
      <c r="P288" s="579"/>
      <c r="Q288" s="580"/>
      <c r="R288" s="580"/>
      <c r="S288" s="581"/>
      <c r="T288" s="582"/>
      <c r="U288" s="79"/>
      <c r="V288" s="621"/>
      <c r="W288" s="808"/>
      <c r="X288" s="44"/>
      <c r="Y288" s="44"/>
      <c r="Z288" s="44"/>
      <c r="AA288" s="44"/>
      <c r="AB288" s="44"/>
    </row>
    <row r="289" spans="1:28" s="45" customFormat="1" ht="25.5">
      <c r="A289" s="584"/>
      <c r="B289" s="884" t="s">
        <v>1066</v>
      </c>
      <c r="C289" s="593" t="s">
        <v>1061</v>
      </c>
      <c r="D289" s="827" t="s">
        <v>56</v>
      </c>
      <c r="E289" s="594">
        <v>908</v>
      </c>
      <c r="F289" s="575">
        <v>17130</v>
      </c>
      <c r="G289" s="587">
        <f t="shared" si="58"/>
        <v>15554040</v>
      </c>
      <c r="H289" s="576"/>
      <c r="I289" s="575"/>
      <c r="J289" s="575"/>
      <c r="K289" s="575"/>
      <c r="L289" s="577"/>
      <c r="M289" s="578"/>
      <c r="N289" s="585"/>
      <c r="O289" s="95"/>
      <c r="P289" s="579"/>
      <c r="Q289" s="580"/>
      <c r="R289" s="580"/>
      <c r="S289" s="581"/>
      <c r="T289" s="582"/>
      <c r="U289" s="79"/>
      <c r="V289" s="621"/>
      <c r="W289" s="808"/>
      <c r="X289" s="44"/>
      <c r="Y289" s="44"/>
      <c r="Z289" s="44"/>
      <c r="AA289" s="44"/>
      <c r="AB289" s="44"/>
    </row>
    <row r="290" spans="1:28" s="45" customFormat="1">
      <c r="A290" s="584"/>
      <c r="B290" s="884" t="s">
        <v>1067</v>
      </c>
      <c r="C290" s="593" t="s">
        <v>1062</v>
      </c>
      <c r="D290" s="827" t="s">
        <v>56</v>
      </c>
      <c r="E290" s="594">
        <v>218</v>
      </c>
      <c r="F290" s="575">
        <v>34392</v>
      </c>
      <c r="G290" s="587">
        <f t="shared" si="58"/>
        <v>7497456</v>
      </c>
      <c r="H290" s="576"/>
      <c r="I290" s="575"/>
      <c r="J290" s="575"/>
      <c r="K290" s="575"/>
      <c r="L290" s="577"/>
      <c r="M290" s="578"/>
      <c r="N290" s="585"/>
      <c r="O290" s="95"/>
      <c r="P290" s="579"/>
      <c r="Q290" s="580"/>
      <c r="R290" s="580"/>
      <c r="S290" s="581"/>
      <c r="T290" s="582"/>
      <c r="U290" s="79"/>
      <c r="V290" s="621"/>
      <c r="W290" s="808"/>
      <c r="X290" s="44"/>
      <c r="Y290" s="44"/>
      <c r="Z290" s="44"/>
      <c r="AA290" s="44"/>
      <c r="AB290" s="44"/>
    </row>
    <row r="291" spans="1:28" s="45" customFormat="1" ht="25.5">
      <c r="A291" s="584"/>
      <c r="B291" s="884" t="s">
        <v>1068</v>
      </c>
      <c r="C291" s="593" t="s">
        <v>1063</v>
      </c>
      <c r="D291" s="827" t="s">
        <v>56</v>
      </c>
      <c r="E291" s="594">
        <v>180</v>
      </c>
      <c r="F291" s="575">
        <v>25070</v>
      </c>
      <c r="G291" s="587">
        <f t="shared" si="58"/>
        <v>4512600</v>
      </c>
      <c r="H291" s="576"/>
      <c r="I291" s="575"/>
      <c r="J291" s="575"/>
      <c r="K291" s="575"/>
      <c r="L291" s="577"/>
      <c r="M291" s="578"/>
      <c r="N291" s="585"/>
      <c r="O291" s="95"/>
      <c r="P291" s="579"/>
      <c r="Q291" s="580"/>
      <c r="R291" s="580"/>
      <c r="S291" s="581"/>
      <c r="T291" s="582"/>
      <c r="U291" s="79"/>
      <c r="V291" s="621"/>
      <c r="W291" s="808"/>
      <c r="X291" s="44"/>
      <c r="Y291" s="44"/>
      <c r="Z291" s="44"/>
      <c r="AA291" s="44"/>
      <c r="AB291" s="44"/>
    </row>
    <row r="292" spans="1:28" s="45" customFormat="1">
      <c r="A292" s="584"/>
      <c r="B292" s="884" t="s">
        <v>1069</v>
      </c>
      <c r="C292" s="593" t="s">
        <v>1064</v>
      </c>
      <c r="D292" s="827" t="s">
        <v>56</v>
      </c>
      <c r="E292" s="594">
        <v>60</v>
      </c>
      <c r="F292" s="575">
        <v>44727</v>
      </c>
      <c r="G292" s="587">
        <f t="shared" si="58"/>
        <v>2683620</v>
      </c>
      <c r="H292" s="576"/>
      <c r="I292" s="575"/>
      <c r="J292" s="575"/>
      <c r="K292" s="575"/>
      <c r="L292" s="577"/>
      <c r="M292" s="578"/>
      <c r="N292" s="585"/>
      <c r="O292" s="95"/>
      <c r="P292" s="579"/>
      <c r="Q292" s="580"/>
      <c r="R292" s="580"/>
      <c r="S292" s="581"/>
      <c r="T292" s="582"/>
      <c r="U292" s="79"/>
      <c r="V292" s="621"/>
      <c r="W292" s="808"/>
      <c r="X292" s="44"/>
      <c r="Y292" s="44"/>
      <c r="Z292" s="44"/>
      <c r="AA292" s="44"/>
      <c r="AB292" s="44"/>
    </row>
    <row r="293" spans="1:28" s="45" customFormat="1">
      <c r="A293" s="584"/>
      <c r="B293" s="884" t="s">
        <v>1070</v>
      </c>
      <c r="C293" s="593" t="s">
        <v>1065</v>
      </c>
      <c r="D293" s="827" t="s">
        <v>56</v>
      </c>
      <c r="E293" s="594">
        <v>18</v>
      </c>
      <c r="F293" s="575">
        <v>90513</v>
      </c>
      <c r="G293" s="795">
        <f t="shared" si="58"/>
        <v>1629234</v>
      </c>
      <c r="H293" s="576"/>
      <c r="I293" s="575"/>
      <c r="J293" s="575"/>
      <c r="K293" s="575"/>
      <c r="L293" s="577"/>
      <c r="M293" s="578"/>
      <c r="N293" s="585"/>
      <c r="O293" s="95"/>
      <c r="P293" s="579"/>
      <c r="Q293" s="580"/>
      <c r="R293" s="580"/>
      <c r="S293" s="581"/>
      <c r="T293" s="582"/>
      <c r="U293" s="79"/>
      <c r="V293" s="621"/>
      <c r="W293" s="808"/>
      <c r="X293" s="44"/>
      <c r="Y293" s="44"/>
      <c r="Z293" s="44"/>
      <c r="AA293" s="44"/>
      <c r="AB293" s="44"/>
    </row>
    <row r="294" spans="1:28" s="45" customFormat="1" ht="15.75" thickBot="1">
      <c r="A294" s="584"/>
      <c r="B294" s="944">
        <v>9.6999999999999993</v>
      </c>
      <c r="C294" s="593" t="s">
        <v>1071</v>
      </c>
      <c r="D294" s="827"/>
      <c r="E294" s="594"/>
      <c r="F294" s="575"/>
      <c r="G294" s="795"/>
      <c r="H294" s="576"/>
      <c r="I294" s="575"/>
      <c r="J294" s="575"/>
      <c r="K294" s="575"/>
      <c r="L294" s="577"/>
      <c r="M294" s="578"/>
      <c r="N294" s="585"/>
      <c r="O294" s="95"/>
      <c r="P294" s="579"/>
      <c r="Q294" s="580"/>
      <c r="R294" s="580"/>
      <c r="S294" s="581"/>
      <c r="T294" s="582"/>
      <c r="U294" s="79"/>
      <c r="V294" s="621"/>
      <c r="W294" s="808"/>
      <c r="X294" s="44"/>
      <c r="Y294" s="44"/>
      <c r="Z294" s="44"/>
      <c r="AA294" s="44"/>
      <c r="AB294" s="44"/>
    </row>
    <row r="295" spans="1:28" s="45" customFormat="1" ht="25.5">
      <c r="A295" s="584"/>
      <c r="B295" s="592" t="s">
        <v>1072</v>
      </c>
      <c r="C295" s="593" t="s">
        <v>1073</v>
      </c>
      <c r="D295" s="827" t="s">
        <v>22</v>
      </c>
      <c r="E295" s="594">
        <v>1</v>
      </c>
      <c r="F295" s="575">
        <v>618839</v>
      </c>
      <c r="G295" s="795">
        <f t="shared" si="58"/>
        <v>618839</v>
      </c>
      <c r="H295" s="576"/>
      <c r="I295" s="575"/>
      <c r="J295" s="575"/>
      <c r="K295" s="575"/>
      <c r="L295" s="577"/>
      <c r="M295" s="578"/>
      <c r="N295" s="585"/>
      <c r="O295" s="95"/>
      <c r="P295" s="579"/>
      <c r="Q295" s="580"/>
      <c r="R295" s="580"/>
      <c r="S295" s="581"/>
      <c r="T295" s="582"/>
      <c r="U295" s="79"/>
      <c r="V295" s="621"/>
      <c r="W295" s="808"/>
      <c r="X295" s="44"/>
      <c r="Y295" s="44"/>
      <c r="Z295" s="44"/>
      <c r="AA295" s="44"/>
      <c r="AB295" s="44"/>
    </row>
    <row r="296" spans="1:28" s="45" customFormat="1" ht="25.5">
      <c r="A296" s="584"/>
      <c r="B296" s="592" t="s">
        <v>1074</v>
      </c>
      <c r="C296" s="593" t="s">
        <v>1078</v>
      </c>
      <c r="D296" s="827" t="s">
        <v>56</v>
      </c>
      <c r="E296" s="594">
        <v>184</v>
      </c>
      <c r="F296" s="575">
        <v>138273</v>
      </c>
      <c r="G296" s="795">
        <f t="shared" si="58"/>
        <v>25442232</v>
      </c>
      <c r="H296" s="576"/>
      <c r="I296" s="575"/>
      <c r="J296" s="575"/>
      <c r="K296" s="575"/>
      <c r="L296" s="577"/>
      <c r="M296" s="578"/>
      <c r="N296" s="585"/>
      <c r="O296" s="95"/>
      <c r="P296" s="579"/>
      <c r="Q296" s="580"/>
      <c r="R296" s="580"/>
      <c r="S296" s="581"/>
      <c r="T296" s="582"/>
      <c r="U296" s="79"/>
      <c r="V296" s="621"/>
      <c r="W296" s="808"/>
      <c r="X296" s="44"/>
      <c r="Y296" s="44"/>
      <c r="Z296" s="44"/>
      <c r="AA296" s="44"/>
      <c r="AB296" s="44"/>
    </row>
    <row r="297" spans="1:28" s="45" customFormat="1">
      <c r="A297" s="584"/>
      <c r="B297" s="592" t="s">
        <v>1075</v>
      </c>
      <c r="C297" s="593" t="s">
        <v>1079</v>
      </c>
      <c r="D297" s="827" t="s">
        <v>56</v>
      </c>
      <c r="E297" s="594">
        <v>36</v>
      </c>
      <c r="F297" s="575">
        <v>135688</v>
      </c>
      <c r="G297" s="795">
        <f t="shared" si="58"/>
        <v>4884768</v>
      </c>
      <c r="H297" s="576"/>
      <c r="I297" s="575"/>
      <c r="J297" s="575"/>
      <c r="K297" s="575"/>
      <c r="L297" s="577"/>
      <c r="M297" s="578"/>
      <c r="N297" s="585"/>
      <c r="O297" s="95"/>
      <c r="P297" s="579"/>
      <c r="Q297" s="580"/>
      <c r="R297" s="580"/>
      <c r="S297" s="581"/>
      <c r="T297" s="582"/>
      <c r="U297" s="79"/>
      <c r="V297" s="621"/>
      <c r="W297" s="808"/>
      <c r="X297" s="44"/>
      <c r="Y297" s="44"/>
      <c r="Z297" s="44"/>
      <c r="AA297" s="44"/>
      <c r="AB297" s="44"/>
    </row>
    <row r="298" spans="1:28" s="45" customFormat="1">
      <c r="A298" s="584"/>
      <c r="B298" s="592" t="s">
        <v>1076</v>
      </c>
      <c r="C298" s="593" t="s">
        <v>1080</v>
      </c>
      <c r="D298" s="827" t="s">
        <v>500</v>
      </c>
      <c r="E298" s="594">
        <v>20</v>
      </c>
      <c r="F298" s="575">
        <v>144255</v>
      </c>
      <c r="G298" s="795">
        <f t="shared" si="58"/>
        <v>2885100</v>
      </c>
      <c r="H298" s="576"/>
      <c r="I298" s="575"/>
      <c r="J298" s="575"/>
      <c r="K298" s="575"/>
      <c r="L298" s="577"/>
      <c r="M298" s="578"/>
      <c r="N298" s="585"/>
      <c r="O298" s="95"/>
      <c r="P298" s="579"/>
      <c r="Q298" s="580"/>
      <c r="R298" s="580"/>
      <c r="S298" s="581"/>
      <c r="T298" s="582"/>
      <c r="U298" s="79"/>
      <c r="V298" s="621"/>
      <c r="W298" s="808"/>
      <c r="X298" s="44"/>
      <c r="Y298" s="44"/>
      <c r="Z298" s="44"/>
      <c r="AA298" s="44"/>
      <c r="AB298" s="44"/>
    </row>
    <row r="299" spans="1:28" s="45" customFormat="1">
      <c r="A299" s="584"/>
      <c r="B299" s="592" t="s">
        <v>1077</v>
      </c>
      <c r="C299" s="593" t="s">
        <v>1081</v>
      </c>
      <c r="D299" s="827" t="s">
        <v>22</v>
      </c>
      <c r="E299" s="594">
        <v>2</v>
      </c>
      <c r="F299" s="575">
        <v>273344</v>
      </c>
      <c r="G299" s="795">
        <f t="shared" si="58"/>
        <v>546688</v>
      </c>
      <c r="H299" s="576"/>
      <c r="I299" s="575"/>
      <c r="J299" s="575"/>
      <c r="K299" s="575"/>
      <c r="L299" s="577"/>
      <c r="M299" s="578"/>
      <c r="N299" s="585"/>
      <c r="O299" s="95"/>
      <c r="P299" s="579"/>
      <c r="Q299" s="580"/>
      <c r="R299" s="580"/>
      <c r="S299" s="581"/>
      <c r="T299" s="582"/>
      <c r="U299" s="79"/>
      <c r="V299" s="621"/>
      <c r="W299" s="808"/>
      <c r="X299" s="44"/>
      <c r="Y299" s="44"/>
      <c r="Z299" s="44"/>
      <c r="AA299" s="44"/>
      <c r="AB299" s="44"/>
    </row>
    <row r="300" spans="1:28" s="45" customFormat="1">
      <c r="A300" s="105"/>
      <c r="B300" s="139">
        <v>9.8000000000000007</v>
      </c>
      <c r="C300" s="593" t="s">
        <v>1083</v>
      </c>
      <c r="D300" s="827"/>
      <c r="E300" s="594"/>
      <c r="F300" s="575"/>
      <c r="G300" s="795"/>
      <c r="H300" s="576"/>
      <c r="I300" s="25"/>
      <c r="J300" s="25"/>
      <c r="K300" s="25"/>
      <c r="L300" s="109"/>
      <c r="M300" s="110"/>
      <c r="N300" s="111"/>
      <c r="O300" s="95"/>
      <c r="P300" s="96"/>
      <c r="Q300" s="97"/>
      <c r="R300" s="97"/>
      <c r="S300" s="98"/>
      <c r="T300" s="99"/>
      <c r="U300" s="79"/>
      <c r="V300" s="621"/>
      <c r="W300" s="807"/>
      <c r="X300" s="44"/>
      <c r="Y300" s="44"/>
      <c r="Z300" s="44"/>
      <c r="AA300" s="44"/>
      <c r="AB300" s="44"/>
    </row>
    <row r="301" spans="1:28" s="45" customFormat="1" ht="26.25" thickBot="1">
      <c r="A301" s="112" t="s">
        <v>46</v>
      </c>
      <c r="B301" s="106" t="s">
        <v>1082</v>
      </c>
      <c r="C301" s="593" t="s">
        <v>1084</v>
      </c>
      <c r="D301" s="827" t="s">
        <v>22</v>
      </c>
      <c r="E301" s="594">
        <v>5</v>
      </c>
      <c r="F301" s="575">
        <v>431569</v>
      </c>
      <c r="G301" s="795">
        <f t="shared" si="58"/>
        <v>2157845</v>
      </c>
      <c r="H301" s="576"/>
      <c r="I301" s="25"/>
      <c r="J301" s="25"/>
      <c r="K301" s="25"/>
      <c r="L301" s="109"/>
      <c r="M301" s="110"/>
      <c r="N301" s="119">
        <v>70604756</v>
      </c>
      <c r="O301" s="95"/>
      <c r="P301" s="120">
        <v>0</v>
      </c>
      <c r="Q301" s="121">
        <v>1148857</v>
      </c>
      <c r="R301" s="121">
        <v>22977151</v>
      </c>
      <c r="S301" s="122">
        <v>46478682</v>
      </c>
      <c r="T301" s="123">
        <v>0</v>
      </c>
      <c r="U301" s="79"/>
      <c r="V301" s="621"/>
      <c r="W301" s="807"/>
      <c r="X301" s="44"/>
      <c r="Y301" s="44"/>
      <c r="Z301" s="44"/>
      <c r="AA301" s="44"/>
      <c r="AB301" s="44"/>
    </row>
    <row r="302" spans="1:28" s="45" customFormat="1">
      <c r="A302" s="124"/>
      <c r="B302" s="827">
        <v>9.9</v>
      </c>
      <c r="C302" s="593" t="s">
        <v>1085</v>
      </c>
      <c r="D302" s="827"/>
      <c r="E302" s="594"/>
      <c r="F302" s="575"/>
      <c r="G302" s="795"/>
      <c r="H302"/>
      <c r="I302"/>
      <c r="J302"/>
      <c r="K302"/>
      <c r="L302"/>
      <c r="M302"/>
      <c r="N302"/>
      <c r="O302"/>
      <c r="P302"/>
      <c r="Q302"/>
      <c r="R302"/>
      <c r="S302"/>
      <c r="T302"/>
      <c r="U302"/>
      <c r="V302" s="621"/>
      <c r="W302" s="807"/>
      <c r="X302" s="44"/>
      <c r="Y302" s="44"/>
      <c r="Z302" s="44"/>
      <c r="AA302" s="44"/>
      <c r="AB302" s="44"/>
    </row>
    <row r="303" spans="1:28" s="156" customFormat="1" ht="26.25" thickBot="1">
      <c r="A303" s="144" t="s">
        <v>93</v>
      </c>
      <c r="B303" s="827" t="s">
        <v>1089</v>
      </c>
      <c r="C303" s="887" t="s">
        <v>1086</v>
      </c>
      <c r="D303" s="827" t="s">
        <v>56</v>
      </c>
      <c r="E303" s="594">
        <v>454</v>
      </c>
      <c r="F303" s="575">
        <v>5550</v>
      </c>
      <c r="G303" s="795">
        <f t="shared" si="58"/>
        <v>2519700</v>
      </c>
      <c r="H303" s="794"/>
      <c r="I303" s="148"/>
      <c r="J303" s="148"/>
      <c r="K303" s="148"/>
      <c r="L303" s="149">
        <v>408574527</v>
      </c>
      <c r="M303" s="150">
        <v>307710574</v>
      </c>
      <c r="N303" s="151">
        <v>307710574</v>
      </c>
      <c r="O303" s="152"/>
      <c r="P303" s="153">
        <v>0</v>
      </c>
      <c r="Q303" s="154">
        <v>7490404</v>
      </c>
      <c r="R303" s="154">
        <v>92935290</v>
      </c>
      <c r="S303" s="154">
        <v>207282823</v>
      </c>
      <c r="T303" s="154">
        <v>0</v>
      </c>
      <c r="U303" s="155"/>
      <c r="V303" s="806"/>
      <c r="W303" s="809"/>
      <c r="X303" s="793"/>
      <c r="Y303" s="793"/>
      <c r="Z303" s="793"/>
      <c r="AA303" s="793"/>
      <c r="AB303" s="793"/>
    </row>
    <row r="304" spans="1:28" s="45" customFormat="1" ht="23.25" customHeight="1">
      <c r="A304" s="66"/>
      <c r="B304" s="888" t="s">
        <v>1090</v>
      </c>
      <c r="C304" s="887" t="s">
        <v>1087</v>
      </c>
      <c r="D304" s="827" t="s">
        <v>56</v>
      </c>
      <c r="E304" s="594">
        <v>454</v>
      </c>
      <c r="F304" s="575">
        <v>11362</v>
      </c>
      <c r="G304" s="795">
        <f t="shared" si="58"/>
        <v>5158348</v>
      </c>
      <c r="H304" s="58"/>
      <c r="I304" s="58"/>
      <c r="J304" s="58"/>
      <c r="K304" s="58"/>
      <c r="L304" s="58"/>
      <c r="M304" s="19"/>
      <c r="N304" s="158">
        <v>0</v>
      </c>
      <c r="O304" s="159"/>
      <c r="P304" s="159"/>
      <c r="Q304" s="159"/>
      <c r="R304" s="159"/>
      <c r="S304" s="159"/>
      <c r="T304" s="159"/>
      <c r="U304" s="160"/>
      <c r="V304" s="805"/>
      <c r="W304" s="807"/>
      <c r="X304" s="44"/>
      <c r="Y304" s="44"/>
      <c r="Z304" s="44"/>
      <c r="AA304" s="44"/>
      <c r="AB304" s="44"/>
    </row>
    <row r="305" spans="1:28" s="45" customFormat="1">
      <c r="A305" s="161" t="s">
        <v>95</v>
      </c>
      <c r="B305" s="888" t="s">
        <v>1091</v>
      </c>
      <c r="C305" s="887" t="s">
        <v>1088</v>
      </c>
      <c r="D305" s="827" t="s">
        <v>56</v>
      </c>
      <c r="E305" s="594">
        <v>84</v>
      </c>
      <c r="F305" s="575">
        <v>10638</v>
      </c>
      <c r="G305" s="795">
        <f t="shared" si="58"/>
        <v>893592</v>
      </c>
      <c r="H305" s="166"/>
      <c r="I305" s="166"/>
      <c r="J305" s="166"/>
      <c r="K305" s="166"/>
      <c r="L305" s="166"/>
      <c r="M305" s="167"/>
      <c r="N305" s="168"/>
      <c r="O305" s="159"/>
      <c r="P305" s="159"/>
      <c r="Q305" s="159"/>
      <c r="R305" s="159"/>
      <c r="S305" s="159"/>
      <c r="T305" s="159"/>
      <c r="U305" s="58"/>
      <c r="V305" s="805"/>
      <c r="W305" s="807"/>
      <c r="X305" s="44"/>
      <c r="Y305" s="44"/>
      <c r="Z305" s="44"/>
      <c r="AA305" s="44"/>
      <c r="AB305" s="44"/>
    </row>
    <row r="306" spans="1:28" s="45" customFormat="1">
      <c r="A306" s="169" t="s">
        <v>97</v>
      </c>
      <c r="B306" s="889">
        <v>9.1</v>
      </c>
      <c r="C306" s="887" t="s">
        <v>1092</v>
      </c>
      <c r="D306" s="827"/>
      <c r="E306" s="594"/>
      <c r="F306" s="575"/>
      <c r="G306" s="795"/>
      <c r="H306" s="174"/>
      <c r="I306" s="174"/>
      <c r="J306" s="174"/>
      <c r="K306" s="174"/>
      <c r="L306" s="174"/>
      <c r="M306" s="175"/>
      <c r="N306" s="173">
        <v>307710574</v>
      </c>
      <c r="O306" s="176"/>
      <c r="P306" s="176"/>
      <c r="Q306" s="176"/>
      <c r="R306" s="176"/>
      <c r="S306" s="176"/>
      <c r="T306" s="176"/>
      <c r="U306" s="19"/>
      <c r="V306" s="805"/>
      <c r="W306" s="807"/>
      <c r="X306" s="174"/>
      <c r="Y306" s="44"/>
      <c r="Z306" s="44"/>
      <c r="AA306" s="44"/>
      <c r="AB306" s="44"/>
    </row>
    <row r="307" spans="1:28" s="45" customFormat="1" ht="25.5">
      <c r="A307" s="169" t="s">
        <v>99</v>
      </c>
      <c r="B307" s="827" t="s">
        <v>1093</v>
      </c>
      <c r="C307" s="887" t="s">
        <v>1094</v>
      </c>
      <c r="D307" s="827" t="s">
        <v>56</v>
      </c>
      <c r="E307" s="594">
        <v>78</v>
      </c>
      <c r="F307" s="575">
        <v>61850</v>
      </c>
      <c r="G307" s="795">
        <f t="shared" si="58"/>
        <v>4824300</v>
      </c>
      <c r="H307" s="182"/>
      <c r="I307" s="182"/>
      <c r="J307" s="182"/>
      <c r="K307" s="182"/>
      <c r="L307" s="182"/>
      <c r="M307" s="183"/>
      <c r="N307" s="181">
        <v>56926456</v>
      </c>
      <c r="O307" s="184"/>
      <c r="P307" s="184"/>
      <c r="Q307" s="184"/>
      <c r="R307" s="184"/>
      <c r="S307" s="184"/>
      <c r="T307" s="184"/>
      <c r="U307" s="19"/>
      <c r="V307" s="805"/>
      <c r="W307" s="807"/>
      <c r="X307" s="182"/>
      <c r="Y307" s="44"/>
      <c r="Z307" s="44"/>
      <c r="AA307" s="44"/>
      <c r="AB307" s="44"/>
    </row>
    <row r="308" spans="1:28" s="45" customFormat="1">
      <c r="A308" s="185" t="s">
        <v>101</v>
      </c>
      <c r="B308" s="827" t="s">
        <v>1095</v>
      </c>
      <c r="C308" s="887" t="s">
        <v>1112</v>
      </c>
      <c r="D308" s="827" t="s">
        <v>56</v>
      </c>
      <c r="E308" s="934">
        <v>107</v>
      </c>
      <c r="F308" s="935">
        <v>38048</v>
      </c>
      <c r="G308" s="936">
        <f t="shared" si="58"/>
        <v>4071136</v>
      </c>
      <c r="H308" s="182"/>
      <c r="I308" s="182"/>
      <c r="J308" s="182"/>
      <c r="K308" s="182"/>
      <c r="L308" s="182"/>
      <c r="M308" s="183"/>
      <c r="N308" s="190">
        <v>15385529</v>
      </c>
      <c r="O308" s="184"/>
      <c r="P308" s="184"/>
      <c r="Q308" s="184"/>
      <c r="R308" s="184"/>
      <c r="S308" s="184"/>
      <c r="T308" s="184"/>
      <c r="U308" s="182"/>
      <c r="V308" s="805"/>
      <c r="W308" s="807"/>
      <c r="X308" s="182"/>
      <c r="Y308" s="44"/>
      <c r="Z308" s="44"/>
      <c r="AA308" s="44"/>
      <c r="AB308" s="44"/>
    </row>
    <row r="309" spans="1:28" s="45" customFormat="1">
      <c r="A309" s="185"/>
      <c r="B309" s="827" t="s">
        <v>1096</v>
      </c>
      <c r="C309" s="102" t="s">
        <v>984</v>
      </c>
      <c r="D309" s="777" t="s">
        <v>139</v>
      </c>
      <c r="E309" s="780">
        <f>+E308*0.2</f>
        <v>21.400000000000002</v>
      </c>
      <c r="F309" s="892">
        <v>63050</v>
      </c>
      <c r="G309" s="898">
        <f t="shared" si="58"/>
        <v>1349270.0000000002</v>
      </c>
      <c r="H309" s="182"/>
      <c r="I309" s="182"/>
      <c r="J309" s="182"/>
      <c r="K309" s="182"/>
      <c r="L309" s="182"/>
      <c r="M309" s="183"/>
      <c r="N309" s="895"/>
      <c r="O309" s="184"/>
      <c r="P309" s="184"/>
      <c r="Q309" s="184"/>
      <c r="R309" s="184"/>
      <c r="S309" s="184"/>
      <c r="T309" s="184"/>
      <c r="U309" s="182"/>
      <c r="V309" s="805"/>
      <c r="W309" s="807"/>
      <c r="X309" s="182"/>
      <c r="Y309" s="44"/>
      <c r="Z309" s="44"/>
      <c r="AA309" s="44"/>
      <c r="AB309" s="44"/>
    </row>
    <row r="310" spans="1:28" s="45" customFormat="1">
      <c r="A310" s="185" t="s">
        <v>103</v>
      </c>
      <c r="B310" s="827" t="s">
        <v>1113</v>
      </c>
      <c r="C310" s="887" t="s">
        <v>1097</v>
      </c>
      <c r="D310" s="827" t="s">
        <v>56</v>
      </c>
      <c r="E310" s="594">
        <v>127</v>
      </c>
      <c r="F310" s="575">
        <v>7620</v>
      </c>
      <c r="G310" s="795">
        <f t="shared" si="58"/>
        <v>967740</v>
      </c>
      <c r="H310" s="182"/>
      <c r="I310" s="182"/>
      <c r="J310" s="182"/>
      <c r="K310" s="182"/>
      <c r="L310" s="182"/>
      <c r="M310" s="183"/>
      <c r="N310" s="190">
        <v>24616846</v>
      </c>
      <c r="O310" s="184"/>
      <c r="P310" s="184"/>
      <c r="Q310" s="184"/>
      <c r="R310" s="184"/>
      <c r="S310" s="184"/>
      <c r="T310" s="184"/>
      <c r="U310" s="182"/>
      <c r="V310" s="805"/>
      <c r="W310" s="807"/>
      <c r="X310" s="182"/>
      <c r="Y310" s="44"/>
      <c r="Z310" s="44"/>
      <c r="AA310" s="44"/>
      <c r="AB310" s="44"/>
    </row>
    <row r="311" spans="1:28" s="45" customFormat="1">
      <c r="A311" s="185"/>
      <c r="B311" s="827">
        <v>9.11</v>
      </c>
      <c r="C311" s="887" t="s">
        <v>1109</v>
      </c>
      <c r="D311" s="827"/>
      <c r="E311" s="594"/>
      <c r="F311" s="575"/>
      <c r="G311" s="795"/>
      <c r="H311" s="182"/>
      <c r="I311" s="182"/>
      <c r="J311" s="182"/>
      <c r="K311" s="182"/>
      <c r="L311" s="182"/>
      <c r="M311" s="183"/>
      <c r="N311" s="895"/>
      <c r="O311" s="184"/>
      <c r="P311" s="184"/>
      <c r="Q311" s="184"/>
      <c r="R311" s="184"/>
      <c r="S311" s="184"/>
      <c r="T311" s="184"/>
      <c r="U311" s="182"/>
      <c r="V311" s="805"/>
      <c r="W311" s="807"/>
      <c r="X311" s="182"/>
      <c r="Y311" s="44"/>
      <c r="Z311" s="44"/>
      <c r="AA311" s="44"/>
      <c r="AB311" s="44"/>
    </row>
    <row r="312" spans="1:28" s="45" customFormat="1" ht="51">
      <c r="A312" s="185"/>
      <c r="B312" s="827" t="s">
        <v>1110</v>
      </c>
      <c r="C312" s="897" t="s">
        <v>1111</v>
      </c>
      <c r="D312" s="827" t="s">
        <v>22</v>
      </c>
      <c r="E312" s="594">
        <v>1</v>
      </c>
      <c r="F312" s="575">
        <f>2739900*1.2</f>
        <v>3287880</v>
      </c>
      <c r="G312" s="795">
        <f t="shared" si="58"/>
        <v>3287880</v>
      </c>
      <c r="H312" s="182"/>
      <c r="I312" s="182"/>
      <c r="J312" s="182"/>
      <c r="K312" s="182"/>
      <c r="L312" s="182"/>
      <c r="M312" s="183"/>
      <c r="N312" s="895"/>
      <c r="O312" s="184"/>
      <c r="P312" s="184"/>
      <c r="Q312" s="184"/>
      <c r="R312" s="184"/>
      <c r="S312" s="184"/>
      <c r="T312" s="184"/>
      <c r="U312" s="182"/>
      <c r="V312" s="805"/>
      <c r="W312" s="807"/>
      <c r="X312" s="896"/>
      <c r="Y312" s="44"/>
      <c r="Z312" s="44"/>
      <c r="AA312" s="44"/>
      <c r="AB312" s="44"/>
    </row>
    <row r="313" spans="1:28" s="45" customFormat="1" ht="15.75" customHeight="1" thickBot="1">
      <c r="A313" s="185" t="s">
        <v>106</v>
      </c>
      <c r="B313" s="1025"/>
      <c r="C313" s="871"/>
      <c r="D313" s="873"/>
      <c r="E313" s="874"/>
      <c r="F313" s="947" t="s">
        <v>1098</v>
      </c>
      <c r="G313" s="872">
        <f>SUM(G272:G312)</f>
        <v>161066255.86000001</v>
      </c>
      <c r="H313" s="195"/>
      <c r="I313" s="195"/>
      <c r="J313" s="195"/>
      <c r="K313" s="195"/>
      <c r="L313" s="195"/>
      <c r="M313" s="196"/>
      <c r="N313" s="199">
        <v>3938695</v>
      </c>
      <c r="O313" s="197"/>
      <c r="P313" s="197"/>
      <c r="Q313" s="197"/>
      <c r="R313" s="197"/>
      <c r="S313" s="197"/>
      <c r="T313" s="197"/>
      <c r="U313" s="198"/>
      <c r="V313" s="805"/>
      <c r="W313" s="807"/>
      <c r="X313" s="195"/>
      <c r="Y313" s="44"/>
      <c r="Z313" s="44"/>
      <c r="AA313" s="44"/>
      <c r="AB313" s="44"/>
    </row>
    <row r="314" spans="1:28" s="45" customFormat="1" ht="15.75" thickBot="1">
      <c r="A314" s="185" t="s">
        <v>108</v>
      </c>
      <c r="B314" s="827"/>
      <c r="C314" s="887"/>
      <c r="D314" s="827"/>
      <c r="E314" s="594"/>
      <c r="F314" s="575"/>
      <c r="G314" s="792">
        <f t="shared" si="58"/>
        <v>0</v>
      </c>
      <c r="H314" s="204">
        <v>0</v>
      </c>
      <c r="I314" s="203">
        <v>100867526</v>
      </c>
      <c r="J314" s="204">
        <v>0</v>
      </c>
      <c r="K314" s="204">
        <v>0</v>
      </c>
      <c r="L314" s="204">
        <v>0</v>
      </c>
      <c r="M314" s="205"/>
      <c r="N314" s="206">
        <v>408578100</v>
      </c>
      <c r="O314" s="207"/>
      <c r="P314" s="207"/>
      <c r="Q314" s="207"/>
      <c r="R314" s="207"/>
      <c r="S314" s="207"/>
      <c r="T314" s="207"/>
      <c r="U314" s="16"/>
      <c r="V314" s="805"/>
      <c r="W314" s="807"/>
      <c r="X314" s="208"/>
      <c r="Y314" s="44"/>
      <c r="Z314" s="44"/>
      <c r="AA314" s="44"/>
      <c r="AB314" s="44"/>
    </row>
    <row r="315" spans="1:28" s="45" customFormat="1">
      <c r="A315" s="185"/>
      <c r="B315" s="937">
        <v>10</v>
      </c>
      <c r="C315" s="75" t="s">
        <v>1136</v>
      </c>
      <c r="D315" s="76"/>
      <c r="E315" s="76"/>
      <c r="F315" s="76"/>
      <c r="G315" s="126"/>
      <c r="H315" s="208"/>
      <c r="I315" s="899"/>
      <c r="J315" s="208"/>
      <c r="K315" s="208"/>
      <c r="L315" s="208"/>
      <c r="M315" s="900"/>
      <c r="N315" s="901"/>
      <c r="O315" s="207"/>
      <c r="P315" s="207"/>
      <c r="Q315" s="207"/>
      <c r="R315" s="207"/>
      <c r="S315" s="207"/>
      <c r="T315" s="207"/>
      <c r="U315" s="16"/>
      <c r="V315" s="805"/>
      <c r="W315" s="807"/>
      <c r="X315" s="208"/>
      <c r="Y315" s="44"/>
      <c r="Z315" s="44"/>
      <c r="AA315" s="44"/>
      <c r="AB315" s="44"/>
    </row>
    <row r="316" spans="1:28" s="45" customFormat="1">
      <c r="A316" s="185"/>
      <c r="B316" s="827">
        <v>10.1</v>
      </c>
      <c r="C316" s="911" t="s">
        <v>1137</v>
      </c>
      <c r="D316" s="905"/>
      <c r="E316" s="905"/>
      <c r="F316" s="905"/>
      <c r="G316" s="906"/>
      <c r="H316" s="208"/>
      <c r="I316" s="899"/>
      <c r="J316" s="208"/>
      <c r="K316" s="208"/>
      <c r="L316" s="208"/>
      <c r="M316" s="900"/>
      <c r="N316" s="901"/>
      <c r="O316" s="207"/>
      <c r="P316" s="207"/>
      <c r="Q316" s="207"/>
      <c r="R316" s="207"/>
      <c r="S316" s="207"/>
      <c r="T316" s="207"/>
      <c r="U316" s="16"/>
      <c r="V316" s="805"/>
      <c r="W316" s="807"/>
      <c r="X316" s="208"/>
      <c r="Y316" s="44"/>
      <c r="Z316" s="44"/>
      <c r="AA316" s="44"/>
      <c r="AB316" s="44"/>
    </row>
    <row r="317" spans="1:28" s="45" customFormat="1">
      <c r="A317" s="185"/>
      <c r="B317" s="827" t="s">
        <v>1142</v>
      </c>
      <c r="C317" s="903" t="s">
        <v>1115</v>
      </c>
      <c r="D317" s="914" t="s">
        <v>1138</v>
      </c>
      <c r="E317" s="930">
        <v>4</v>
      </c>
      <c r="F317" s="915">
        <v>664280</v>
      </c>
      <c r="G317" s="795">
        <f>+F317*E317</f>
        <v>2657120</v>
      </c>
      <c r="H317" s="208"/>
      <c r="I317" s="899"/>
      <c r="J317" s="208"/>
      <c r="K317" s="208"/>
      <c r="L317" s="208"/>
      <c r="M317" s="900"/>
      <c r="N317" s="901"/>
      <c r="O317" s="207"/>
      <c r="P317" s="207"/>
      <c r="Q317" s="207"/>
      <c r="R317" s="207"/>
      <c r="S317" s="207"/>
      <c r="T317" s="207"/>
      <c r="U317" s="16"/>
      <c r="V317" s="805"/>
      <c r="W317" s="807"/>
      <c r="X317" s="208"/>
      <c r="Y317" s="44"/>
      <c r="Z317" s="44"/>
      <c r="AA317" s="44"/>
      <c r="AB317" s="44"/>
    </row>
    <row r="318" spans="1:28" s="45" customFormat="1" ht="30">
      <c r="A318" s="185"/>
      <c r="B318" s="827" t="s">
        <v>1143</v>
      </c>
      <c r="C318" s="907" t="s">
        <v>1116</v>
      </c>
      <c r="D318" s="912" t="s">
        <v>1138</v>
      </c>
      <c r="E318" s="931">
        <v>8</v>
      </c>
      <c r="F318" s="913">
        <v>250000</v>
      </c>
      <c r="G318" s="795">
        <f t="shared" ref="G318:G360" si="60">+F318*E318</f>
        <v>2000000</v>
      </c>
      <c r="H318" s="208"/>
      <c r="I318" s="899"/>
      <c r="J318" s="208"/>
      <c r="K318" s="208"/>
      <c r="L318" s="208"/>
      <c r="M318" s="900"/>
      <c r="N318" s="901"/>
      <c r="O318" s="207"/>
      <c r="P318" s="207"/>
      <c r="Q318" s="207"/>
      <c r="R318" s="207"/>
      <c r="S318" s="207"/>
      <c r="T318" s="207"/>
      <c r="U318" s="16"/>
      <c r="V318" s="805"/>
      <c r="W318" s="807"/>
      <c r="X318" s="208"/>
      <c r="Y318" s="44"/>
      <c r="Z318" s="44"/>
      <c r="AA318" s="44"/>
      <c r="AB318" s="44"/>
    </row>
    <row r="319" spans="1:28" s="45" customFormat="1">
      <c r="A319" s="185"/>
      <c r="B319" s="827" t="s">
        <v>1144</v>
      </c>
      <c r="C319" s="902" t="s">
        <v>1117</v>
      </c>
      <c r="D319" s="912" t="s">
        <v>1138</v>
      </c>
      <c r="E319" s="931">
        <v>8</v>
      </c>
      <c r="F319" s="913">
        <v>45000</v>
      </c>
      <c r="G319" s="795">
        <f t="shared" si="60"/>
        <v>360000</v>
      </c>
      <c r="H319" s="208"/>
      <c r="I319" s="899"/>
      <c r="J319" s="208"/>
      <c r="K319" s="208"/>
      <c r="L319" s="208"/>
      <c r="M319" s="900"/>
      <c r="N319" s="901"/>
      <c r="O319" s="207"/>
      <c r="P319" s="207"/>
      <c r="Q319" s="207"/>
      <c r="R319" s="207"/>
      <c r="S319" s="207"/>
      <c r="T319" s="207"/>
      <c r="U319" s="16"/>
      <c r="V319" s="805"/>
      <c r="W319" s="807"/>
      <c r="X319" s="208"/>
      <c r="Y319" s="44"/>
      <c r="Z319" s="44"/>
      <c r="AA319" s="44"/>
      <c r="AB319" s="44"/>
    </row>
    <row r="320" spans="1:28" s="45" customFormat="1">
      <c r="A320" s="185"/>
      <c r="B320" s="827" t="s">
        <v>1145</v>
      </c>
      <c r="C320" s="902" t="s">
        <v>1118</v>
      </c>
      <c r="D320" s="912" t="s">
        <v>1138</v>
      </c>
      <c r="E320" s="931">
        <v>4</v>
      </c>
      <c r="F320" s="913">
        <v>40000</v>
      </c>
      <c r="G320" s="795">
        <f t="shared" si="60"/>
        <v>160000</v>
      </c>
      <c r="H320" s="208"/>
      <c r="I320" s="899"/>
      <c r="J320" s="208"/>
      <c r="K320" s="208"/>
      <c r="L320" s="208"/>
      <c r="M320" s="900"/>
      <c r="N320" s="901"/>
      <c r="O320" s="207"/>
      <c r="P320" s="207"/>
      <c r="Q320" s="207"/>
      <c r="R320" s="207"/>
      <c r="S320" s="207"/>
      <c r="T320" s="207"/>
      <c r="U320" s="16"/>
      <c r="V320" s="805"/>
      <c r="W320" s="807"/>
      <c r="X320" s="208"/>
      <c r="Y320" s="44"/>
      <c r="Z320" s="44"/>
      <c r="AA320" s="44"/>
      <c r="AB320" s="44"/>
    </row>
    <row r="321" spans="1:28" s="45" customFormat="1">
      <c r="A321" s="185"/>
      <c r="B321" s="827" t="s">
        <v>1146</v>
      </c>
      <c r="C321" s="902" t="s">
        <v>1119</v>
      </c>
      <c r="D321" s="912" t="s">
        <v>1138</v>
      </c>
      <c r="E321" s="931">
        <v>4</v>
      </c>
      <c r="F321" s="913">
        <v>8000</v>
      </c>
      <c r="G321" s="795">
        <f t="shared" si="60"/>
        <v>32000</v>
      </c>
      <c r="H321" s="208"/>
      <c r="I321" s="899"/>
      <c r="J321" s="208"/>
      <c r="K321" s="208"/>
      <c r="L321" s="208"/>
      <c r="M321" s="900"/>
      <c r="N321" s="901"/>
      <c r="O321" s="207"/>
      <c r="P321" s="207"/>
      <c r="Q321" s="207"/>
      <c r="R321" s="207"/>
      <c r="S321" s="207"/>
      <c r="T321" s="207"/>
      <c r="U321" s="16"/>
      <c r="V321" s="805"/>
      <c r="W321" s="807"/>
      <c r="X321" s="208"/>
      <c r="Y321" s="44"/>
      <c r="Z321" s="44"/>
      <c r="AA321" s="44"/>
      <c r="AB321" s="44"/>
    </row>
    <row r="322" spans="1:28" s="45" customFormat="1">
      <c r="A322" s="185"/>
      <c r="B322" s="827" t="s">
        <v>1147</v>
      </c>
      <c r="C322" s="904" t="s">
        <v>1120</v>
      </c>
      <c r="D322" s="912" t="s">
        <v>1138</v>
      </c>
      <c r="E322" s="931">
        <v>28</v>
      </c>
      <c r="F322" s="913">
        <v>500</v>
      </c>
      <c r="G322" s="795">
        <f t="shared" si="60"/>
        <v>14000</v>
      </c>
      <c r="H322" s="208"/>
      <c r="I322" s="899"/>
      <c r="J322" s="208"/>
      <c r="K322" s="208"/>
      <c r="L322" s="208"/>
      <c r="M322" s="900"/>
      <c r="N322" s="901"/>
      <c r="O322" s="207"/>
      <c r="P322" s="207"/>
      <c r="Q322" s="207"/>
      <c r="R322" s="207"/>
      <c r="S322" s="207"/>
      <c r="T322" s="207"/>
      <c r="U322" s="16"/>
      <c r="V322" s="805"/>
      <c r="W322" s="807"/>
      <c r="X322" s="208"/>
      <c r="Y322" s="44"/>
      <c r="Z322" s="44"/>
      <c r="AA322" s="44"/>
      <c r="AB322" s="44"/>
    </row>
    <row r="323" spans="1:28" s="45" customFormat="1">
      <c r="A323" s="185"/>
      <c r="B323" s="827" t="s">
        <v>1148</v>
      </c>
      <c r="C323" s="904" t="s">
        <v>1121</v>
      </c>
      <c r="D323" s="912" t="s">
        <v>1138</v>
      </c>
      <c r="E323" s="931">
        <v>16</v>
      </c>
      <c r="F323" s="913">
        <v>2000</v>
      </c>
      <c r="G323" s="795">
        <f t="shared" si="60"/>
        <v>32000</v>
      </c>
      <c r="H323" s="208"/>
      <c r="I323" s="899"/>
      <c r="J323" s="208"/>
      <c r="K323" s="208"/>
      <c r="L323" s="208"/>
      <c r="M323" s="900"/>
      <c r="N323" s="901"/>
      <c r="O323" s="207"/>
      <c r="P323" s="207"/>
      <c r="Q323" s="207"/>
      <c r="R323" s="207"/>
      <c r="S323" s="207"/>
      <c r="T323" s="207"/>
      <c r="U323" s="16"/>
      <c r="V323" s="805"/>
      <c r="W323" s="807"/>
      <c r="X323" s="208"/>
      <c r="Y323" s="44"/>
      <c r="Z323" s="44"/>
      <c r="AA323" s="44"/>
      <c r="AB323" s="44"/>
    </row>
    <row r="324" spans="1:28" s="45" customFormat="1" ht="30">
      <c r="A324" s="185"/>
      <c r="B324" s="827" t="s">
        <v>1149</v>
      </c>
      <c r="C324" s="908" t="s">
        <v>1122</v>
      </c>
      <c r="D324" s="912" t="s">
        <v>1138</v>
      </c>
      <c r="E324" s="931">
        <v>6</v>
      </c>
      <c r="F324" s="913">
        <v>4800</v>
      </c>
      <c r="G324" s="795">
        <f t="shared" si="60"/>
        <v>28800</v>
      </c>
      <c r="H324" s="208"/>
      <c r="I324" s="899"/>
      <c r="J324" s="208"/>
      <c r="K324" s="208"/>
      <c r="L324" s="208"/>
      <c r="M324" s="900"/>
      <c r="N324" s="901"/>
      <c r="O324" s="207"/>
      <c r="P324" s="207"/>
      <c r="Q324" s="207"/>
      <c r="R324" s="207"/>
      <c r="S324" s="207"/>
      <c r="T324" s="207"/>
      <c r="U324" s="16"/>
      <c r="V324" s="805"/>
      <c r="W324" s="807"/>
      <c r="X324" s="208"/>
      <c r="Y324" s="44"/>
      <c r="Z324" s="44"/>
      <c r="AA324" s="44"/>
      <c r="AB324" s="44"/>
    </row>
    <row r="325" spans="1:28" s="45" customFormat="1">
      <c r="A325" s="185"/>
      <c r="B325" s="827" t="s">
        <v>1150</v>
      </c>
      <c r="C325" s="904" t="s">
        <v>1123</v>
      </c>
      <c r="D325" s="912" t="s">
        <v>1138</v>
      </c>
      <c r="E325" s="931">
        <v>5</v>
      </c>
      <c r="F325" s="913">
        <v>15000</v>
      </c>
      <c r="G325" s="795">
        <f t="shared" si="60"/>
        <v>75000</v>
      </c>
      <c r="H325" s="208"/>
      <c r="I325" s="899"/>
      <c r="J325" s="208"/>
      <c r="K325" s="208"/>
      <c r="L325" s="208"/>
      <c r="M325" s="900"/>
      <c r="N325" s="901"/>
      <c r="O325" s="207"/>
      <c r="P325" s="207"/>
      <c r="Q325" s="207"/>
      <c r="R325" s="207"/>
      <c r="S325" s="207"/>
      <c r="T325" s="207"/>
      <c r="U325" s="16"/>
      <c r="V325" s="805"/>
      <c r="W325" s="807"/>
      <c r="X325" s="208"/>
      <c r="Y325" s="44"/>
      <c r="Z325" s="44"/>
      <c r="AA325" s="44"/>
      <c r="AB325" s="44"/>
    </row>
    <row r="326" spans="1:28" s="45" customFormat="1" ht="30">
      <c r="A326" s="185"/>
      <c r="B326" s="827" t="s">
        <v>1151</v>
      </c>
      <c r="C326" s="908" t="s">
        <v>1124</v>
      </c>
      <c r="D326" s="912" t="s">
        <v>1138</v>
      </c>
      <c r="E326" s="931">
        <v>5</v>
      </c>
      <c r="F326" s="913">
        <v>1000</v>
      </c>
      <c r="G326" s="795">
        <f t="shared" si="60"/>
        <v>5000</v>
      </c>
      <c r="H326" s="208"/>
      <c r="I326" s="899"/>
      <c r="J326" s="208"/>
      <c r="K326" s="208"/>
      <c r="L326" s="208"/>
      <c r="M326" s="900"/>
      <c r="N326" s="901"/>
      <c r="O326" s="207"/>
      <c r="P326" s="207"/>
      <c r="Q326" s="207"/>
      <c r="R326" s="207"/>
      <c r="S326" s="207"/>
      <c r="T326" s="207"/>
      <c r="U326" s="16"/>
      <c r="V326" s="805"/>
      <c r="W326" s="807"/>
      <c r="X326" s="208"/>
      <c r="Y326" s="44"/>
      <c r="Z326" s="44"/>
      <c r="AA326" s="44"/>
      <c r="AB326" s="44"/>
    </row>
    <row r="327" spans="1:28" s="45" customFormat="1">
      <c r="A327" s="185"/>
      <c r="B327" s="827" t="s">
        <v>1152</v>
      </c>
      <c r="C327" s="902" t="s">
        <v>1125</v>
      </c>
      <c r="D327" s="912" t="s">
        <v>1138</v>
      </c>
      <c r="E327" s="931">
        <v>10</v>
      </c>
      <c r="F327" s="913">
        <v>20000</v>
      </c>
      <c r="G327" s="795">
        <f t="shared" si="60"/>
        <v>200000</v>
      </c>
      <c r="H327" s="208"/>
      <c r="I327" s="899"/>
      <c r="J327" s="208"/>
      <c r="K327" s="208"/>
      <c r="L327" s="208"/>
      <c r="M327" s="900"/>
      <c r="N327" s="901"/>
      <c r="O327" s="207"/>
      <c r="P327" s="207"/>
      <c r="Q327" s="207"/>
      <c r="R327" s="207"/>
      <c r="S327" s="207"/>
      <c r="T327" s="207"/>
      <c r="U327" s="16"/>
      <c r="V327" s="805"/>
      <c r="W327" s="807"/>
      <c r="X327" s="208"/>
      <c r="Y327" s="44"/>
      <c r="Z327" s="44"/>
      <c r="AA327" s="44"/>
      <c r="AB327" s="44"/>
    </row>
    <row r="328" spans="1:28" s="45" customFormat="1">
      <c r="A328" s="185"/>
      <c r="B328" s="827" t="s">
        <v>1153</v>
      </c>
      <c r="C328" s="902" t="s">
        <v>1126</v>
      </c>
      <c r="D328" s="912" t="s">
        <v>1138</v>
      </c>
      <c r="E328" s="931">
        <v>4</v>
      </c>
      <c r="F328" s="913">
        <v>25000</v>
      </c>
      <c r="G328" s="795">
        <f t="shared" si="60"/>
        <v>100000</v>
      </c>
      <c r="H328" s="208"/>
      <c r="I328" s="899"/>
      <c r="J328" s="208"/>
      <c r="K328" s="208"/>
      <c r="L328" s="208"/>
      <c r="M328" s="900"/>
      <c r="N328" s="901"/>
      <c r="O328" s="207"/>
      <c r="P328" s="207"/>
      <c r="Q328" s="207"/>
      <c r="R328" s="207"/>
      <c r="S328" s="207"/>
      <c r="T328" s="207"/>
      <c r="U328" s="16"/>
      <c r="V328" s="805"/>
      <c r="W328" s="807"/>
      <c r="X328" s="208"/>
      <c r="Y328" s="44"/>
      <c r="Z328" s="44"/>
      <c r="AA328" s="44"/>
      <c r="AB328" s="44"/>
    </row>
    <row r="329" spans="1:28" s="45" customFormat="1">
      <c r="A329" s="185"/>
      <c r="B329" s="827" t="s">
        <v>1154</v>
      </c>
      <c r="C329" s="902" t="s">
        <v>1127</v>
      </c>
      <c r="D329" s="912" t="s">
        <v>1138</v>
      </c>
      <c r="E329" s="931">
        <v>4</v>
      </c>
      <c r="F329" s="913">
        <v>17780</v>
      </c>
      <c r="G329" s="795">
        <f t="shared" si="60"/>
        <v>71120</v>
      </c>
      <c r="H329" s="208"/>
      <c r="I329" s="899"/>
      <c r="J329" s="208"/>
      <c r="K329" s="208"/>
      <c r="L329" s="208"/>
      <c r="M329" s="900"/>
      <c r="N329" s="901"/>
      <c r="O329" s="207"/>
      <c r="P329" s="207"/>
      <c r="Q329" s="207"/>
      <c r="R329" s="207"/>
      <c r="S329" s="207"/>
      <c r="T329" s="207"/>
      <c r="U329" s="16"/>
      <c r="V329" s="805"/>
      <c r="W329" s="807"/>
      <c r="X329" s="208"/>
      <c r="Y329" s="44"/>
      <c r="Z329" s="44"/>
      <c r="AA329" s="44"/>
      <c r="AB329" s="44"/>
    </row>
    <row r="330" spans="1:28" s="45" customFormat="1">
      <c r="A330" s="185"/>
      <c r="B330" s="827" t="s">
        <v>1155</v>
      </c>
      <c r="C330" s="902" t="s">
        <v>1128</v>
      </c>
      <c r="D330" s="912" t="s">
        <v>1139</v>
      </c>
      <c r="E330" s="931">
        <v>605</v>
      </c>
      <c r="F330" s="913">
        <v>2643</v>
      </c>
      <c r="G330" s="795">
        <f t="shared" si="60"/>
        <v>1599015</v>
      </c>
      <c r="H330" s="208"/>
      <c r="I330" s="899"/>
      <c r="J330" s="208"/>
      <c r="K330" s="208"/>
      <c r="L330" s="208"/>
      <c r="M330" s="900"/>
      <c r="N330" s="901"/>
      <c r="O330" s="207"/>
      <c r="P330" s="207"/>
      <c r="Q330" s="207"/>
      <c r="R330" s="207"/>
      <c r="S330" s="207"/>
      <c r="T330" s="207"/>
      <c r="U330" s="16"/>
      <c r="V330" s="805"/>
      <c r="W330" s="807"/>
      <c r="X330" s="208"/>
      <c r="Y330" s="44"/>
      <c r="Z330" s="44"/>
      <c r="AA330" s="44"/>
      <c r="AB330" s="44"/>
    </row>
    <row r="331" spans="1:28" s="45" customFormat="1">
      <c r="A331" s="185"/>
      <c r="B331" s="827" t="s">
        <v>1156</v>
      </c>
      <c r="C331" s="902" t="s">
        <v>1129</v>
      </c>
      <c r="D331" s="912" t="s">
        <v>1138</v>
      </c>
      <c r="E331" s="931">
        <v>3</v>
      </c>
      <c r="F331" s="913">
        <v>17000</v>
      </c>
      <c r="G331" s="795">
        <f t="shared" si="60"/>
        <v>51000</v>
      </c>
      <c r="H331" s="208"/>
      <c r="I331" s="899"/>
      <c r="J331" s="208"/>
      <c r="K331" s="208"/>
      <c r="L331" s="208"/>
      <c r="M331" s="900"/>
      <c r="N331" s="901"/>
      <c r="O331" s="207"/>
      <c r="P331" s="207"/>
      <c r="Q331" s="207"/>
      <c r="R331" s="207"/>
      <c r="S331" s="207"/>
      <c r="T331" s="207"/>
      <c r="U331" s="16"/>
      <c r="V331" s="805"/>
      <c r="W331" s="807"/>
      <c r="X331" s="208"/>
      <c r="Y331" s="44"/>
      <c r="Z331" s="44"/>
      <c r="AA331" s="44"/>
      <c r="AB331" s="44"/>
    </row>
    <row r="332" spans="1:28" s="45" customFormat="1" ht="30">
      <c r="A332" s="185"/>
      <c r="B332" s="827" t="s">
        <v>1157</v>
      </c>
      <c r="C332" s="907" t="s">
        <v>1130</v>
      </c>
      <c r="D332" s="912" t="s">
        <v>1138</v>
      </c>
      <c r="E332" s="931">
        <v>12</v>
      </c>
      <c r="F332" s="913">
        <v>14500</v>
      </c>
      <c r="G332" s="795">
        <f t="shared" si="60"/>
        <v>174000</v>
      </c>
      <c r="H332" s="208"/>
      <c r="I332" s="899"/>
      <c r="J332" s="208"/>
      <c r="K332" s="208"/>
      <c r="L332" s="208"/>
      <c r="M332" s="900"/>
      <c r="N332" s="901"/>
      <c r="O332" s="207"/>
      <c r="P332" s="207"/>
      <c r="Q332" s="207"/>
      <c r="R332" s="207"/>
      <c r="S332" s="207"/>
      <c r="T332" s="207"/>
      <c r="U332" s="16"/>
      <c r="V332" s="805"/>
      <c r="W332" s="807"/>
      <c r="X332" s="208"/>
      <c r="Y332" s="44"/>
      <c r="Z332" s="44"/>
      <c r="AA332" s="44"/>
      <c r="AB332" s="44"/>
    </row>
    <row r="333" spans="1:28" s="45" customFormat="1">
      <c r="A333" s="185"/>
      <c r="B333" s="827" t="s">
        <v>1158</v>
      </c>
      <c r="C333" s="902" t="s">
        <v>1131</v>
      </c>
      <c r="D333" s="912" t="s">
        <v>1138</v>
      </c>
      <c r="E333" s="931">
        <v>3</v>
      </c>
      <c r="F333" s="913">
        <v>2000</v>
      </c>
      <c r="G333" s="795">
        <f t="shared" si="60"/>
        <v>6000</v>
      </c>
      <c r="H333" s="208"/>
      <c r="I333" s="899"/>
      <c r="J333" s="208"/>
      <c r="K333" s="208"/>
      <c r="L333" s="208"/>
      <c r="M333" s="900"/>
      <c r="N333" s="901"/>
      <c r="O333" s="207"/>
      <c r="P333" s="207"/>
      <c r="Q333" s="207"/>
      <c r="R333" s="207"/>
      <c r="S333" s="207"/>
      <c r="T333" s="207"/>
      <c r="U333" s="16"/>
      <c r="V333" s="805"/>
      <c r="W333" s="807"/>
      <c r="X333" s="208"/>
      <c r="Y333" s="44"/>
      <c r="Z333" s="44"/>
      <c r="AA333" s="44"/>
      <c r="AB333" s="44"/>
    </row>
    <row r="334" spans="1:28" s="45" customFormat="1">
      <c r="A334" s="185"/>
      <c r="B334" s="827" t="s">
        <v>1159</v>
      </c>
      <c r="C334" s="902" t="s">
        <v>1132</v>
      </c>
      <c r="D334" s="912" t="s">
        <v>1140</v>
      </c>
      <c r="E334" s="931">
        <v>5</v>
      </c>
      <c r="F334" s="913">
        <v>4500</v>
      </c>
      <c r="G334" s="795">
        <f t="shared" si="60"/>
        <v>22500</v>
      </c>
      <c r="H334" s="208"/>
      <c r="I334" s="899"/>
      <c r="J334" s="208"/>
      <c r="K334" s="208"/>
      <c r="L334" s="208"/>
      <c r="M334" s="900"/>
      <c r="N334" s="901"/>
      <c r="O334" s="207"/>
      <c r="P334" s="207"/>
      <c r="Q334" s="207"/>
      <c r="R334" s="207"/>
      <c r="S334" s="207"/>
      <c r="T334" s="207"/>
      <c r="U334" s="16"/>
      <c r="V334" s="805"/>
      <c r="W334" s="807"/>
      <c r="X334" s="208"/>
      <c r="Y334" s="44"/>
      <c r="Z334" s="44"/>
      <c r="AA334" s="44"/>
      <c r="AB334" s="44"/>
    </row>
    <row r="335" spans="1:28" s="45" customFormat="1">
      <c r="A335" s="185"/>
      <c r="B335" s="827" t="s">
        <v>1160</v>
      </c>
      <c r="C335" s="902" t="s">
        <v>1133</v>
      </c>
      <c r="D335" s="912" t="s">
        <v>1138</v>
      </c>
      <c r="E335" s="931">
        <v>3</v>
      </c>
      <c r="F335" s="913">
        <v>35000</v>
      </c>
      <c r="G335" s="795">
        <f t="shared" si="60"/>
        <v>105000</v>
      </c>
      <c r="H335" s="208"/>
      <c r="I335" s="899"/>
      <c r="J335" s="208"/>
      <c r="K335" s="208"/>
      <c r="L335" s="208"/>
      <c r="M335" s="900"/>
      <c r="N335" s="901"/>
      <c r="O335" s="207"/>
      <c r="P335" s="207"/>
      <c r="Q335" s="207"/>
      <c r="R335" s="207"/>
      <c r="S335" s="207"/>
      <c r="T335" s="207"/>
      <c r="U335" s="16"/>
      <c r="V335" s="805"/>
      <c r="W335" s="807"/>
      <c r="X335" s="208"/>
      <c r="Y335" s="44"/>
      <c r="Z335" s="44"/>
      <c r="AA335" s="44"/>
      <c r="AB335" s="44"/>
    </row>
    <row r="336" spans="1:28" s="45" customFormat="1">
      <c r="A336" s="185"/>
      <c r="B336" s="827" t="s">
        <v>1161</v>
      </c>
      <c r="C336" s="902" t="s">
        <v>1134</v>
      </c>
      <c r="D336" s="912" t="s">
        <v>1138</v>
      </c>
      <c r="E336" s="931">
        <v>3</v>
      </c>
      <c r="F336" s="913">
        <v>20000</v>
      </c>
      <c r="G336" s="795">
        <f t="shared" si="60"/>
        <v>60000</v>
      </c>
      <c r="H336" s="208"/>
      <c r="I336" s="899"/>
      <c r="J336" s="208"/>
      <c r="K336" s="208"/>
      <c r="L336" s="208"/>
      <c r="M336" s="900"/>
      <c r="N336" s="901"/>
      <c r="O336" s="207"/>
      <c r="P336" s="207"/>
      <c r="Q336" s="207"/>
      <c r="R336" s="207"/>
      <c r="S336" s="207"/>
      <c r="T336" s="207"/>
      <c r="U336" s="16"/>
      <c r="V336" s="805"/>
      <c r="W336" s="807"/>
      <c r="X336" s="208"/>
      <c r="Y336" s="44"/>
      <c r="Z336" s="44"/>
      <c r="AA336" s="44"/>
      <c r="AB336" s="44"/>
    </row>
    <row r="337" spans="1:28" s="45" customFormat="1" ht="30">
      <c r="A337" s="185"/>
      <c r="B337" s="827" t="s">
        <v>1162</v>
      </c>
      <c r="C337" s="907" t="s">
        <v>1135</v>
      </c>
      <c r="D337" s="912" t="s">
        <v>1141</v>
      </c>
      <c r="E337" s="931">
        <v>45</v>
      </c>
      <c r="F337" s="913">
        <v>4833</v>
      </c>
      <c r="G337" s="795">
        <f t="shared" si="60"/>
        <v>217485</v>
      </c>
      <c r="H337" s="208"/>
      <c r="I337" s="899"/>
      <c r="J337" s="208"/>
      <c r="K337" s="208"/>
      <c r="L337" s="208"/>
      <c r="M337" s="900"/>
      <c r="N337" s="901"/>
      <c r="O337" s="207"/>
      <c r="P337" s="207"/>
      <c r="Q337" s="207"/>
      <c r="R337" s="207"/>
      <c r="S337" s="207"/>
      <c r="T337" s="207"/>
      <c r="U337" s="16"/>
      <c r="V337" s="805"/>
      <c r="W337" s="807"/>
      <c r="X337" s="208"/>
      <c r="Y337" s="44"/>
      <c r="Z337" s="44"/>
      <c r="AA337" s="44"/>
      <c r="AB337" s="44"/>
    </row>
    <row r="338" spans="1:28" s="45" customFormat="1">
      <c r="A338" s="185"/>
      <c r="B338" s="827">
        <v>10.199999999999999</v>
      </c>
      <c r="C338" s="917" t="s">
        <v>1178</v>
      </c>
      <c r="D338" s="827"/>
      <c r="E338" s="594"/>
      <c r="F338" s="575"/>
      <c r="G338" s="792"/>
      <c r="H338" s="208"/>
      <c r="I338" s="899"/>
      <c r="J338" s="208"/>
      <c r="K338" s="208"/>
      <c r="L338" s="208"/>
      <c r="M338" s="900"/>
      <c r="N338" s="901"/>
      <c r="O338" s="207"/>
      <c r="P338" s="207"/>
      <c r="Q338" s="207"/>
      <c r="R338" s="207"/>
      <c r="S338" s="207"/>
      <c r="T338" s="207"/>
      <c r="U338" s="16"/>
      <c r="V338" s="805"/>
      <c r="W338" s="807"/>
      <c r="X338" s="208"/>
      <c r="Y338" s="44"/>
      <c r="Z338" s="44"/>
      <c r="AA338" s="44"/>
      <c r="AB338" s="44"/>
    </row>
    <row r="339" spans="1:28" s="45" customFormat="1">
      <c r="A339" s="185"/>
      <c r="B339" s="827" t="s">
        <v>1179</v>
      </c>
      <c r="C339" s="916" t="s">
        <v>1163</v>
      </c>
      <c r="D339" s="919" t="s">
        <v>1207</v>
      </c>
      <c r="E339" s="919">
        <v>1</v>
      </c>
      <c r="F339" s="920">
        <v>160000</v>
      </c>
      <c r="G339" s="795">
        <f t="shared" si="60"/>
        <v>160000</v>
      </c>
      <c r="H339" s="208"/>
      <c r="I339" s="899"/>
      <c r="J339" s="208"/>
      <c r="K339" s="208"/>
      <c r="L339" s="208"/>
      <c r="M339" s="900"/>
      <c r="N339" s="901"/>
      <c r="O339" s="207"/>
      <c r="P339" s="207"/>
      <c r="Q339" s="207"/>
      <c r="R339" s="207"/>
      <c r="S339" s="207"/>
      <c r="T339" s="207"/>
      <c r="U339" s="16"/>
      <c r="V339" s="805"/>
      <c r="W339" s="807"/>
      <c r="X339" s="208"/>
      <c r="Y339" s="44"/>
      <c r="Z339" s="44"/>
      <c r="AA339" s="44"/>
      <c r="AB339" s="44"/>
    </row>
    <row r="340" spans="1:28" s="45" customFormat="1">
      <c r="A340" s="185"/>
      <c r="B340" s="827" t="s">
        <v>1180</v>
      </c>
      <c r="C340" s="916" t="s">
        <v>1164</v>
      </c>
      <c r="D340" s="919" t="s">
        <v>1207</v>
      </c>
      <c r="E340" s="919">
        <v>2</v>
      </c>
      <c r="F340" s="920">
        <v>115000</v>
      </c>
      <c r="G340" s="795">
        <f t="shared" si="60"/>
        <v>230000</v>
      </c>
      <c r="H340" s="208"/>
      <c r="I340" s="899"/>
      <c r="J340" s="208"/>
      <c r="K340" s="208"/>
      <c r="L340" s="208"/>
      <c r="M340" s="900"/>
      <c r="N340" s="901"/>
      <c r="O340" s="207"/>
      <c r="P340" s="207"/>
      <c r="Q340" s="207"/>
      <c r="R340" s="207"/>
      <c r="S340" s="207"/>
      <c r="T340" s="207"/>
      <c r="U340" s="16"/>
      <c r="V340" s="805"/>
      <c r="W340" s="807"/>
      <c r="X340" s="208"/>
      <c r="Y340" s="44"/>
      <c r="Z340" s="44"/>
      <c r="AA340" s="44"/>
      <c r="AB340" s="44"/>
    </row>
    <row r="341" spans="1:28" s="45" customFormat="1">
      <c r="A341" s="185"/>
      <c r="B341" s="827" t="s">
        <v>1181</v>
      </c>
      <c r="C341" s="916" t="s">
        <v>1165</v>
      </c>
      <c r="D341" s="919" t="s">
        <v>1207</v>
      </c>
      <c r="E341" s="919">
        <v>2</v>
      </c>
      <c r="F341" s="920">
        <v>213620</v>
      </c>
      <c r="G341" s="795">
        <f t="shared" si="60"/>
        <v>427240</v>
      </c>
      <c r="H341" s="208"/>
      <c r="I341" s="899"/>
      <c r="J341" s="208"/>
      <c r="K341" s="208"/>
      <c r="L341" s="208"/>
      <c r="M341" s="900"/>
      <c r="N341" s="901"/>
      <c r="O341" s="207"/>
      <c r="P341" s="207"/>
      <c r="Q341" s="207"/>
      <c r="R341" s="207"/>
      <c r="S341" s="207"/>
      <c r="T341" s="207"/>
      <c r="U341" s="16"/>
      <c r="V341" s="805"/>
      <c r="W341" s="807"/>
      <c r="X341" s="208"/>
      <c r="Y341" s="44"/>
      <c r="Z341" s="44"/>
      <c r="AA341" s="44"/>
      <c r="AB341" s="44"/>
    </row>
    <row r="342" spans="1:28" s="45" customFormat="1">
      <c r="A342" s="185"/>
      <c r="B342" s="827" t="s">
        <v>1182</v>
      </c>
      <c r="C342" s="916" t="s">
        <v>1166</v>
      </c>
      <c r="D342" s="919" t="s">
        <v>1207</v>
      </c>
      <c r="E342" s="919">
        <v>2</v>
      </c>
      <c r="F342" s="920">
        <v>15200</v>
      </c>
      <c r="G342" s="795">
        <f t="shared" si="60"/>
        <v>30400</v>
      </c>
      <c r="H342" s="208"/>
      <c r="I342" s="899"/>
      <c r="J342" s="208"/>
      <c r="K342" s="208"/>
      <c r="L342" s="208"/>
      <c r="M342" s="900"/>
      <c r="N342" s="901"/>
      <c r="O342" s="207"/>
      <c r="P342" s="207"/>
      <c r="Q342" s="207"/>
      <c r="R342" s="207"/>
      <c r="S342" s="207"/>
      <c r="T342" s="207"/>
      <c r="U342" s="16"/>
      <c r="V342" s="805"/>
      <c r="W342" s="807"/>
      <c r="X342" s="208"/>
      <c r="Y342" s="44"/>
      <c r="Z342" s="44"/>
      <c r="AA342" s="44"/>
      <c r="AB342" s="44"/>
    </row>
    <row r="343" spans="1:28" s="45" customFormat="1">
      <c r="A343" s="185"/>
      <c r="B343" s="827" t="s">
        <v>1183</v>
      </c>
      <c r="C343" s="916" t="s">
        <v>1167</v>
      </c>
      <c r="D343" s="919" t="s">
        <v>1207</v>
      </c>
      <c r="E343" s="919">
        <v>2</v>
      </c>
      <c r="F343" s="920">
        <v>16500</v>
      </c>
      <c r="G343" s="795">
        <f t="shared" si="60"/>
        <v>33000</v>
      </c>
      <c r="H343" s="208"/>
      <c r="I343" s="899"/>
      <c r="J343" s="208"/>
      <c r="K343" s="208"/>
      <c r="L343" s="208"/>
      <c r="M343" s="900"/>
      <c r="N343" s="901"/>
      <c r="O343" s="207"/>
      <c r="P343" s="207"/>
      <c r="Q343" s="207"/>
      <c r="R343" s="207"/>
      <c r="S343" s="207"/>
      <c r="T343" s="207"/>
      <c r="U343" s="16"/>
      <c r="V343" s="805"/>
      <c r="W343" s="807"/>
      <c r="X343" s="208"/>
      <c r="Y343" s="44"/>
      <c r="Z343" s="44"/>
      <c r="AA343" s="44"/>
      <c r="AB343" s="44"/>
    </row>
    <row r="344" spans="1:28" s="45" customFormat="1">
      <c r="A344" s="185"/>
      <c r="B344" s="827" t="s">
        <v>1184</v>
      </c>
      <c r="C344" s="916" t="s">
        <v>1168</v>
      </c>
      <c r="D344" s="919" t="s">
        <v>1207</v>
      </c>
      <c r="E344" s="919">
        <v>2</v>
      </c>
      <c r="F344" s="920">
        <v>22000</v>
      </c>
      <c r="G344" s="795">
        <f t="shared" si="60"/>
        <v>44000</v>
      </c>
      <c r="H344" s="208"/>
      <c r="I344" s="899"/>
      <c r="J344" s="208"/>
      <c r="K344" s="208"/>
      <c r="L344" s="208"/>
      <c r="M344" s="900"/>
      <c r="N344" s="901"/>
      <c r="O344" s="207"/>
      <c r="P344" s="207"/>
      <c r="Q344" s="207"/>
      <c r="R344" s="207"/>
      <c r="S344" s="207"/>
      <c r="T344" s="207"/>
      <c r="U344" s="16"/>
      <c r="V344" s="805"/>
      <c r="W344" s="807"/>
      <c r="X344" s="208"/>
      <c r="Y344" s="44"/>
      <c r="Z344" s="44"/>
      <c r="AA344" s="44"/>
      <c r="AB344" s="44"/>
    </row>
    <row r="345" spans="1:28" s="45" customFormat="1">
      <c r="A345" s="185"/>
      <c r="B345" s="827" t="s">
        <v>1185</v>
      </c>
      <c r="C345" s="916" t="s">
        <v>1169</v>
      </c>
      <c r="D345" s="919" t="s">
        <v>1207</v>
      </c>
      <c r="E345" s="919">
        <v>5</v>
      </c>
      <c r="F345" s="920">
        <v>500</v>
      </c>
      <c r="G345" s="795">
        <f t="shared" si="60"/>
        <v>2500</v>
      </c>
      <c r="H345" s="208"/>
      <c r="I345" s="899"/>
      <c r="J345" s="208"/>
      <c r="K345" s="208"/>
      <c r="L345" s="208"/>
      <c r="M345" s="900"/>
      <c r="N345" s="901"/>
      <c r="O345" s="207"/>
      <c r="P345" s="207"/>
      <c r="Q345" s="207"/>
      <c r="R345" s="207"/>
      <c r="S345" s="207"/>
      <c r="T345" s="207"/>
      <c r="U345" s="16"/>
      <c r="V345" s="805"/>
      <c r="W345" s="807"/>
      <c r="X345" s="208"/>
      <c r="Y345" s="44"/>
      <c r="Z345" s="44"/>
      <c r="AA345" s="44"/>
      <c r="AB345" s="44"/>
    </row>
    <row r="346" spans="1:28" s="45" customFormat="1">
      <c r="A346" s="185"/>
      <c r="B346" s="827" t="s">
        <v>1186</v>
      </c>
      <c r="C346" s="916" t="s">
        <v>1170</v>
      </c>
      <c r="D346" s="919" t="s">
        <v>1207</v>
      </c>
      <c r="E346" s="919">
        <v>2</v>
      </c>
      <c r="F346" s="920">
        <v>2500</v>
      </c>
      <c r="G346" s="795">
        <f t="shared" si="60"/>
        <v>5000</v>
      </c>
      <c r="H346" s="208"/>
      <c r="I346" s="899"/>
      <c r="J346" s="208"/>
      <c r="K346" s="208"/>
      <c r="L346" s="208"/>
      <c r="M346" s="900"/>
      <c r="N346" s="901"/>
      <c r="O346" s="207"/>
      <c r="P346" s="207"/>
      <c r="Q346" s="207"/>
      <c r="R346" s="207"/>
      <c r="S346" s="207"/>
      <c r="T346" s="207"/>
      <c r="U346" s="16"/>
      <c r="V346" s="805"/>
      <c r="W346" s="807"/>
      <c r="X346" s="208"/>
      <c r="Y346" s="44"/>
      <c r="Z346" s="44"/>
      <c r="AA346" s="44"/>
      <c r="AB346" s="44"/>
    </row>
    <row r="347" spans="1:28" s="45" customFormat="1">
      <c r="A347" s="185"/>
      <c r="B347" s="827" t="s">
        <v>1187</v>
      </c>
      <c r="C347" s="916" t="s">
        <v>1171</v>
      </c>
      <c r="D347" s="919" t="s">
        <v>1208</v>
      </c>
      <c r="E347" s="919">
        <v>5</v>
      </c>
      <c r="F347" s="920">
        <v>6000</v>
      </c>
      <c r="G347" s="795">
        <f t="shared" si="60"/>
        <v>30000</v>
      </c>
      <c r="H347" s="208"/>
      <c r="I347" s="899"/>
      <c r="J347" s="208"/>
      <c r="K347" s="208"/>
      <c r="L347" s="208"/>
      <c r="M347" s="900"/>
      <c r="N347" s="901"/>
      <c r="O347" s="207"/>
      <c r="P347" s="207"/>
      <c r="Q347" s="207"/>
      <c r="R347" s="207"/>
      <c r="S347" s="207"/>
      <c r="T347" s="207"/>
      <c r="U347" s="16"/>
      <c r="V347" s="805"/>
      <c r="W347" s="807"/>
      <c r="X347" s="208"/>
      <c r="Y347" s="44"/>
      <c r="Z347" s="44"/>
      <c r="AA347" s="44"/>
      <c r="AB347" s="44"/>
    </row>
    <row r="348" spans="1:28" s="45" customFormat="1">
      <c r="A348" s="185"/>
      <c r="B348" s="827" t="s">
        <v>1188</v>
      </c>
      <c r="C348" s="916" t="s">
        <v>1172</v>
      </c>
      <c r="D348" s="919" t="s">
        <v>1207</v>
      </c>
      <c r="E348" s="919">
        <v>2</v>
      </c>
      <c r="F348" s="920">
        <v>2000</v>
      </c>
      <c r="G348" s="795">
        <f t="shared" si="60"/>
        <v>4000</v>
      </c>
      <c r="H348" s="208"/>
      <c r="I348" s="899"/>
      <c r="J348" s="208"/>
      <c r="K348" s="208"/>
      <c r="L348" s="208"/>
      <c r="M348" s="900"/>
      <c r="N348" s="901"/>
      <c r="O348" s="207"/>
      <c r="P348" s="207"/>
      <c r="Q348" s="207"/>
      <c r="R348" s="207"/>
      <c r="S348" s="207"/>
      <c r="T348" s="207"/>
      <c r="U348" s="16"/>
      <c r="V348" s="805"/>
      <c r="W348" s="807"/>
      <c r="X348" s="208"/>
      <c r="Y348" s="44"/>
      <c r="Z348" s="44"/>
      <c r="AA348" s="44"/>
      <c r="AB348" s="44"/>
    </row>
    <row r="349" spans="1:28" s="45" customFormat="1">
      <c r="A349" s="185"/>
      <c r="B349" s="827" t="s">
        <v>1189</v>
      </c>
      <c r="C349" s="916" t="s">
        <v>1173</v>
      </c>
      <c r="D349" s="919" t="s">
        <v>1207</v>
      </c>
      <c r="E349" s="919">
        <v>2</v>
      </c>
      <c r="F349" s="920">
        <v>15000</v>
      </c>
      <c r="G349" s="795">
        <f t="shared" si="60"/>
        <v>30000</v>
      </c>
      <c r="H349" s="208"/>
      <c r="I349" s="899"/>
      <c r="J349" s="208"/>
      <c r="K349" s="208"/>
      <c r="L349" s="208"/>
      <c r="M349" s="900"/>
      <c r="N349" s="901"/>
      <c r="O349" s="207"/>
      <c r="P349" s="207"/>
      <c r="Q349" s="207"/>
      <c r="R349" s="207"/>
      <c r="S349" s="207"/>
      <c r="T349" s="207"/>
      <c r="U349" s="16"/>
      <c r="V349" s="805"/>
      <c r="W349" s="807"/>
      <c r="X349" s="208"/>
      <c r="Y349" s="44"/>
      <c r="Z349" s="44"/>
      <c r="AA349" s="44"/>
      <c r="AB349" s="44"/>
    </row>
    <row r="350" spans="1:28" s="45" customFormat="1">
      <c r="A350" s="185"/>
      <c r="B350" s="827" t="s">
        <v>1190</v>
      </c>
      <c r="C350" s="916" t="s">
        <v>1174</v>
      </c>
      <c r="D350" s="919" t="s">
        <v>1207</v>
      </c>
      <c r="E350" s="919">
        <v>2</v>
      </c>
      <c r="F350" s="920">
        <v>17780</v>
      </c>
      <c r="G350" s="795">
        <f t="shared" si="60"/>
        <v>35560</v>
      </c>
      <c r="H350" s="208"/>
      <c r="I350" s="899"/>
      <c r="J350" s="208"/>
      <c r="K350" s="208"/>
      <c r="L350" s="208"/>
      <c r="M350" s="900"/>
      <c r="N350" s="901"/>
      <c r="O350" s="207"/>
      <c r="P350" s="207"/>
      <c r="Q350" s="207"/>
      <c r="R350" s="207"/>
      <c r="S350" s="207"/>
      <c r="T350" s="207"/>
      <c r="U350" s="16"/>
      <c r="V350" s="805"/>
      <c r="W350" s="807"/>
      <c r="X350" s="208"/>
      <c r="Y350" s="44"/>
      <c r="Z350" s="44"/>
      <c r="AA350" s="44"/>
      <c r="AB350" s="44"/>
    </row>
    <row r="351" spans="1:28" s="45" customFormat="1">
      <c r="A351" s="185"/>
      <c r="B351" s="827" t="s">
        <v>1191</v>
      </c>
      <c r="C351" s="916" t="s">
        <v>1175</v>
      </c>
      <c r="D351" s="919" t="s">
        <v>1208</v>
      </c>
      <c r="E351" s="919">
        <v>8</v>
      </c>
      <c r="F351" s="920">
        <v>2400</v>
      </c>
      <c r="G351" s="795">
        <f t="shared" si="60"/>
        <v>19200</v>
      </c>
      <c r="H351" s="208"/>
      <c r="I351" s="899"/>
      <c r="J351" s="208"/>
      <c r="K351" s="208"/>
      <c r="L351" s="208"/>
      <c r="M351" s="900"/>
      <c r="N351" s="901"/>
      <c r="O351" s="207"/>
      <c r="P351" s="207"/>
      <c r="Q351" s="207"/>
      <c r="R351" s="207"/>
      <c r="S351" s="207"/>
      <c r="T351" s="207"/>
      <c r="U351" s="16"/>
      <c r="V351" s="805"/>
      <c r="W351" s="807"/>
      <c r="X351" s="208"/>
      <c r="Y351" s="44"/>
      <c r="Z351" s="44"/>
      <c r="AA351" s="44"/>
      <c r="AB351" s="44"/>
    </row>
    <row r="352" spans="1:28" s="45" customFormat="1">
      <c r="A352" s="185"/>
      <c r="B352" s="827" t="s">
        <v>1192</v>
      </c>
      <c r="C352" s="916" t="s">
        <v>1176</v>
      </c>
      <c r="D352" s="919" t="s">
        <v>1207</v>
      </c>
      <c r="E352" s="919">
        <v>2</v>
      </c>
      <c r="F352" s="920">
        <v>19500</v>
      </c>
      <c r="G352" s="795">
        <f t="shared" si="60"/>
        <v>39000</v>
      </c>
      <c r="H352" s="208"/>
      <c r="I352" s="899"/>
      <c r="J352" s="208"/>
      <c r="K352" s="208"/>
      <c r="L352" s="208"/>
      <c r="M352" s="900"/>
      <c r="N352" s="901"/>
      <c r="O352" s="207"/>
      <c r="P352" s="207"/>
      <c r="Q352" s="207"/>
      <c r="R352" s="207"/>
      <c r="S352" s="207"/>
      <c r="T352" s="207"/>
      <c r="U352" s="16"/>
      <c r="V352" s="805"/>
      <c r="W352" s="807"/>
      <c r="X352" s="208"/>
      <c r="Y352" s="44"/>
      <c r="Z352" s="44"/>
      <c r="AA352" s="44"/>
      <c r="AB352" s="44"/>
    </row>
    <row r="353" spans="1:28" s="45" customFormat="1">
      <c r="A353" s="185"/>
      <c r="B353" s="827" t="s">
        <v>1193</v>
      </c>
      <c r="C353" s="916" t="s">
        <v>1177</v>
      </c>
      <c r="D353" s="919" t="s">
        <v>1207</v>
      </c>
      <c r="E353" s="919">
        <v>1</v>
      </c>
      <c r="F353" s="920">
        <v>3841910</v>
      </c>
      <c r="G353" s="795">
        <f t="shared" si="60"/>
        <v>3841910</v>
      </c>
      <c r="H353" s="208"/>
      <c r="I353" s="899"/>
      <c r="J353" s="208"/>
      <c r="K353" s="208"/>
      <c r="L353" s="208"/>
      <c r="M353" s="900"/>
      <c r="N353" s="901"/>
      <c r="O353" s="207"/>
      <c r="P353" s="207"/>
      <c r="Q353" s="207"/>
      <c r="R353" s="207"/>
      <c r="S353" s="207"/>
      <c r="T353" s="207"/>
      <c r="U353" s="16"/>
      <c r="V353" s="805"/>
      <c r="W353" s="807"/>
      <c r="X353" s="208"/>
      <c r="Y353" s="44"/>
      <c r="Z353" s="44"/>
      <c r="AA353" s="44"/>
      <c r="AB353" s="44"/>
    </row>
    <row r="354" spans="1:28" s="45" customFormat="1" ht="30">
      <c r="A354" s="185"/>
      <c r="B354" s="827">
        <v>10.3</v>
      </c>
      <c r="C354" s="909" t="s">
        <v>1194</v>
      </c>
      <c r="D354" s="827"/>
      <c r="E354" s="594"/>
      <c r="F354" s="575"/>
      <c r="G354" s="795">
        <f t="shared" si="60"/>
        <v>0</v>
      </c>
      <c r="H354" s="208"/>
      <c r="I354" s="899"/>
      <c r="J354" s="208"/>
      <c r="K354" s="208"/>
      <c r="L354" s="208"/>
      <c r="M354" s="900"/>
      <c r="N354" s="901"/>
      <c r="O354" s="207"/>
      <c r="P354" s="207"/>
      <c r="Q354" s="207"/>
      <c r="R354" s="207"/>
      <c r="S354" s="207"/>
      <c r="T354" s="207"/>
      <c r="U354" s="16"/>
      <c r="V354" s="805"/>
      <c r="W354" s="807"/>
      <c r="X354" s="208"/>
      <c r="Y354" s="44"/>
      <c r="Z354" s="44"/>
      <c r="AA354" s="44"/>
      <c r="AB354" s="44"/>
    </row>
    <row r="355" spans="1:28" s="45" customFormat="1">
      <c r="A355" s="185"/>
      <c r="B355" s="827" t="s">
        <v>1201</v>
      </c>
      <c r="C355" s="918" t="s">
        <v>1195</v>
      </c>
      <c r="D355" s="921" t="s">
        <v>1208</v>
      </c>
      <c r="E355" s="921">
        <v>12</v>
      </c>
      <c r="F355" s="922">
        <v>4500</v>
      </c>
      <c r="G355" s="795">
        <f t="shared" si="60"/>
        <v>54000</v>
      </c>
      <c r="H355" s="208"/>
      <c r="I355" s="899"/>
      <c r="J355" s="208"/>
      <c r="K355" s="208"/>
      <c r="L355" s="208"/>
      <c r="M355" s="900"/>
      <c r="N355" s="901"/>
      <c r="O355" s="207"/>
      <c r="P355" s="207"/>
      <c r="Q355" s="207"/>
      <c r="R355" s="207"/>
      <c r="S355" s="207"/>
      <c r="T355" s="207"/>
      <c r="U355" s="16"/>
      <c r="V355" s="805"/>
      <c r="W355" s="807"/>
      <c r="X355" s="208"/>
      <c r="Y355" s="44"/>
      <c r="Z355" s="44"/>
      <c r="AA355" s="44"/>
      <c r="AB355" s="44"/>
    </row>
    <row r="356" spans="1:28" s="45" customFormat="1">
      <c r="A356" s="185"/>
      <c r="B356" s="827" t="s">
        <v>1202</v>
      </c>
      <c r="C356" s="918" t="s">
        <v>1196</v>
      </c>
      <c r="D356" s="921" t="s">
        <v>1207</v>
      </c>
      <c r="E356" s="921">
        <v>3</v>
      </c>
      <c r="F356" s="922">
        <v>1000</v>
      </c>
      <c r="G356" s="795">
        <f t="shared" si="60"/>
        <v>3000</v>
      </c>
      <c r="H356" s="208"/>
      <c r="I356" s="899"/>
      <c r="J356" s="208"/>
      <c r="K356" s="208"/>
      <c r="L356" s="208"/>
      <c r="M356" s="900"/>
      <c r="N356" s="901"/>
      <c r="O356" s="207"/>
      <c r="P356" s="207"/>
      <c r="Q356" s="207"/>
      <c r="R356" s="207"/>
      <c r="S356" s="207"/>
      <c r="T356" s="207"/>
      <c r="U356" s="16"/>
      <c r="V356" s="805"/>
      <c r="W356" s="807"/>
      <c r="X356" s="208"/>
      <c r="Y356" s="44"/>
      <c r="Z356" s="44"/>
      <c r="AA356" s="44"/>
      <c r="AB356" s="44"/>
    </row>
    <row r="357" spans="1:28" s="45" customFormat="1">
      <c r="A357" s="185"/>
      <c r="B357" s="827" t="s">
        <v>1203</v>
      </c>
      <c r="C357" s="918" t="s">
        <v>1197</v>
      </c>
      <c r="D357" s="921" t="s">
        <v>1208</v>
      </c>
      <c r="E357" s="921">
        <v>5</v>
      </c>
      <c r="F357" s="922">
        <v>5000</v>
      </c>
      <c r="G357" s="795">
        <f t="shared" si="60"/>
        <v>25000</v>
      </c>
      <c r="H357" s="208"/>
      <c r="I357" s="899"/>
      <c r="J357" s="208"/>
      <c r="K357" s="208"/>
      <c r="L357" s="208"/>
      <c r="M357" s="900"/>
      <c r="N357" s="901"/>
      <c r="O357" s="207"/>
      <c r="P357" s="207"/>
      <c r="Q357" s="207"/>
      <c r="R357" s="207"/>
      <c r="S357" s="207"/>
      <c r="T357" s="207"/>
      <c r="U357" s="16"/>
      <c r="V357" s="805"/>
      <c r="W357" s="807"/>
      <c r="X357" s="208"/>
      <c r="Y357" s="44"/>
      <c r="Z357" s="44"/>
      <c r="AA357" s="44"/>
      <c r="AB357" s="44"/>
    </row>
    <row r="358" spans="1:28" s="45" customFormat="1">
      <c r="A358" s="185"/>
      <c r="B358" s="827" t="s">
        <v>1204</v>
      </c>
      <c r="C358" s="918" t="s">
        <v>1198</v>
      </c>
      <c r="D358" s="921" t="s">
        <v>1207</v>
      </c>
      <c r="E358" s="921">
        <v>1</v>
      </c>
      <c r="F358" s="922">
        <v>60000</v>
      </c>
      <c r="G358" s="795">
        <f t="shared" si="60"/>
        <v>60000</v>
      </c>
      <c r="H358" s="208"/>
      <c r="I358" s="899"/>
      <c r="J358" s="208"/>
      <c r="K358" s="208"/>
      <c r="L358" s="208"/>
      <c r="M358" s="900"/>
      <c r="N358" s="901"/>
      <c r="O358" s="207"/>
      <c r="P358" s="207"/>
      <c r="Q358" s="207"/>
      <c r="R358" s="207"/>
      <c r="S358" s="207"/>
      <c r="T358" s="207"/>
      <c r="U358" s="16"/>
      <c r="V358" s="805"/>
      <c r="W358" s="807"/>
      <c r="X358" s="208"/>
      <c r="Y358" s="44"/>
      <c r="Z358" s="44"/>
      <c r="AA358" s="44"/>
      <c r="AB358" s="44"/>
    </row>
    <row r="359" spans="1:28" s="45" customFormat="1">
      <c r="A359" s="185"/>
      <c r="B359" s="827" t="s">
        <v>1205</v>
      </c>
      <c r="C359" s="918" t="s">
        <v>1199</v>
      </c>
      <c r="D359" s="921" t="s">
        <v>1207</v>
      </c>
      <c r="E359" s="921">
        <v>1</v>
      </c>
      <c r="F359" s="922">
        <v>20000</v>
      </c>
      <c r="G359" s="795">
        <f t="shared" si="60"/>
        <v>20000</v>
      </c>
      <c r="H359" s="208"/>
      <c r="I359" s="899"/>
      <c r="J359" s="208"/>
      <c r="K359" s="208"/>
      <c r="L359" s="208"/>
      <c r="M359" s="900"/>
      <c r="N359" s="901"/>
      <c r="O359" s="207"/>
      <c r="P359" s="207"/>
      <c r="Q359" s="207"/>
      <c r="R359" s="207"/>
      <c r="S359" s="207"/>
      <c r="T359" s="207"/>
      <c r="U359" s="16"/>
      <c r="V359" s="805"/>
      <c r="W359" s="807"/>
      <c r="X359" s="208"/>
      <c r="Y359" s="44"/>
      <c r="Z359" s="44"/>
      <c r="AA359" s="44"/>
      <c r="AB359" s="44"/>
    </row>
    <row r="360" spans="1:28" s="45" customFormat="1">
      <c r="A360" s="185"/>
      <c r="B360" s="827" t="s">
        <v>1206</v>
      </c>
      <c r="C360" s="918" t="s">
        <v>1200</v>
      </c>
      <c r="D360" s="921" t="s">
        <v>1207</v>
      </c>
      <c r="E360" s="921">
        <v>1</v>
      </c>
      <c r="F360" s="922">
        <v>20000</v>
      </c>
      <c r="G360" s="795">
        <f t="shared" si="60"/>
        <v>20000</v>
      </c>
      <c r="H360" s="208"/>
      <c r="I360" s="899"/>
      <c r="J360" s="208"/>
      <c r="K360" s="208"/>
      <c r="L360" s="208"/>
      <c r="M360" s="900"/>
      <c r="N360" s="901"/>
      <c r="O360" s="207"/>
      <c r="P360" s="207"/>
      <c r="Q360" s="207"/>
      <c r="R360" s="207"/>
      <c r="S360" s="207"/>
      <c r="T360" s="207"/>
      <c r="U360" s="16"/>
      <c r="V360" s="805"/>
      <c r="W360" s="807"/>
      <c r="X360" s="208"/>
      <c r="Y360" s="44"/>
      <c r="Z360" s="44"/>
      <c r="AA360" s="44"/>
      <c r="AB360" s="44"/>
    </row>
    <row r="361" spans="1:28" s="45" customFormat="1" ht="15.75">
      <c r="A361" s="185"/>
      <c r="B361" s="827">
        <v>10.4</v>
      </c>
      <c r="C361" s="923" t="s">
        <v>1209</v>
      </c>
      <c r="D361" s="827"/>
      <c r="E361" s="594"/>
      <c r="F361" s="575"/>
      <c r="G361" s="792"/>
      <c r="H361" s="208"/>
      <c r="I361" s="899"/>
      <c r="J361" s="208"/>
      <c r="K361" s="208"/>
      <c r="L361" s="208"/>
      <c r="M361" s="900"/>
      <c r="N361" s="901"/>
      <c r="O361" s="207"/>
      <c r="P361" s="207"/>
      <c r="Q361" s="207"/>
      <c r="R361" s="207"/>
      <c r="S361" s="207"/>
      <c r="T361" s="207"/>
      <c r="U361" s="16"/>
      <c r="V361" s="805"/>
      <c r="W361" s="807"/>
      <c r="X361" s="208"/>
      <c r="Y361" s="44"/>
      <c r="Z361" s="44"/>
      <c r="AA361" s="44"/>
      <c r="AB361" s="44"/>
    </row>
    <row r="362" spans="1:28" s="45" customFormat="1">
      <c r="A362" s="185"/>
      <c r="B362" s="827" t="s">
        <v>1210</v>
      </c>
      <c r="C362" s="924" t="s">
        <v>1238</v>
      </c>
      <c r="D362" s="925" t="s">
        <v>525</v>
      </c>
      <c r="E362" s="932">
        <v>30</v>
      </c>
      <c r="F362" s="926">
        <v>8211</v>
      </c>
      <c r="G362" s="910">
        <f>+F362*E362</f>
        <v>246330</v>
      </c>
      <c r="H362" s="208"/>
      <c r="I362" s="899"/>
      <c r="J362" s="208"/>
      <c r="K362" s="208"/>
      <c r="L362" s="208"/>
      <c r="M362" s="900"/>
      <c r="N362" s="901"/>
      <c r="O362" s="207"/>
      <c r="P362" s="207"/>
      <c r="Q362" s="207"/>
      <c r="R362" s="207"/>
      <c r="S362" s="207"/>
      <c r="T362" s="207"/>
      <c r="U362" s="16"/>
      <c r="V362" s="805"/>
      <c r="W362" s="807"/>
      <c r="X362" s="208"/>
      <c r="Y362" s="44"/>
      <c r="Z362" s="44"/>
      <c r="AA362" s="44"/>
      <c r="AB362" s="44"/>
    </row>
    <row r="363" spans="1:28" s="45" customFormat="1">
      <c r="A363" s="185"/>
      <c r="B363" s="827" t="s">
        <v>1211</v>
      </c>
      <c r="C363" s="927" t="s">
        <v>1239</v>
      </c>
      <c r="D363" s="928" t="s">
        <v>525</v>
      </c>
      <c r="E363" s="933">
        <v>600</v>
      </c>
      <c r="F363" s="929">
        <v>3141</v>
      </c>
      <c r="G363" s="910">
        <f t="shared" ref="G363:G389" si="61">+F363*E363</f>
        <v>1884600</v>
      </c>
      <c r="H363" s="208"/>
      <c r="I363" s="899"/>
      <c r="J363" s="208"/>
      <c r="K363" s="208"/>
      <c r="L363" s="208"/>
      <c r="M363" s="900"/>
      <c r="N363" s="901"/>
      <c r="O363" s="207"/>
      <c r="P363" s="207"/>
      <c r="Q363" s="207"/>
      <c r="R363" s="207"/>
      <c r="S363" s="207"/>
      <c r="T363" s="207"/>
      <c r="U363" s="16"/>
      <c r="V363" s="805"/>
      <c r="W363" s="807"/>
      <c r="X363" s="208"/>
      <c r="Y363" s="44"/>
      <c r="Z363" s="44"/>
      <c r="AA363" s="44"/>
      <c r="AB363" s="44"/>
    </row>
    <row r="364" spans="1:28" s="45" customFormat="1">
      <c r="A364" s="185"/>
      <c r="B364" s="827" t="s">
        <v>1212</v>
      </c>
      <c r="C364" s="924" t="s">
        <v>1240</v>
      </c>
      <c r="D364" s="925" t="s">
        <v>525</v>
      </c>
      <c r="E364" s="932">
        <v>50</v>
      </c>
      <c r="F364" s="926">
        <v>5146.92</v>
      </c>
      <c r="G364" s="910">
        <f t="shared" si="61"/>
        <v>257346</v>
      </c>
      <c r="H364" s="208"/>
      <c r="I364" s="899"/>
      <c r="J364" s="208"/>
      <c r="K364" s="208"/>
      <c r="L364" s="208"/>
      <c r="M364" s="900"/>
      <c r="N364" s="901"/>
      <c r="O364" s="207"/>
      <c r="P364" s="207"/>
      <c r="Q364" s="207"/>
      <c r="R364" s="207"/>
      <c r="S364" s="207"/>
      <c r="T364" s="207"/>
      <c r="U364" s="16"/>
      <c r="V364" s="805"/>
      <c r="W364" s="807"/>
      <c r="X364" s="208"/>
      <c r="Y364" s="44"/>
      <c r="Z364" s="44"/>
      <c r="AA364" s="44"/>
      <c r="AB364" s="44"/>
    </row>
    <row r="365" spans="1:28" s="45" customFormat="1">
      <c r="A365" s="185"/>
      <c r="B365" s="827" t="s">
        <v>1213</v>
      </c>
      <c r="C365" s="924" t="s">
        <v>1241</v>
      </c>
      <c r="D365" s="925" t="s">
        <v>1242</v>
      </c>
      <c r="E365" s="932">
        <v>2</v>
      </c>
      <c r="F365" s="926">
        <v>6500</v>
      </c>
      <c r="G365" s="910">
        <f t="shared" si="61"/>
        <v>13000</v>
      </c>
      <c r="H365" s="208"/>
      <c r="I365" s="899"/>
      <c r="J365" s="208"/>
      <c r="K365" s="208"/>
      <c r="L365" s="208"/>
      <c r="M365" s="900"/>
      <c r="N365" s="901"/>
      <c r="O365" s="207"/>
      <c r="P365" s="207"/>
      <c r="Q365" s="207"/>
      <c r="R365" s="207"/>
      <c r="S365" s="207"/>
      <c r="T365" s="207"/>
      <c r="U365" s="16"/>
      <c r="V365" s="805"/>
      <c r="W365" s="807"/>
      <c r="X365" s="208"/>
      <c r="Y365" s="44"/>
      <c r="Z365" s="44"/>
      <c r="AA365" s="44"/>
      <c r="AB365" s="44"/>
    </row>
    <row r="366" spans="1:28" s="45" customFormat="1">
      <c r="A366" s="185"/>
      <c r="B366" s="827" t="s">
        <v>1214</v>
      </c>
      <c r="C366" s="924" t="s">
        <v>1243</v>
      </c>
      <c r="D366" s="925" t="s">
        <v>1242</v>
      </c>
      <c r="E366" s="932">
        <v>3</v>
      </c>
      <c r="F366" s="926">
        <v>3500</v>
      </c>
      <c r="G366" s="910">
        <f t="shared" si="61"/>
        <v>10500</v>
      </c>
      <c r="H366" s="208"/>
      <c r="I366" s="899"/>
      <c r="J366" s="208"/>
      <c r="K366" s="208"/>
      <c r="L366" s="208"/>
      <c r="M366" s="900"/>
      <c r="N366" s="901"/>
      <c r="O366" s="207"/>
      <c r="P366" s="207"/>
      <c r="Q366" s="207"/>
      <c r="R366" s="207"/>
      <c r="S366" s="207"/>
      <c r="T366" s="207"/>
      <c r="U366" s="16"/>
      <c r="V366" s="805"/>
      <c r="W366" s="807"/>
      <c r="X366" s="208"/>
      <c r="Y366" s="44"/>
      <c r="Z366" s="44"/>
      <c r="AA366" s="44"/>
      <c r="AB366" s="44"/>
    </row>
    <row r="367" spans="1:28" s="45" customFormat="1">
      <c r="A367" s="185"/>
      <c r="B367" s="827" t="s">
        <v>1215</v>
      </c>
      <c r="C367" s="924" t="s">
        <v>1244</v>
      </c>
      <c r="D367" s="925" t="s">
        <v>1242</v>
      </c>
      <c r="E367" s="932">
        <v>20</v>
      </c>
      <c r="F367" s="926">
        <v>5000</v>
      </c>
      <c r="G367" s="910">
        <f t="shared" si="61"/>
        <v>100000</v>
      </c>
      <c r="H367" s="208"/>
      <c r="I367" s="899"/>
      <c r="J367" s="208"/>
      <c r="K367" s="208"/>
      <c r="L367" s="208"/>
      <c r="M367" s="900"/>
      <c r="N367" s="901"/>
      <c r="O367" s="207"/>
      <c r="P367" s="207"/>
      <c r="Q367" s="207"/>
      <c r="R367" s="207"/>
      <c r="S367" s="207"/>
      <c r="T367" s="207"/>
      <c r="U367" s="16"/>
      <c r="V367" s="805"/>
      <c r="W367" s="807"/>
      <c r="X367" s="208"/>
      <c r="Y367" s="44"/>
      <c r="Z367" s="44"/>
      <c r="AA367" s="44"/>
      <c r="AB367" s="44"/>
    </row>
    <row r="368" spans="1:28" s="45" customFormat="1">
      <c r="A368" s="185"/>
      <c r="B368" s="827" t="s">
        <v>1216</v>
      </c>
      <c r="C368" s="924" t="s">
        <v>1245</v>
      </c>
      <c r="D368" s="925" t="s">
        <v>1242</v>
      </c>
      <c r="E368" s="932">
        <v>3</v>
      </c>
      <c r="F368" s="926">
        <v>1500</v>
      </c>
      <c r="G368" s="910">
        <f t="shared" si="61"/>
        <v>4500</v>
      </c>
      <c r="H368" s="208"/>
      <c r="I368" s="899"/>
      <c r="J368" s="208"/>
      <c r="K368" s="208"/>
      <c r="L368" s="208"/>
      <c r="M368" s="900"/>
      <c r="N368" s="901"/>
      <c r="O368" s="207"/>
      <c r="P368" s="207"/>
      <c r="Q368" s="207"/>
      <c r="R368" s="207"/>
      <c r="S368" s="207"/>
      <c r="T368" s="207"/>
      <c r="U368" s="16"/>
      <c r="V368" s="805"/>
      <c r="W368" s="807"/>
      <c r="X368" s="208"/>
      <c r="Y368" s="44"/>
      <c r="Z368" s="44"/>
      <c r="AA368" s="44"/>
      <c r="AB368" s="44"/>
    </row>
    <row r="369" spans="1:28" s="45" customFormat="1">
      <c r="A369" s="185"/>
      <c r="B369" s="827" t="s">
        <v>1217</v>
      </c>
      <c r="C369" s="924" t="s">
        <v>1246</v>
      </c>
      <c r="D369" s="925" t="s">
        <v>1242</v>
      </c>
      <c r="E369" s="932">
        <v>20</v>
      </c>
      <c r="F369" s="926">
        <v>6500</v>
      </c>
      <c r="G369" s="910">
        <f t="shared" si="61"/>
        <v>130000</v>
      </c>
      <c r="H369" s="208"/>
      <c r="I369" s="899"/>
      <c r="J369" s="208"/>
      <c r="K369" s="208"/>
      <c r="L369" s="208"/>
      <c r="M369" s="900"/>
      <c r="N369" s="901"/>
      <c r="O369" s="207"/>
      <c r="P369" s="207"/>
      <c r="Q369" s="207"/>
      <c r="R369" s="207"/>
      <c r="S369" s="207"/>
      <c r="T369" s="207"/>
      <c r="U369" s="16"/>
      <c r="V369" s="805"/>
      <c r="W369" s="807"/>
      <c r="X369" s="208"/>
      <c r="Y369" s="44"/>
      <c r="Z369" s="44"/>
      <c r="AA369" s="44"/>
      <c r="AB369" s="44"/>
    </row>
    <row r="370" spans="1:28" s="45" customFormat="1">
      <c r="A370" s="185"/>
      <c r="B370" s="827" t="s">
        <v>1218</v>
      </c>
      <c r="C370" s="924" t="s">
        <v>1247</v>
      </c>
      <c r="D370" s="925" t="s">
        <v>1242</v>
      </c>
      <c r="E370" s="932">
        <v>120</v>
      </c>
      <c r="F370" s="926">
        <v>3500</v>
      </c>
      <c r="G370" s="910">
        <f t="shared" si="61"/>
        <v>420000</v>
      </c>
      <c r="H370" s="208"/>
      <c r="I370" s="899"/>
      <c r="J370" s="208"/>
      <c r="K370" s="208"/>
      <c r="L370" s="208"/>
      <c r="M370" s="900"/>
      <c r="N370" s="901"/>
      <c r="O370" s="207"/>
      <c r="P370" s="207"/>
      <c r="Q370" s="207"/>
      <c r="R370" s="207"/>
      <c r="S370" s="207"/>
      <c r="T370" s="207"/>
      <c r="U370" s="16"/>
      <c r="V370" s="805"/>
      <c r="W370" s="807"/>
      <c r="X370" s="208"/>
      <c r="Y370" s="44"/>
      <c r="Z370" s="44"/>
      <c r="AA370" s="44"/>
      <c r="AB370" s="44"/>
    </row>
    <row r="371" spans="1:28" s="45" customFormat="1">
      <c r="A371" s="185"/>
      <c r="B371" s="827" t="s">
        <v>1219</v>
      </c>
      <c r="C371" s="924" t="s">
        <v>1248</v>
      </c>
      <c r="D371" s="925" t="s">
        <v>1242</v>
      </c>
      <c r="E371" s="932">
        <v>60</v>
      </c>
      <c r="F371" s="926">
        <v>6000</v>
      </c>
      <c r="G371" s="910">
        <f t="shared" si="61"/>
        <v>360000</v>
      </c>
      <c r="H371" s="208"/>
      <c r="I371" s="899"/>
      <c r="J371" s="208"/>
      <c r="K371" s="208"/>
      <c r="L371" s="208"/>
      <c r="M371" s="900"/>
      <c r="N371" s="901"/>
      <c r="O371" s="207"/>
      <c r="P371" s="207"/>
      <c r="Q371" s="207"/>
      <c r="R371" s="207"/>
      <c r="S371" s="207"/>
      <c r="T371" s="207"/>
      <c r="U371" s="16"/>
      <c r="V371" s="805"/>
      <c r="W371" s="807"/>
      <c r="X371" s="208"/>
      <c r="Y371" s="44"/>
      <c r="Z371" s="44"/>
      <c r="AA371" s="44"/>
      <c r="AB371" s="44"/>
    </row>
    <row r="372" spans="1:28" s="45" customFormat="1">
      <c r="A372" s="185"/>
      <c r="B372" s="827" t="s">
        <v>1220</v>
      </c>
      <c r="C372" s="924" t="s">
        <v>1249</v>
      </c>
      <c r="D372" s="925" t="s">
        <v>1242</v>
      </c>
      <c r="E372" s="932">
        <v>70</v>
      </c>
      <c r="F372" s="926">
        <v>5300</v>
      </c>
      <c r="G372" s="910">
        <f t="shared" si="61"/>
        <v>371000</v>
      </c>
      <c r="H372" s="208"/>
      <c r="I372" s="899"/>
      <c r="J372" s="208"/>
      <c r="K372" s="208"/>
      <c r="L372" s="208"/>
      <c r="M372" s="900"/>
      <c r="N372" s="901"/>
      <c r="O372" s="207"/>
      <c r="P372" s="207"/>
      <c r="Q372" s="207"/>
      <c r="R372" s="207"/>
      <c r="S372" s="207"/>
      <c r="T372" s="207"/>
      <c r="U372" s="16"/>
      <c r="V372" s="805"/>
      <c r="W372" s="807"/>
      <c r="X372" s="208"/>
      <c r="Y372" s="44"/>
      <c r="Z372" s="44"/>
      <c r="AA372" s="44"/>
      <c r="AB372" s="44"/>
    </row>
    <row r="373" spans="1:28" s="45" customFormat="1">
      <c r="A373" s="185"/>
      <c r="B373" s="827" t="s">
        <v>1221</v>
      </c>
      <c r="C373" s="924" t="s">
        <v>1250</v>
      </c>
      <c r="D373" s="925" t="s">
        <v>1242</v>
      </c>
      <c r="E373" s="932">
        <v>12</v>
      </c>
      <c r="F373" s="926">
        <v>101966</v>
      </c>
      <c r="G373" s="910">
        <f t="shared" si="61"/>
        <v>1223592</v>
      </c>
      <c r="H373" s="208"/>
      <c r="I373" s="899"/>
      <c r="J373" s="208"/>
      <c r="K373" s="208"/>
      <c r="L373" s="208"/>
      <c r="M373" s="900"/>
      <c r="N373" s="901"/>
      <c r="O373" s="207"/>
      <c r="P373" s="207"/>
      <c r="Q373" s="207"/>
      <c r="R373" s="207"/>
      <c r="S373" s="207"/>
      <c r="T373" s="207"/>
      <c r="U373" s="16"/>
      <c r="V373" s="805"/>
      <c r="W373" s="807"/>
      <c r="X373" s="208"/>
      <c r="Y373" s="44"/>
      <c r="Z373" s="44"/>
      <c r="AA373" s="44"/>
      <c r="AB373" s="44"/>
    </row>
    <row r="374" spans="1:28" s="45" customFormat="1">
      <c r="A374" s="185"/>
      <c r="B374" s="827" t="s">
        <v>1222</v>
      </c>
      <c r="C374" s="924" t="s">
        <v>1251</v>
      </c>
      <c r="D374" s="925" t="s">
        <v>1242</v>
      </c>
      <c r="E374" s="932">
        <v>32</v>
      </c>
      <c r="F374" s="926">
        <v>12000</v>
      </c>
      <c r="G374" s="910">
        <f t="shared" si="61"/>
        <v>384000</v>
      </c>
      <c r="H374" s="208"/>
      <c r="I374" s="899"/>
      <c r="J374" s="208"/>
      <c r="K374" s="208"/>
      <c r="L374" s="208"/>
      <c r="M374" s="900"/>
      <c r="N374" s="901"/>
      <c r="O374" s="207"/>
      <c r="P374" s="207"/>
      <c r="Q374" s="207"/>
      <c r="R374" s="207"/>
      <c r="S374" s="207"/>
      <c r="T374" s="207"/>
      <c r="U374" s="16"/>
      <c r="V374" s="805"/>
      <c r="W374" s="807"/>
      <c r="X374" s="208"/>
      <c r="Y374" s="44"/>
      <c r="Z374" s="44"/>
      <c r="AA374" s="44"/>
      <c r="AB374" s="44"/>
    </row>
    <row r="375" spans="1:28" s="45" customFormat="1">
      <c r="A375" s="185"/>
      <c r="B375" s="827" t="s">
        <v>1223</v>
      </c>
      <c r="C375" s="924" t="s">
        <v>1252</v>
      </c>
      <c r="D375" s="925" t="s">
        <v>1242</v>
      </c>
      <c r="E375" s="932">
        <v>6</v>
      </c>
      <c r="F375" s="926">
        <v>512220</v>
      </c>
      <c r="G375" s="910">
        <f t="shared" si="61"/>
        <v>3073320</v>
      </c>
      <c r="H375" s="208"/>
      <c r="I375" s="899"/>
      <c r="J375" s="208"/>
      <c r="K375" s="208"/>
      <c r="L375" s="208"/>
      <c r="M375" s="900"/>
      <c r="N375" s="901"/>
      <c r="O375" s="207"/>
      <c r="P375" s="207"/>
      <c r="Q375" s="207"/>
      <c r="R375" s="207"/>
      <c r="S375" s="207"/>
      <c r="T375" s="207"/>
      <c r="U375" s="16"/>
      <c r="V375" s="805"/>
      <c r="W375" s="807"/>
      <c r="X375" s="208"/>
      <c r="Y375" s="44"/>
      <c r="Z375" s="44"/>
      <c r="AA375" s="44"/>
      <c r="AB375" s="44"/>
    </row>
    <row r="376" spans="1:28" s="45" customFormat="1" ht="30">
      <c r="A376" s="185"/>
      <c r="B376" s="827" t="s">
        <v>1224</v>
      </c>
      <c r="C376" s="941" t="s">
        <v>1253</v>
      </c>
      <c r="D376" s="925" t="s">
        <v>1242</v>
      </c>
      <c r="E376" s="932">
        <v>5</v>
      </c>
      <c r="F376" s="926">
        <v>493080</v>
      </c>
      <c r="G376" s="910">
        <f t="shared" si="61"/>
        <v>2465400</v>
      </c>
      <c r="H376" s="208"/>
      <c r="I376" s="899"/>
      <c r="J376" s="208"/>
      <c r="K376" s="208"/>
      <c r="L376" s="208"/>
      <c r="M376" s="900"/>
      <c r="N376" s="901"/>
      <c r="O376" s="207"/>
      <c r="P376" s="207"/>
      <c r="Q376" s="207"/>
      <c r="R376" s="207"/>
      <c r="S376" s="207"/>
      <c r="T376" s="207"/>
      <c r="U376" s="16"/>
      <c r="V376" s="805"/>
      <c r="W376" s="807"/>
      <c r="X376" s="208"/>
      <c r="Y376" s="44"/>
      <c r="Z376" s="44"/>
      <c r="AA376" s="44"/>
      <c r="AB376" s="44"/>
    </row>
    <row r="377" spans="1:28" s="45" customFormat="1">
      <c r="A377" s="185"/>
      <c r="B377" s="827" t="s">
        <v>1225</v>
      </c>
      <c r="C377" s="924" t="s">
        <v>1254</v>
      </c>
      <c r="D377" s="925" t="s">
        <v>1242</v>
      </c>
      <c r="E377" s="932">
        <v>21</v>
      </c>
      <c r="F377" s="926">
        <v>5000</v>
      </c>
      <c r="G377" s="910">
        <f t="shared" si="61"/>
        <v>105000</v>
      </c>
      <c r="H377" s="208"/>
      <c r="I377" s="899"/>
      <c r="J377" s="208"/>
      <c r="K377" s="208"/>
      <c r="L377" s="208"/>
      <c r="M377" s="900"/>
      <c r="N377" s="901"/>
      <c r="O377" s="207"/>
      <c r="P377" s="207"/>
      <c r="Q377" s="207"/>
      <c r="R377" s="207"/>
      <c r="S377" s="207"/>
      <c r="T377" s="207"/>
      <c r="U377" s="16"/>
      <c r="V377" s="805"/>
      <c r="W377" s="807"/>
      <c r="X377" s="208"/>
      <c r="Y377" s="44"/>
      <c r="Z377" s="44"/>
      <c r="AA377" s="44"/>
      <c r="AB377" s="44"/>
    </row>
    <row r="378" spans="1:28" s="45" customFormat="1">
      <c r="A378" s="185"/>
      <c r="B378" s="827" t="s">
        <v>1226</v>
      </c>
      <c r="C378" s="924" t="s">
        <v>1255</v>
      </c>
      <c r="D378" s="925" t="s">
        <v>1242</v>
      </c>
      <c r="E378" s="932">
        <v>8</v>
      </c>
      <c r="F378" s="926">
        <v>44780</v>
      </c>
      <c r="G378" s="910">
        <f t="shared" si="61"/>
        <v>358240</v>
      </c>
      <c r="H378" s="208"/>
      <c r="I378" s="899"/>
      <c r="J378" s="208"/>
      <c r="K378" s="208"/>
      <c r="L378" s="208"/>
      <c r="M378" s="900"/>
      <c r="N378" s="901"/>
      <c r="O378" s="207"/>
      <c r="P378" s="207"/>
      <c r="Q378" s="207"/>
      <c r="R378" s="207"/>
      <c r="S378" s="207"/>
      <c r="T378" s="207"/>
      <c r="U378" s="16"/>
      <c r="V378" s="805"/>
      <c r="W378" s="807"/>
      <c r="X378" s="208"/>
      <c r="Y378" s="44"/>
      <c r="Z378" s="44"/>
      <c r="AA378" s="44"/>
      <c r="AB378" s="44"/>
    </row>
    <row r="379" spans="1:28" s="45" customFormat="1">
      <c r="A379" s="185"/>
      <c r="B379" s="827" t="s">
        <v>1227</v>
      </c>
      <c r="C379" s="924" t="s">
        <v>1256</v>
      </c>
      <c r="D379" s="925" t="s">
        <v>1242</v>
      </c>
      <c r="E379" s="932">
        <v>9</v>
      </c>
      <c r="F379" s="926">
        <v>13050</v>
      </c>
      <c r="G379" s="910">
        <f t="shared" si="61"/>
        <v>117450</v>
      </c>
      <c r="H379" s="208"/>
      <c r="I379" s="899"/>
      <c r="J379" s="208"/>
      <c r="K379" s="208"/>
      <c r="L379" s="208"/>
      <c r="M379" s="900"/>
      <c r="N379" s="901"/>
      <c r="O379" s="207"/>
      <c r="P379" s="207"/>
      <c r="Q379" s="207"/>
      <c r="R379" s="207"/>
      <c r="S379" s="207"/>
      <c r="T379" s="207"/>
      <c r="U379" s="16"/>
      <c r="V379" s="805"/>
      <c r="W379" s="807"/>
      <c r="X379" s="208"/>
      <c r="Y379" s="44"/>
      <c r="Z379" s="44"/>
      <c r="AA379" s="44"/>
      <c r="AB379" s="44"/>
    </row>
    <row r="380" spans="1:28" s="45" customFormat="1">
      <c r="A380" s="185"/>
      <c r="B380" s="827" t="s">
        <v>1228</v>
      </c>
      <c r="C380" s="924" t="s">
        <v>1257</v>
      </c>
      <c r="D380" s="925" t="s">
        <v>1242</v>
      </c>
      <c r="E380" s="932">
        <v>7</v>
      </c>
      <c r="F380" s="926">
        <v>10590</v>
      </c>
      <c r="G380" s="910">
        <f t="shared" si="61"/>
        <v>74130</v>
      </c>
      <c r="H380" s="208"/>
      <c r="I380" s="899"/>
      <c r="J380" s="208"/>
      <c r="K380" s="208"/>
      <c r="L380" s="208"/>
      <c r="M380" s="900"/>
      <c r="N380" s="901"/>
      <c r="O380" s="207"/>
      <c r="P380" s="207"/>
      <c r="Q380" s="207"/>
      <c r="R380" s="207"/>
      <c r="S380" s="207"/>
      <c r="T380" s="207"/>
      <c r="U380" s="16"/>
      <c r="V380" s="805"/>
      <c r="W380" s="807"/>
      <c r="X380" s="208"/>
      <c r="Y380" s="44"/>
      <c r="Z380" s="44"/>
      <c r="AA380" s="44"/>
      <c r="AB380" s="44"/>
    </row>
    <row r="381" spans="1:28" s="45" customFormat="1">
      <c r="A381" s="185"/>
      <c r="B381" s="827" t="s">
        <v>1229</v>
      </c>
      <c r="C381" s="924" t="s">
        <v>1258</v>
      </c>
      <c r="D381" s="925" t="s">
        <v>1242</v>
      </c>
      <c r="E381" s="932">
        <v>45</v>
      </c>
      <c r="F381" s="926">
        <v>4500</v>
      </c>
      <c r="G381" s="910">
        <f t="shared" si="61"/>
        <v>202500</v>
      </c>
      <c r="H381" s="208"/>
      <c r="I381" s="899"/>
      <c r="J381" s="208"/>
      <c r="K381" s="208"/>
      <c r="L381" s="208"/>
      <c r="M381" s="900"/>
      <c r="N381" s="901"/>
      <c r="O381" s="207"/>
      <c r="P381" s="207"/>
      <c r="Q381" s="207"/>
      <c r="R381" s="207"/>
      <c r="S381" s="207"/>
      <c r="T381" s="207"/>
      <c r="U381" s="16"/>
      <c r="V381" s="805"/>
      <c r="W381" s="807"/>
      <c r="X381" s="208"/>
      <c r="Y381" s="44"/>
      <c r="Z381" s="44"/>
      <c r="AA381" s="44"/>
      <c r="AB381" s="44"/>
    </row>
    <row r="382" spans="1:28" s="45" customFormat="1">
      <c r="A382" s="185"/>
      <c r="B382" s="827" t="s">
        <v>1230</v>
      </c>
      <c r="C382" s="924" t="s">
        <v>1259</v>
      </c>
      <c r="D382" s="925" t="s">
        <v>1242</v>
      </c>
      <c r="E382" s="932">
        <v>44</v>
      </c>
      <c r="F382" s="926">
        <v>4500</v>
      </c>
      <c r="G382" s="910">
        <f t="shared" si="61"/>
        <v>198000</v>
      </c>
      <c r="H382" s="208"/>
      <c r="I382" s="899"/>
      <c r="J382" s="208"/>
      <c r="K382" s="208"/>
      <c r="L382" s="208"/>
      <c r="M382" s="900"/>
      <c r="N382" s="901"/>
      <c r="O382" s="207"/>
      <c r="P382" s="207"/>
      <c r="Q382" s="207"/>
      <c r="R382" s="207"/>
      <c r="S382" s="207"/>
      <c r="T382" s="207"/>
      <c r="U382" s="16"/>
      <c r="V382" s="805"/>
      <c r="W382" s="807"/>
      <c r="X382" s="208"/>
      <c r="Y382" s="44"/>
      <c r="Z382" s="44"/>
      <c r="AA382" s="44"/>
      <c r="AB382" s="44"/>
    </row>
    <row r="383" spans="1:28" s="45" customFormat="1" ht="30">
      <c r="A383" s="185"/>
      <c r="B383" s="827" t="s">
        <v>1231</v>
      </c>
      <c r="C383" s="942" t="s">
        <v>1260</v>
      </c>
      <c r="D383" s="925" t="s">
        <v>1242</v>
      </c>
      <c r="E383" s="932">
        <v>1</v>
      </c>
      <c r="F383" s="926">
        <v>484080</v>
      </c>
      <c r="G383" s="910">
        <f t="shared" si="61"/>
        <v>484080</v>
      </c>
      <c r="H383" s="208"/>
      <c r="I383" s="899"/>
      <c r="J383" s="208"/>
      <c r="K383" s="208"/>
      <c r="L383" s="208"/>
      <c r="M383" s="900"/>
      <c r="N383" s="901"/>
      <c r="O383" s="207"/>
      <c r="P383" s="207"/>
      <c r="Q383" s="207"/>
      <c r="R383" s="207"/>
      <c r="S383" s="207"/>
      <c r="T383" s="207"/>
      <c r="U383" s="16"/>
      <c r="V383" s="805"/>
      <c r="W383" s="807"/>
      <c r="X383" s="208"/>
      <c r="Y383" s="44"/>
      <c r="Z383" s="44"/>
      <c r="AA383" s="44"/>
      <c r="AB383" s="44"/>
    </row>
    <row r="384" spans="1:28" s="45" customFormat="1">
      <c r="A384" s="185"/>
      <c r="B384" s="827" t="s">
        <v>1232</v>
      </c>
      <c r="C384" s="924" t="s">
        <v>1261</v>
      </c>
      <c r="D384" s="925" t="s">
        <v>1242</v>
      </c>
      <c r="E384" s="932">
        <v>4</v>
      </c>
      <c r="F384" s="926">
        <v>142980</v>
      </c>
      <c r="G384" s="910">
        <f t="shared" si="61"/>
        <v>571920</v>
      </c>
      <c r="H384" s="208"/>
      <c r="I384" s="899"/>
      <c r="J384" s="208"/>
      <c r="K384" s="208"/>
      <c r="L384" s="208"/>
      <c r="M384" s="900"/>
      <c r="N384" s="901"/>
      <c r="O384" s="207"/>
      <c r="P384" s="207"/>
      <c r="Q384" s="207"/>
      <c r="R384" s="207"/>
      <c r="S384" s="207"/>
      <c r="T384" s="207"/>
      <c r="U384" s="16"/>
      <c r="V384" s="805"/>
      <c r="W384" s="807"/>
      <c r="X384" s="208"/>
      <c r="Y384" s="44"/>
      <c r="Z384" s="44"/>
      <c r="AA384" s="44"/>
      <c r="AB384" s="44"/>
    </row>
    <row r="385" spans="1:28" s="45" customFormat="1">
      <c r="A385" s="185"/>
      <c r="B385" s="827" t="s">
        <v>1233</v>
      </c>
      <c r="C385" s="924" t="s">
        <v>1262</v>
      </c>
      <c r="D385" s="925" t="s">
        <v>1242</v>
      </c>
      <c r="E385" s="932">
        <v>1</v>
      </c>
      <c r="F385" s="926">
        <v>111060</v>
      </c>
      <c r="G385" s="910">
        <f t="shared" si="61"/>
        <v>111060</v>
      </c>
      <c r="H385" s="208"/>
      <c r="I385" s="899"/>
      <c r="J385" s="208"/>
      <c r="K385" s="208"/>
      <c r="L385" s="208"/>
      <c r="M385" s="900"/>
      <c r="N385" s="901"/>
      <c r="O385" s="207"/>
      <c r="P385" s="207"/>
      <c r="Q385" s="207"/>
      <c r="R385" s="207"/>
      <c r="S385" s="207"/>
      <c r="T385" s="207"/>
      <c r="U385" s="16"/>
      <c r="V385" s="805"/>
      <c r="W385" s="807"/>
      <c r="X385" s="208"/>
      <c r="Y385" s="44"/>
      <c r="Z385" s="44"/>
      <c r="AA385" s="44"/>
      <c r="AB385" s="44"/>
    </row>
    <row r="386" spans="1:28" s="45" customFormat="1" ht="30">
      <c r="A386" s="185"/>
      <c r="B386" s="827" t="s">
        <v>1234</v>
      </c>
      <c r="C386" s="943" t="s">
        <v>1263</v>
      </c>
      <c r="D386" s="925" t="s">
        <v>1242</v>
      </c>
      <c r="E386" s="932">
        <v>1</v>
      </c>
      <c r="F386" s="926">
        <v>307080</v>
      </c>
      <c r="G386" s="910">
        <f t="shared" si="61"/>
        <v>307080</v>
      </c>
      <c r="H386" s="208"/>
      <c r="I386" s="899"/>
      <c r="J386" s="208"/>
      <c r="K386" s="208"/>
      <c r="L386" s="208"/>
      <c r="M386" s="900"/>
      <c r="N386" s="901"/>
      <c r="O386" s="207"/>
      <c r="P386" s="207"/>
      <c r="Q386" s="207"/>
      <c r="R386" s="207"/>
      <c r="S386" s="207"/>
      <c r="T386" s="207"/>
      <c r="U386" s="16"/>
      <c r="V386" s="805"/>
      <c r="W386" s="807"/>
      <c r="X386" s="208"/>
      <c r="Y386" s="44"/>
      <c r="Z386" s="44"/>
      <c r="AA386" s="44"/>
      <c r="AB386" s="44"/>
    </row>
    <row r="387" spans="1:28" s="45" customFormat="1">
      <c r="A387" s="185"/>
      <c r="B387" s="827" t="s">
        <v>1235</v>
      </c>
      <c r="C387" s="924" t="s">
        <v>1264</v>
      </c>
      <c r="D387" s="925" t="s">
        <v>1242</v>
      </c>
      <c r="E387" s="932">
        <v>1</v>
      </c>
      <c r="F387" s="926">
        <v>61330</v>
      </c>
      <c r="G387" s="910">
        <f t="shared" si="61"/>
        <v>61330</v>
      </c>
      <c r="H387" s="208"/>
      <c r="I387" s="899"/>
      <c r="J387" s="208"/>
      <c r="K387" s="208"/>
      <c r="L387" s="208"/>
      <c r="M387" s="900"/>
      <c r="N387" s="901"/>
      <c r="O387" s="207"/>
      <c r="P387" s="207"/>
      <c r="Q387" s="207"/>
      <c r="R387" s="207"/>
      <c r="S387" s="207"/>
      <c r="T387" s="207"/>
      <c r="U387" s="16"/>
      <c r="V387" s="805"/>
      <c r="W387" s="807"/>
      <c r="X387" s="208"/>
      <c r="Y387" s="44"/>
      <c r="Z387" s="44"/>
      <c r="AA387" s="44"/>
      <c r="AB387" s="44"/>
    </row>
    <row r="388" spans="1:28" s="45" customFormat="1">
      <c r="A388" s="185"/>
      <c r="B388" s="827" t="s">
        <v>1236</v>
      </c>
      <c r="C388" s="924" t="s">
        <v>1265</v>
      </c>
      <c r="D388" s="925" t="s">
        <v>1242</v>
      </c>
      <c r="E388" s="932">
        <v>5</v>
      </c>
      <c r="F388" s="926">
        <v>108520</v>
      </c>
      <c r="G388" s="910">
        <f t="shared" si="61"/>
        <v>542600</v>
      </c>
      <c r="H388" s="208"/>
      <c r="I388" s="899"/>
      <c r="J388" s="208"/>
      <c r="K388" s="208"/>
      <c r="L388" s="208"/>
      <c r="M388" s="900"/>
      <c r="N388" s="901"/>
      <c r="O388" s="207"/>
      <c r="P388" s="207"/>
      <c r="Q388" s="207"/>
      <c r="R388" s="207"/>
      <c r="S388" s="207"/>
      <c r="T388" s="207"/>
      <c r="U388" s="16"/>
      <c r="V388" s="805"/>
      <c r="W388" s="807"/>
      <c r="X388" s="208"/>
      <c r="Y388" s="44"/>
      <c r="Z388" s="44"/>
      <c r="AA388" s="44"/>
      <c r="AB388" s="44"/>
    </row>
    <row r="389" spans="1:28" s="45" customFormat="1">
      <c r="A389" s="185"/>
      <c r="B389" s="827" t="s">
        <v>1237</v>
      </c>
      <c r="C389" s="924" t="s">
        <v>1266</v>
      </c>
      <c r="D389" s="925" t="s">
        <v>1242</v>
      </c>
      <c r="E389" s="932">
        <v>1</v>
      </c>
      <c r="F389" s="926">
        <v>877460</v>
      </c>
      <c r="G389" s="910">
        <f t="shared" si="61"/>
        <v>877460</v>
      </c>
      <c r="H389" s="208"/>
      <c r="I389" s="899"/>
      <c r="J389" s="208"/>
      <c r="K389" s="208"/>
      <c r="L389" s="208"/>
      <c r="M389" s="900"/>
      <c r="N389" s="901"/>
      <c r="O389" s="207"/>
      <c r="P389" s="207"/>
      <c r="Q389" s="207"/>
      <c r="R389" s="207"/>
      <c r="S389" s="207"/>
      <c r="T389" s="207"/>
      <c r="U389" s="16"/>
      <c r="V389" s="805"/>
      <c r="W389" s="807"/>
      <c r="X389" s="208"/>
      <c r="Y389" s="44"/>
      <c r="Z389" s="44"/>
      <c r="AA389" s="44"/>
      <c r="AB389" s="44"/>
    </row>
    <row r="390" spans="1:28" s="45" customFormat="1">
      <c r="A390" s="185"/>
      <c r="B390" s="827"/>
      <c r="C390" s="887"/>
      <c r="D390" s="827"/>
      <c r="E390" s="594"/>
      <c r="F390" s="575"/>
      <c r="G390" s="792"/>
      <c r="H390" s="208"/>
      <c r="I390" s="899"/>
      <c r="J390" s="208"/>
      <c r="K390" s="208"/>
      <c r="L390" s="208"/>
      <c r="M390" s="900"/>
      <c r="N390" s="901"/>
      <c r="O390" s="207"/>
      <c r="P390" s="207"/>
      <c r="Q390" s="207"/>
      <c r="R390" s="207"/>
      <c r="S390" s="207"/>
      <c r="T390" s="207"/>
      <c r="U390" s="16"/>
      <c r="V390" s="805"/>
      <c r="W390" s="807"/>
      <c r="X390" s="208"/>
      <c r="Y390" s="44"/>
      <c r="Z390" s="44"/>
      <c r="AA390" s="44"/>
      <c r="AB390" s="44"/>
    </row>
    <row r="391" spans="1:28" s="45" customFormat="1" ht="15.75" thickBot="1">
      <c r="A391" s="185"/>
      <c r="B391" s="1025"/>
      <c r="C391" s="871"/>
      <c r="D391" s="873"/>
      <c r="E391" s="874"/>
      <c r="F391" s="947" t="s">
        <v>1268</v>
      </c>
      <c r="G391" s="872">
        <f>SUM(G317:G390)</f>
        <v>28038288</v>
      </c>
      <c r="H391" s="208"/>
      <c r="I391" s="899"/>
      <c r="J391" s="208"/>
      <c r="K391" s="208"/>
      <c r="L391" s="208"/>
      <c r="M391" s="900"/>
      <c r="N391" s="901"/>
      <c r="O391" s="207"/>
      <c r="P391" s="207"/>
      <c r="Q391" s="207"/>
      <c r="R391" s="207"/>
      <c r="S391" s="207"/>
      <c r="T391" s="207"/>
      <c r="U391" s="16"/>
      <c r="V391" s="805"/>
      <c r="W391" s="807"/>
      <c r="X391" s="208"/>
      <c r="Y391" s="44"/>
      <c r="Z391" s="44"/>
      <c r="AA391" s="44"/>
      <c r="AB391" s="44"/>
    </row>
    <row r="392" spans="1:28" s="45" customFormat="1" ht="15.75" thickBot="1">
      <c r="A392" s="185"/>
      <c r="B392" s="827"/>
      <c r="C392" s="887"/>
      <c r="D392" s="827"/>
      <c r="E392" s="594"/>
      <c r="F392" s="575"/>
      <c r="G392" s="792"/>
      <c r="H392" s="208"/>
      <c r="I392" s="899"/>
      <c r="J392" s="208"/>
      <c r="K392" s="208"/>
      <c r="L392" s="208"/>
      <c r="M392" s="900"/>
      <c r="N392" s="901"/>
      <c r="O392" s="207"/>
      <c r="P392" s="207"/>
      <c r="Q392" s="207"/>
      <c r="R392" s="207"/>
      <c r="S392" s="207"/>
      <c r="T392" s="207"/>
      <c r="U392" s="16"/>
      <c r="V392" s="805"/>
      <c r="W392" s="807"/>
      <c r="X392" s="208"/>
      <c r="Y392" s="44"/>
      <c r="Z392" s="44"/>
      <c r="AA392" s="44"/>
      <c r="AB392" s="44"/>
    </row>
    <row r="393" spans="1:28" s="45" customFormat="1">
      <c r="A393" s="185"/>
      <c r="B393" s="937">
        <v>11</v>
      </c>
      <c r="C393" s="75" t="s">
        <v>1267</v>
      </c>
      <c r="D393" s="76"/>
      <c r="E393" s="76"/>
      <c r="F393" s="76"/>
      <c r="G393" s="126"/>
      <c r="H393" s="208"/>
      <c r="I393" s="899"/>
      <c r="J393" s="208"/>
      <c r="K393" s="208"/>
      <c r="L393" s="208"/>
      <c r="M393" s="900"/>
      <c r="N393" s="901"/>
      <c r="O393" s="207"/>
      <c r="P393" s="207"/>
      <c r="Q393" s="207"/>
      <c r="R393" s="207"/>
      <c r="S393" s="207"/>
      <c r="T393" s="207"/>
      <c r="U393" s="16"/>
      <c r="V393" s="805"/>
      <c r="W393" s="807"/>
      <c r="X393" s="208"/>
      <c r="Y393" s="44"/>
      <c r="Z393" s="44"/>
      <c r="AA393" s="44"/>
      <c r="AB393" s="44"/>
    </row>
    <row r="394" spans="1:28" s="45" customFormat="1" ht="25.5">
      <c r="A394" s="185"/>
      <c r="B394" s="827">
        <v>11.1</v>
      </c>
      <c r="C394" s="887" t="s">
        <v>1269</v>
      </c>
      <c r="D394" s="827" t="s">
        <v>22</v>
      </c>
      <c r="E394" s="594">
        <v>1</v>
      </c>
      <c r="F394" s="575">
        <v>19599539</v>
      </c>
      <c r="G394" s="910">
        <f t="shared" ref="G394" si="62">+F394*E394</f>
        <v>19599539</v>
      </c>
      <c r="H394" s="208"/>
      <c r="I394" s="899"/>
      <c r="J394" s="208"/>
      <c r="K394" s="208"/>
      <c r="L394" s="208"/>
      <c r="M394" s="900"/>
      <c r="N394" s="901"/>
      <c r="O394" s="207"/>
      <c r="P394" s="207"/>
      <c r="Q394" s="207"/>
      <c r="R394" s="207"/>
      <c r="S394" s="207"/>
      <c r="T394" s="207"/>
      <c r="U394" s="16"/>
      <c r="V394" s="805"/>
      <c r="W394" s="939">
        <f>+(15000000)*1.16*1.15</f>
        <v>20010000</v>
      </c>
      <c r="X394" s="208"/>
      <c r="Y394" s="44"/>
      <c r="Z394" s="44"/>
      <c r="AA394" s="44"/>
      <c r="AB394" s="44"/>
    </row>
    <row r="395" spans="1:28" s="45" customFormat="1" ht="25.5">
      <c r="A395" s="185"/>
      <c r="B395" s="827">
        <v>11.2</v>
      </c>
      <c r="C395" s="887" t="s">
        <v>1270</v>
      </c>
      <c r="D395" s="827" t="s">
        <v>22</v>
      </c>
      <c r="E395" s="594">
        <v>1</v>
      </c>
      <c r="F395" s="575">
        <v>20933539</v>
      </c>
      <c r="G395" s="910">
        <f t="shared" ref="G395:G398" si="63">+F395*E395</f>
        <v>20933539</v>
      </c>
      <c r="H395" s="208"/>
      <c r="I395" s="899"/>
      <c r="J395" s="208"/>
      <c r="K395" s="208"/>
      <c r="L395" s="208"/>
      <c r="M395" s="900"/>
      <c r="N395" s="901"/>
      <c r="O395" s="207"/>
      <c r="P395" s="207"/>
      <c r="Q395" s="207"/>
      <c r="R395" s="207"/>
      <c r="S395" s="207"/>
      <c r="T395" s="207"/>
      <c r="U395" s="16"/>
      <c r="V395" s="805"/>
      <c r="W395" s="807"/>
      <c r="X395" s="208"/>
      <c r="Y395" s="44"/>
      <c r="Z395" s="44"/>
      <c r="AA395" s="44"/>
      <c r="AB395" s="44"/>
    </row>
    <row r="396" spans="1:28" s="45" customFormat="1" ht="25.5">
      <c r="A396" s="185"/>
      <c r="B396" s="827"/>
      <c r="C396" s="887" t="s">
        <v>1271</v>
      </c>
      <c r="D396" s="827" t="s">
        <v>22</v>
      </c>
      <c r="E396" s="594">
        <v>1</v>
      </c>
      <c r="F396" s="575">
        <v>17742200</v>
      </c>
      <c r="G396" s="910">
        <f t="shared" si="63"/>
        <v>17742200</v>
      </c>
      <c r="H396" s="208"/>
      <c r="I396" s="899"/>
      <c r="J396" s="208"/>
      <c r="K396" s="208"/>
      <c r="L396" s="208"/>
      <c r="M396" s="900"/>
      <c r="N396" s="901"/>
      <c r="O396" s="207"/>
      <c r="P396" s="207"/>
      <c r="Q396" s="207"/>
      <c r="R396" s="207"/>
      <c r="S396" s="207"/>
      <c r="T396" s="207"/>
      <c r="U396" s="16"/>
      <c r="V396" s="805"/>
      <c r="W396" s="807"/>
      <c r="X396" s="208"/>
      <c r="Y396" s="44"/>
      <c r="Z396" s="44"/>
      <c r="AA396" s="44"/>
      <c r="AB396" s="44"/>
    </row>
    <row r="397" spans="1:28" s="45" customFormat="1" ht="38.25">
      <c r="A397" s="185"/>
      <c r="B397" s="827"/>
      <c r="C397" s="887" t="s">
        <v>1272</v>
      </c>
      <c r="D397" s="827" t="s">
        <v>22</v>
      </c>
      <c r="E397" s="594">
        <v>1</v>
      </c>
      <c r="F397" s="575">
        <v>1000000</v>
      </c>
      <c r="G397" s="910">
        <f t="shared" si="63"/>
        <v>1000000</v>
      </c>
      <c r="H397" s="208"/>
      <c r="I397" s="899"/>
      <c r="J397" s="208"/>
      <c r="K397" s="208"/>
      <c r="L397" s="208"/>
      <c r="M397" s="900"/>
      <c r="N397" s="901"/>
      <c r="O397" s="207"/>
      <c r="P397" s="207"/>
      <c r="Q397" s="207"/>
      <c r="R397" s="207"/>
      <c r="S397" s="207"/>
      <c r="T397" s="207"/>
      <c r="U397" s="16"/>
      <c r="V397" s="805"/>
      <c r="W397" s="807"/>
      <c r="X397" s="208"/>
      <c r="Y397" s="44"/>
      <c r="Z397" s="44"/>
      <c r="AA397" s="44"/>
      <c r="AB397" s="44"/>
    </row>
    <row r="398" spans="1:28" s="45" customFormat="1">
      <c r="A398" s="185"/>
      <c r="B398" s="827"/>
      <c r="C398" s="887" t="s">
        <v>1273</v>
      </c>
      <c r="D398" s="827" t="s">
        <v>22</v>
      </c>
      <c r="E398" s="594">
        <v>1</v>
      </c>
      <c r="F398" s="575">
        <v>4000000</v>
      </c>
      <c r="G398" s="910">
        <f t="shared" si="63"/>
        <v>4000000</v>
      </c>
      <c r="H398" s="208"/>
      <c r="I398" s="899"/>
      <c r="J398" s="208"/>
      <c r="K398" s="208"/>
      <c r="L398" s="208"/>
      <c r="M398" s="900"/>
      <c r="N398" s="901"/>
      <c r="O398" s="207"/>
      <c r="P398" s="207"/>
      <c r="Q398" s="207"/>
      <c r="R398" s="207"/>
      <c r="S398" s="207"/>
      <c r="T398" s="207"/>
      <c r="U398" s="16"/>
      <c r="V398" s="805"/>
      <c r="W398" s="807"/>
      <c r="X398" s="208"/>
      <c r="Y398" s="44"/>
      <c r="Z398" s="44"/>
      <c r="AA398" s="44"/>
      <c r="AB398" s="44"/>
    </row>
    <row r="399" spans="1:28" s="45" customFormat="1" ht="38.25">
      <c r="A399" s="185"/>
      <c r="B399" s="827"/>
      <c r="C399" s="887" t="s">
        <v>1274</v>
      </c>
      <c r="D399" s="827" t="s">
        <v>22</v>
      </c>
      <c r="E399" s="594">
        <v>1</v>
      </c>
      <c r="F399" s="575">
        <v>700000</v>
      </c>
      <c r="G399" s="910">
        <f t="shared" ref="G399" si="64">+F399*E399</f>
        <v>700000</v>
      </c>
      <c r="H399" s="208"/>
      <c r="I399" s="899"/>
      <c r="J399" s="208"/>
      <c r="K399" s="208"/>
      <c r="L399" s="208"/>
      <c r="M399" s="900"/>
      <c r="N399" s="901"/>
      <c r="O399" s="207"/>
      <c r="P399" s="207"/>
      <c r="Q399" s="207"/>
      <c r="R399" s="207"/>
      <c r="S399" s="207"/>
      <c r="T399" s="207"/>
      <c r="U399" s="16"/>
      <c r="V399" s="805"/>
      <c r="W399" s="938">
        <f>+G399+G398+G397+G396+G395</f>
        <v>44375739</v>
      </c>
      <c r="X399" s="208"/>
      <c r="Y399" s="44"/>
      <c r="Z399" s="44"/>
      <c r="AA399" s="44"/>
      <c r="AB399" s="44"/>
    </row>
    <row r="400" spans="1:28" s="45" customFormat="1">
      <c r="A400" s="185"/>
      <c r="B400" s="827"/>
      <c r="C400" s="887"/>
      <c r="D400" s="827"/>
      <c r="E400" s="594"/>
      <c r="F400" s="575"/>
      <c r="G400" s="792"/>
      <c r="H400" s="208"/>
      <c r="I400" s="899"/>
      <c r="J400" s="208"/>
      <c r="K400" s="208"/>
      <c r="L400" s="208"/>
      <c r="M400" s="900"/>
      <c r="N400" s="901"/>
      <c r="O400" s="207"/>
      <c r="P400" s="207"/>
      <c r="Q400" s="207"/>
      <c r="R400" s="207"/>
      <c r="S400" s="207"/>
      <c r="T400" s="207"/>
      <c r="U400" s="16"/>
      <c r="V400" s="805"/>
      <c r="W400" s="807"/>
      <c r="X400" s="208"/>
      <c r="Y400" s="44"/>
      <c r="Z400" s="44"/>
      <c r="AA400" s="44"/>
      <c r="AB400" s="44"/>
    </row>
    <row r="401" spans="1:28" s="45" customFormat="1" ht="15.75" thickBot="1">
      <c r="A401" s="185"/>
      <c r="B401" s="1025"/>
      <c r="C401" s="871"/>
      <c r="D401" s="873"/>
      <c r="E401" s="874"/>
      <c r="F401" s="947" t="s">
        <v>1405</v>
      </c>
      <c r="G401" s="1004">
        <f>SUM(G394:G400)</f>
        <v>63975278</v>
      </c>
      <c r="H401" s="208"/>
      <c r="I401" s="899"/>
      <c r="J401" s="208"/>
      <c r="K401" s="208"/>
      <c r="L401" s="208"/>
      <c r="M401" s="900"/>
      <c r="N401" s="901"/>
      <c r="O401" s="207"/>
      <c r="P401" s="207"/>
      <c r="Q401" s="207"/>
      <c r="R401" s="207"/>
      <c r="S401" s="207"/>
      <c r="T401" s="207"/>
      <c r="U401" s="16"/>
      <c r="V401" s="805"/>
      <c r="W401" s="807"/>
      <c r="X401" s="208"/>
      <c r="Y401" s="44"/>
      <c r="Z401" s="44"/>
      <c r="AA401" s="44"/>
      <c r="AB401" s="44"/>
    </row>
    <row r="402" spans="1:28" s="45" customFormat="1">
      <c r="A402" s="185"/>
      <c r="B402" s="827"/>
      <c r="C402" s="887"/>
      <c r="D402" s="827"/>
      <c r="E402" s="594"/>
      <c r="F402" s="575"/>
      <c r="G402" s="792"/>
      <c r="H402" s="208"/>
      <c r="I402" s="899"/>
      <c r="J402" s="208"/>
      <c r="K402" s="208"/>
      <c r="L402" s="208"/>
      <c r="M402" s="900"/>
      <c r="N402" s="901"/>
      <c r="O402" s="207"/>
      <c r="P402" s="207"/>
      <c r="Q402" s="207"/>
      <c r="R402" s="207"/>
      <c r="S402" s="207"/>
      <c r="T402" s="207"/>
      <c r="U402" s="16"/>
      <c r="V402" s="805"/>
      <c r="W402" s="807"/>
      <c r="X402" s="208"/>
      <c r="Y402" s="44"/>
      <c r="Z402" s="44"/>
      <c r="AA402" s="44"/>
      <c r="AB402" s="44"/>
    </row>
    <row r="403" spans="1:28" s="45" customFormat="1" ht="15.75" thickBot="1">
      <c r="A403" s="185"/>
      <c r="B403" s="827"/>
      <c r="C403" s="887"/>
      <c r="D403" s="827"/>
      <c r="E403" s="594"/>
      <c r="F403" s="575"/>
      <c r="G403" s="792"/>
      <c r="H403" s="208"/>
      <c r="I403" s="899"/>
      <c r="J403" s="208"/>
      <c r="K403" s="208"/>
      <c r="L403" s="208"/>
      <c r="M403" s="900"/>
      <c r="N403" s="901"/>
      <c r="O403" s="207"/>
      <c r="P403" s="207"/>
      <c r="Q403" s="207"/>
      <c r="R403" s="207"/>
      <c r="S403" s="207"/>
      <c r="T403" s="207"/>
      <c r="U403" s="16"/>
      <c r="V403" s="805"/>
      <c r="W403" s="807"/>
      <c r="X403" s="208"/>
      <c r="Y403" s="44"/>
      <c r="Z403" s="44"/>
      <c r="AA403" s="44"/>
      <c r="AB403" s="44"/>
    </row>
    <row r="404" spans="1:28" s="45" customFormat="1">
      <c r="A404" s="185"/>
      <c r="B404" s="937">
        <v>12</v>
      </c>
      <c r="C404" s="75" t="s">
        <v>1275</v>
      </c>
      <c r="D404" s="76"/>
      <c r="E404" s="76"/>
      <c r="F404" s="76"/>
      <c r="G404" s="126"/>
      <c r="H404" s="208"/>
      <c r="I404" s="899"/>
      <c r="J404" s="208"/>
      <c r="K404" s="208"/>
      <c r="L404" s="208"/>
      <c r="M404" s="900"/>
      <c r="N404" s="901"/>
      <c r="O404" s="207"/>
      <c r="P404" s="207"/>
      <c r="Q404" s="207"/>
      <c r="R404" s="207"/>
      <c r="S404" s="207"/>
      <c r="T404" s="207"/>
      <c r="U404" s="16"/>
      <c r="V404" s="805"/>
      <c r="W404" s="807"/>
      <c r="X404" s="208"/>
      <c r="Y404" s="44"/>
      <c r="Z404" s="44"/>
      <c r="AA404" s="44"/>
      <c r="AB404" s="44"/>
    </row>
    <row r="405" spans="1:28" s="45" customFormat="1">
      <c r="A405" s="185"/>
      <c r="B405" s="827">
        <v>12.1</v>
      </c>
      <c r="C405" s="887" t="s">
        <v>1276</v>
      </c>
      <c r="D405" s="827" t="s">
        <v>22</v>
      </c>
      <c r="E405" s="594">
        <v>9</v>
      </c>
      <c r="F405" s="575">
        <v>207180</v>
      </c>
      <c r="G405" s="910">
        <f t="shared" ref="G405:G416" si="65">+F405*E405</f>
        <v>1864620</v>
      </c>
      <c r="H405" s="208"/>
      <c r="I405" s="899"/>
      <c r="J405" s="208"/>
      <c r="K405" s="208"/>
      <c r="L405" s="208"/>
      <c r="M405" s="900"/>
      <c r="N405" s="901"/>
      <c r="O405" s="207"/>
      <c r="P405" s="207"/>
      <c r="Q405" s="207"/>
      <c r="R405" s="207"/>
      <c r="S405" s="207"/>
      <c r="T405" s="207"/>
      <c r="U405" s="16"/>
      <c r="V405" s="805"/>
      <c r="W405" s="807"/>
      <c r="X405" s="208"/>
      <c r="Y405" s="44"/>
      <c r="Z405" s="44"/>
      <c r="AA405" s="44"/>
      <c r="AB405" s="44"/>
    </row>
    <row r="406" spans="1:28" s="45" customFormat="1">
      <c r="A406" s="185"/>
      <c r="B406" s="827">
        <v>12.2</v>
      </c>
      <c r="C406" s="887" t="s">
        <v>1277</v>
      </c>
      <c r="D406" s="827" t="s">
        <v>22</v>
      </c>
      <c r="E406" s="594">
        <v>2</v>
      </c>
      <c r="F406" s="575">
        <v>315000</v>
      </c>
      <c r="G406" s="910">
        <f t="shared" si="65"/>
        <v>630000</v>
      </c>
      <c r="H406" s="208"/>
      <c r="I406" s="899"/>
      <c r="J406" s="208"/>
      <c r="K406" s="208"/>
      <c r="L406" s="208"/>
      <c r="M406" s="900"/>
      <c r="N406" s="901"/>
      <c r="O406" s="207"/>
      <c r="P406" s="207"/>
      <c r="Q406" s="207"/>
      <c r="R406" s="207"/>
      <c r="S406" s="207"/>
      <c r="T406" s="207"/>
      <c r="U406" s="16"/>
      <c r="V406" s="805"/>
      <c r="W406" s="807"/>
      <c r="X406" s="208"/>
      <c r="Y406" s="44"/>
      <c r="Z406" s="44"/>
      <c r="AA406" s="44"/>
      <c r="AB406" s="44"/>
    </row>
    <row r="407" spans="1:28" s="45" customFormat="1">
      <c r="A407" s="185"/>
      <c r="B407" s="827">
        <v>12.3</v>
      </c>
      <c r="C407" s="887" t="s">
        <v>1278</v>
      </c>
      <c r="D407" s="827" t="s">
        <v>22</v>
      </c>
      <c r="E407" s="594">
        <v>1</v>
      </c>
      <c r="F407" s="575">
        <v>158050</v>
      </c>
      <c r="G407" s="910">
        <f t="shared" si="65"/>
        <v>158050</v>
      </c>
      <c r="H407" s="208"/>
      <c r="I407" s="899"/>
      <c r="J407" s="208"/>
      <c r="K407" s="208"/>
      <c r="L407" s="208"/>
      <c r="M407" s="900"/>
      <c r="N407" s="901"/>
      <c r="O407" s="207"/>
      <c r="P407" s="207"/>
      <c r="Q407" s="207"/>
      <c r="R407" s="207"/>
      <c r="S407" s="207"/>
      <c r="T407" s="207"/>
      <c r="U407" s="16"/>
      <c r="V407" s="805"/>
      <c r="W407" s="807"/>
      <c r="X407" s="208"/>
      <c r="Y407" s="44"/>
      <c r="Z407" s="44"/>
      <c r="AA407" s="44"/>
      <c r="AB407" s="44"/>
    </row>
    <row r="408" spans="1:28" s="45" customFormat="1">
      <c r="A408" s="185"/>
      <c r="B408" s="827">
        <v>12.4</v>
      </c>
      <c r="C408" s="887" t="s">
        <v>1279</v>
      </c>
      <c r="D408" s="827" t="s">
        <v>22</v>
      </c>
      <c r="E408" s="594">
        <v>1</v>
      </c>
      <c r="F408" s="575">
        <v>492140</v>
      </c>
      <c r="G408" s="910">
        <f t="shared" si="65"/>
        <v>492140</v>
      </c>
      <c r="H408" s="208"/>
      <c r="I408" s="899"/>
      <c r="J408" s="208"/>
      <c r="K408" s="208"/>
      <c r="L408" s="208"/>
      <c r="M408" s="900"/>
      <c r="N408" s="901"/>
      <c r="O408" s="207"/>
      <c r="P408" s="207"/>
      <c r="Q408" s="207"/>
      <c r="R408" s="207"/>
      <c r="S408" s="207"/>
      <c r="T408" s="207"/>
      <c r="U408" s="16"/>
      <c r="V408" s="805"/>
      <c r="W408" s="807"/>
      <c r="X408" s="208"/>
      <c r="Y408" s="44"/>
      <c r="Z408" s="44"/>
      <c r="AA408" s="44"/>
      <c r="AB408" s="44"/>
    </row>
    <row r="409" spans="1:28" s="45" customFormat="1">
      <c r="A409" s="185"/>
      <c r="B409" s="827">
        <v>12.5</v>
      </c>
      <c r="C409" s="887" t="s">
        <v>1280</v>
      </c>
      <c r="D409" s="827" t="s">
        <v>22</v>
      </c>
      <c r="E409" s="594">
        <v>1</v>
      </c>
      <c r="F409" s="575">
        <v>256670</v>
      </c>
      <c r="G409" s="910">
        <f t="shared" si="65"/>
        <v>256670</v>
      </c>
      <c r="H409" s="208"/>
      <c r="I409" s="899"/>
      <c r="J409" s="208"/>
      <c r="K409" s="208"/>
      <c r="L409" s="208"/>
      <c r="M409" s="900"/>
      <c r="N409" s="901"/>
      <c r="O409" s="207"/>
      <c r="P409" s="207"/>
      <c r="Q409" s="207"/>
      <c r="R409" s="207"/>
      <c r="S409" s="207"/>
      <c r="T409" s="207"/>
      <c r="U409" s="16"/>
      <c r="V409" s="805"/>
      <c r="W409" s="807"/>
      <c r="X409" s="208"/>
      <c r="Y409" s="44"/>
      <c r="Z409" s="44"/>
      <c r="AA409" s="44"/>
      <c r="AB409" s="44"/>
    </row>
    <row r="410" spans="1:28" s="45" customFormat="1">
      <c r="A410" s="185"/>
      <c r="B410" s="827">
        <v>12.6</v>
      </c>
      <c r="C410" s="887" t="s">
        <v>1281</v>
      </c>
      <c r="D410" s="827" t="s">
        <v>22</v>
      </c>
      <c r="E410" s="594">
        <v>5</v>
      </c>
      <c r="F410" s="575">
        <v>366520</v>
      </c>
      <c r="G410" s="910">
        <f t="shared" si="65"/>
        <v>1832600</v>
      </c>
      <c r="H410" s="208"/>
      <c r="I410" s="899"/>
      <c r="J410" s="208"/>
      <c r="K410" s="208"/>
      <c r="L410" s="208"/>
      <c r="M410" s="900"/>
      <c r="N410" s="901"/>
      <c r="O410" s="207"/>
      <c r="P410" s="207"/>
      <c r="Q410" s="207"/>
      <c r="R410" s="207"/>
      <c r="S410" s="207"/>
      <c r="T410" s="207"/>
      <c r="U410" s="16"/>
      <c r="V410" s="805"/>
      <c r="W410" s="807"/>
      <c r="X410" s="208"/>
      <c r="Y410" s="44"/>
      <c r="Z410" s="44"/>
      <c r="AA410" s="44"/>
      <c r="AB410" s="44"/>
    </row>
    <row r="411" spans="1:28" s="45" customFormat="1" ht="25.5">
      <c r="A411" s="185"/>
      <c r="B411" s="827">
        <v>12.7</v>
      </c>
      <c r="C411" s="887" t="s">
        <v>1307</v>
      </c>
      <c r="D411" s="827" t="s">
        <v>500</v>
      </c>
      <c r="E411" s="594">
        <v>12</v>
      </c>
      <c r="F411" s="575">
        <v>140420</v>
      </c>
      <c r="G411" s="910">
        <f t="shared" si="65"/>
        <v>1685040</v>
      </c>
      <c r="H411" s="208"/>
      <c r="I411" s="899"/>
      <c r="J411" s="208"/>
      <c r="K411" s="208"/>
      <c r="L411" s="208"/>
      <c r="M411" s="900"/>
      <c r="N411" s="901"/>
      <c r="O411" s="207"/>
      <c r="P411" s="207"/>
      <c r="Q411" s="207"/>
      <c r="R411" s="207"/>
      <c r="S411" s="207"/>
      <c r="T411" s="207"/>
      <c r="U411" s="16"/>
      <c r="V411" s="805"/>
      <c r="W411" s="807"/>
      <c r="X411" s="208"/>
      <c r="Y411" s="44"/>
      <c r="Z411" s="44"/>
      <c r="AA411" s="44"/>
      <c r="AB411" s="44"/>
    </row>
    <row r="412" spans="1:28" s="45" customFormat="1" ht="25.5">
      <c r="A412" s="185"/>
      <c r="B412" s="827">
        <v>12.8</v>
      </c>
      <c r="C412" s="887" t="s">
        <v>1304</v>
      </c>
      <c r="D412" s="827" t="s">
        <v>500</v>
      </c>
      <c r="E412" s="594">
        <v>13</v>
      </c>
      <c r="F412" s="575">
        <v>48740</v>
      </c>
      <c r="G412" s="910">
        <f t="shared" si="65"/>
        <v>633620</v>
      </c>
      <c r="H412" s="208"/>
      <c r="I412" s="899"/>
      <c r="J412" s="208"/>
      <c r="K412" s="208"/>
      <c r="L412" s="208"/>
      <c r="M412" s="900"/>
      <c r="N412" s="901"/>
      <c r="O412" s="207"/>
      <c r="P412" s="207"/>
      <c r="Q412" s="207"/>
      <c r="R412" s="207"/>
      <c r="S412" s="207"/>
      <c r="T412" s="207"/>
      <c r="U412" s="16"/>
      <c r="V412" s="805"/>
      <c r="W412" s="807"/>
      <c r="X412" s="208"/>
      <c r="Y412" s="44"/>
      <c r="Z412" s="44"/>
      <c r="AA412" s="44"/>
      <c r="AB412" s="44"/>
    </row>
    <row r="413" spans="1:28" s="45" customFormat="1" ht="25.5">
      <c r="A413" s="185"/>
      <c r="B413" s="827">
        <v>12.9</v>
      </c>
      <c r="C413" s="887" t="s">
        <v>1303</v>
      </c>
      <c r="D413" s="827" t="s">
        <v>500</v>
      </c>
      <c r="E413" s="594">
        <v>74</v>
      </c>
      <c r="F413" s="575">
        <v>34560</v>
      </c>
      <c r="G413" s="910">
        <f t="shared" si="65"/>
        <v>2557440</v>
      </c>
      <c r="H413" s="208"/>
      <c r="I413" s="899"/>
      <c r="J413" s="208"/>
      <c r="K413" s="208"/>
      <c r="L413" s="208"/>
      <c r="M413" s="900"/>
      <c r="N413" s="901"/>
      <c r="O413" s="207"/>
      <c r="P413" s="207"/>
      <c r="Q413" s="207"/>
      <c r="R413" s="207"/>
      <c r="S413" s="207"/>
      <c r="T413" s="207"/>
      <c r="U413" s="16"/>
      <c r="V413" s="805"/>
      <c r="W413" s="807"/>
      <c r="X413" s="208"/>
      <c r="Y413" s="44"/>
      <c r="Z413" s="44"/>
      <c r="AA413" s="44"/>
      <c r="AB413" s="44"/>
    </row>
    <row r="414" spans="1:28" s="45" customFormat="1" ht="25.5">
      <c r="A414" s="185"/>
      <c r="B414" s="963">
        <v>12.1</v>
      </c>
      <c r="C414" s="887" t="s">
        <v>1302</v>
      </c>
      <c r="D414" s="827" t="s">
        <v>500</v>
      </c>
      <c r="E414" s="594">
        <v>39</v>
      </c>
      <c r="F414" s="575">
        <v>21370</v>
      </c>
      <c r="G414" s="910">
        <f t="shared" si="65"/>
        <v>833430</v>
      </c>
      <c r="H414" s="208"/>
      <c r="I414" s="899"/>
      <c r="J414" s="208"/>
      <c r="K414" s="208"/>
      <c r="L414" s="208"/>
      <c r="M414" s="900"/>
      <c r="N414" s="901"/>
      <c r="O414" s="207"/>
      <c r="P414" s="207"/>
      <c r="Q414" s="207"/>
      <c r="R414" s="207"/>
      <c r="S414" s="207"/>
      <c r="T414" s="207"/>
      <c r="U414" s="16"/>
      <c r="V414" s="805"/>
      <c r="W414" s="807"/>
      <c r="X414" s="208"/>
      <c r="Y414" s="44"/>
      <c r="Z414" s="44"/>
      <c r="AA414" s="44"/>
      <c r="AB414" s="44"/>
    </row>
    <row r="415" spans="1:28" s="45" customFormat="1" ht="25.5">
      <c r="A415" s="185"/>
      <c r="B415" s="827">
        <v>12.11</v>
      </c>
      <c r="C415" s="887" t="s">
        <v>1305</v>
      </c>
      <c r="D415" s="827" t="s">
        <v>500</v>
      </c>
      <c r="E415" s="594">
        <v>24</v>
      </c>
      <c r="F415" s="575">
        <v>20780</v>
      </c>
      <c r="G415" s="910">
        <f t="shared" si="65"/>
        <v>498720</v>
      </c>
      <c r="H415" s="208"/>
      <c r="I415" s="899"/>
      <c r="J415" s="208"/>
      <c r="K415" s="208"/>
      <c r="L415" s="208"/>
      <c r="M415" s="900"/>
      <c r="N415" s="901"/>
      <c r="O415" s="207"/>
      <c r="P415" s="207"/>
      <c r="Q415" s="207"/>
      <c r="R415" s="207"/>
      <c r="S415" s="207"/>
      <c r="T415" s="207"/>
      <c r="U415" s="16"/>
      <c r="V415" s="805"/>
      <c r="W415" s="807"/>
      <c r="X415" s="208"/>
      <c r="Y415" s="44"/>
      <c r="Z415" s="44"/>
      <c r="AA415" s="44"/>
      <c r="AB415" s="44"/>
    </row>
    <row r="416" spans="1:28" s="45" customFormat="1" ht="25.5">
      <c r="A416" s="185"/>
      <c r="B416" s="827">
        <v>12.12</v>
      </c>
      <c r="C416" s="887" t="s">
        <v>1306</v>
      </c>
      <c r="D416" s="827" t="s">
        <v>500</v>
      </c>
      <c r="E416" s="594">
        <v>60</v>
      </c>
      <c r="F416" s="575">
        <v>5770</v>
      </c>
      <c r="G416" s="910">
        <f t="shared" si="65"/>
        <v>346200</v>
      </c>
      <c r="H416" s="208"/>
      <c r="I416" s="899"/>
      <c r="J416" s="208"/>
      <c r="K416" s="208"/>
      <c r="L416" s="208"/>
      <c r="M416" s="900"/>
      <c r="N416" s="901"/>
      <c r="O416" s="207"/>
      <c r="P416" s="207"/>
      <c r="Q416" s="207"/>
      <c r="R416" s="207"/>
      <c r="S416" s="207"/>
      <c r="T416" s="207"/>
      <c r="U416" s="16"/>
      <c r="V416" s="805"/>
      <c r="W416" s="807"/>
      <c r="X416" s="208"/>
      <c r="Y416" s="44"/>
      <c r="Z416" s="44"/>
      <c r="AA416" s="44"/>
      <c r="AB416" s="44"/>
    </row>
    <row r="417" spans="1:28" s="45" customFormat="1">
      <c r="A417" s="185"/>
      <c r="B417" s="827"/>
      <c r="C417" s="887"/>
      <c r="D417" s="827"/>
      <c r="E417" s="594"/>
      <c r="F417" s="575"/>
      <c r="G417" s="910"/>
      <c r="H417" s="208"/>
      <c r="I417" s="899"/>
      <c r="J417" s="208"/>
      <c r="K417" s="208"/>
      <c r="L417" s="208"/>
      <c r="M417" s="900"/>
      <c r="N417" s="901"/>
      <c r="O417" s="207"/>
      <c r="P417" s="207"/>
      <c r="Q417" s="207"/>
      <c r="R417" s="207"/>
      <c r="S417" s="207"/>
      <c r="T417" s="207"/>
      <c r="U417" s="16"/>
      <c r="V417" s="805"/>
      <c r="W417" s="807"/>
      <c r="X417" s="208"/>
      <c r="Y417" s="44"/>
      <c r="Z417" s="44"/>
      <c r="AA417" s="44"/>
      <c r="AB417" s="44"/>
    </row>
    <row r="418" spans="1:28" s="45" customFormat="1" ht="15.75" thickBot="1">
      <c r="A418" s="185"/>
      <c r="B418" s="1025"/>
      <c r="C418" s="871"/>
      <c r="D418" s="873"/>
      <c r="E418" s="874"/>
      <c r="F418" s="947" t="s">
        <v>1323</v>
      </c>
      <c r="G418" s="1004">
        <f>SUM(G415:G417)</f>
        <v>844920</v>
      </c>
      <c r="H418" s="208"/>
      <c r="I418" s="899"/>
      <c r="J418" s="208"/>
      <c r="K418" s="208"/>
      <c r="L418" s="208"/>
      <c r="M418" s="900"/>
      <c r="N418" s="901"/>
      <c r="O418" s="207"/>
      <c r="P418" s="207"/>
      <c r="Q418" s="207"/>
      <c r="R418" s="207"/>
      <c r="S418" s="207"/>
      <c r="T418" s="207"/>
      <c r="U418" s="16"/>
      <c r="V418" s="805"/>
      <c r="W418" s="807"/>
      <c r="X418" s="208"/>
      <c r="Y418" s="44"/>
      <c r="Z418" s="44"/>
      <c r="AA418" s="44"/>
      <c r="AB418" s="44"/>
    </row>
    <row r="419" spans="1:28" s="45" customFormat="1" ht="15.75" thickBot="1">
      <c r="A419" s="185"/>
      <c r="B419" s="827"/>
      <c r="C419" s="887"/>
      <c r="D419" s="827"/>
      <c r="E419" s="594"/>
      <c r="F419" s="575"/>
      <c r="G419" s="910"/>
      <c r="H419" s="208"/>
      <c r="I419" s="899"/>
      <c r="J419" s="208"/>
      <c r="K419" s="208"/>
      <c r="L419" s="208"/>
      <c r="M419" s="900"/>
      <c r="N419" s="901"/>
      <c r="O419" s="207"/>
      <c r="P419" s="207"/>
      <c r="Q419" s="207"/>
      <c r="R419" s="207"/>
      <c r="S419" s="207"/>
      <c r="T419" s="207"/>
      <c r="U419" s="16"/>
      <c r="V419" s="805"/>
      <c r="W419" s="807"/>
      <c r="X419" s="208"/>
      <c r="Y419" s="44"/>
      <c r="Z419" s="44"/>
      <c r="AA419" s="44"/>
      <c r="AB419" s="44"/>
    </row>
    <row r="420" spans="1:28" s="45" customFormat="1">
      <c r="A420" s="185"/>
      <c r="B420" s="937">
        <v>13</v>
      </c>
      <c r="C420" s="75" t="s">
        <v>1324</v>
      </c>
      <c r="D420" s="76"/>
      <c r="E420" s="76"/>
      <c r="F420" s="76"/>
      <c r="G420" s="126"/>
      <c r="H420" s="208"/>
      <c r="I420" s="899"/>
      <c r="J420" s="208"/>
      <c r="K420" s="208"/>
      <c r="L420" s="208"/>
      <c r="M420" s="900"/>
      <c r="N420" s="901"/>
      <c r="O420" s="207"/>
      <c r="P420" s="207"/>
      <c r="Q420" s="207"/>
      <c r="R420" s="207"/>
      <c r="S420" s="207"/>
      <c r="T420" s="207"/>
      <c r="U420" s="16"/>
      <c r="V420" s="805"/>
      <c r="W420" s="807"/>
      <c r="X420" s="208"/>
      <c r="Y420" s="44"/>
      <c r="Z420" s="44"/>
      <c r="AA420" s="44"/>
      <c r="AB420" s="44"/>
    </row>
    <row r="421" spans="1:28" s="45" customFormat="1">
      <c r="A421" s="185"/>
      <c r="B421" s="974">
        <v>13.1</v>
      </c>
      <c r="C421" s="975" t="s">
        <v>1343</v>
      </c>
      <c r="D421" s="905"/>
      <c r="E421" s="905"/>
      <c r="F421" s="905"/>
      <c r="G421" s="906"/>
      <c r="H421" s="208"/>
      <c r="I421" s="899"/>
      <c r="J421" s="208"/>
      <c r="K421" s="208"/>
      <c r="L421" s="208"/>
      <c r="M421" s="900"/>
      <c r="N421" s="901"/>
      <c r="O421" s="207"/>
      <c r="P421" s="207"/>
      <c r="Q421" s="207"/>
      <c r="R421" s="207"/>
      <c r="S421" s="207"/>
      <c r="T421" s="207"/>
      <c r="U421" s="16"/>
      <c r="V421" s="805"/>
      <c r="W421" s="807"/>
      <c r="X421" s="208"/>
      <c r="Y421" s="44"/>
      <c r="Z421" s="44"/>
      <c r="AA421" s="44"/>
      <c r="AB421" s="44"/>
    </row>
    <row r="422" spans="1:28" s="45" customFormat="1">
      <c r="A422" s="185"/>
      <c r="B422" s="827" t="s">
        <v>1344</v>
      </c>
      <c r="C422" s="887" t="s">
        <v>1325</v>
      </c>
      <c r="D422" s="827" t="s">
        <v>22</v>
      </c>
      <c r="E422" s="594">
        <v>7</v>
      </c>
      <c r="F422" s="575">
        <v>27630</v>
      </c>
      <c r="G422" s="795">
        <f t="shared" ref="G422:G431" si="66">+F422*E422</f>
        <v>193410</v>
      </c>
      <c r="H422" s="208"/>
      <c r="I422" s="899"/>
      <c r="J422" s="208"/>
      <c r="K422" s="208"/>
      <c r="L422" s="208"/>
      <c r="M422" s="900"/>
      <c r="N422" s="901"/>
      <c r="O422" s="207"/>
      <c r="P422" s="207"/>
      <c r="Q422" s="207"/>
      <c r="R422" s="207"/>
      <c r="S422" s="207"/>
      <c r="T422" s="207"/>
      <c r="U422" s="16"/>
      <c r="V422" s="805"/>
      <c r="W422" s="807"/>
      <c r="X422" s="208"/>
      <c r="Y422" s="44"/>
      <c r="Z422" s="44"/>
      <c r="AA422" s="44"/>
      <c r="AB422" s="44"/>
    </row>
    <row r="423" spans="1:28" s="45" customFormat="1">
      <c r="A423" s="185"/>
      <c r="B423" s="827" t="s">
        <v>1345</v>
      </c>
      <c r="C423" s="887" t="s">
        <v>1326</v>
      </c>
      <c r="D423" s="827" t="s">
        <v>22</v>
      </c>
      <c r="E423" s="594">
        <v>13</v>
      </c>
      <c r="F423" s="575">
        <v>3130</v>
      </c>
      <c r="G423" s="795">
        <f t="shared" si="66"/>
        <v>40690</v>
      </c>
      <c r="H423" s="208"/>
      <c r="I423" s="899"/>
      <c r="J423" s="208"/>
      <c r="K423" s="208"/>
      <c r="L423" s="208"/>
      <c r="M423" s="900"/>
      <c r="N423" s="901"/>
      <c r="O423" s="207"/>
      <c r="P423" s="207"/>
      <c r="Q423" s="207"/>
      <c r="R423" s="207"/>
      <c r="S423" s="207"/>
      <c r="T423" s="207"/>
      <c r="U423" s="16"/>
      <c r="V423" s="805"/>
      <c r="W423" s="807"/>
      <c r="X423" s="208"/>
      <c r="Y423" s="44"/>
      <c r="Z423" s="44"/>
      <c r="AA423" s="44"/>
      <c r="AB423" s="44"/>
    </row>
    <row r="424" spans="1:28" s="45" customFormat="1">
      <c r="A424" s="185"/>
      <c r="B424" s="827" t="s">
        <v>1346</v>
      </c>
      <c r="C424" s="887" t="s">
        <v>1327</v>
      </c>
      <c r="D424" s="827" t="s">
        <v>22</v>
      </c>
      <c r="E424" s="594">
        <v>1</v>
      </c>
      <c r="F424" s="575">
        <v>2920</v>
      </c>
      <c r="G424" s="795">
        <f t="shared" si="66"/>
        <v>2920</v>
      </c>
      <c r="H424" s="208"/>
      <c r="I424" s="899"/>
      <c r="J424" s="208"/>
      <c r="K424" s="208"/>
      <c r="L424" s="208"/>
      <c r="M424" s="900"/>
      <c r="N424" s="901"/>
      <c r="O424" s="207"/>
      <c r="P424" s="207"/>
      <c r="Q424" s="207"/>
      <c r="R424" s="207"/>
      <c r="S424" s="207"/>
      <c r="T424" s="207"/>
      <c r="U424" s="16"/>
      <c r="V424" s="805"/>
      <c r="W424" s="807"/>
      <c r="X424" s="208"/>
      <c r="Y424" s="44"/>
      <c r="Z424" s="44"/>
      <c r="AA424" s="44"/>
      <c r="AB424" s="44"/>
    </row>
    <row r="425" spans="1:28" s="45" customFormat="1">
      <c r="A425" s="185"/>
      <c r="B425" s="827" t="s">
        <v>1347</v>
      </c>
      <c r="C425" s="887" t="s">
        <v>1328</v>
      </c>
      <c r="D425" s="827" t="s">
        <v>22</v>
      </c>
      <c r="E425" s="594">
        <v>4</v>
      </c>
      <c r="F425" s="575">
        <v>3100</v>
      </c>
      <c r="G425" s="795">
        <f t="shared" si="66"/>
        <v>12400</v>
      </c>
      <c r="H425" s="208"/>
      <c r="I425" s="899"/>
      <c r="J425" s="208"/>
      <c r="K425" s="208"/>
      <c r="L425" s="208"/>
      <c r="M425" s="900"/>
      <c r="N425" s="901"/>
      <c r="O425" s="207"/>
      <c r="P425" s="207"/>
      <c r="Q425" s="207"/>
      <c r="R425" s="207"/>
      <c r="S425" s="207"/>
      <c r="T425" s="207"/>
      <c r="U425" s="16"/>
      <c r="V425" s="805"/>
      <c r="W425" s="807"/>
      <c r="X425" s="208"/>
      <c r="Y425" s="44"/>
      <c r="Z425" s="44"/>
      <c r="AA425" s="44"/>
      <c r="AB425" s="44"/>
    </row>
    <row r="426" spans="1:28" s="45" customFormat="1">
      <c r="A426" s="185"/>
      <c r="B426" s="827" t="s">
        <v>1348</v>
      </c>
      <c r="C426" s="887" t="s">
        <v>1329</v>
      </c>
      <c r="D426" s="827" t="s">
        <v>22</v>
      </c>
      <c r="E426" s="594">
        <v>1</v>
      </c>
      <c r="F426" s="575">
        <v>3370</v>
      </c>
      <c r="G426" s="795">
        <f t="shared" si="66"/>
        <v>3370</v>
      </c>
      <c r="H426" s="208"/>
      <c r="I426" s="899"/>
      <c r="J426" s="208"/>
      <c r="K426" s="208"/>
      <c r="L426" s="208"/>
      <c r="M426" s="900"/>
      <c r="N426" s="901"/>
      <c r="O426" s="207"/>
      <c r="P426" s="207"/>
      <c r="Q426" s="207"/>
      <c r="R426" s="207"/>
      <c r="S426" s="207"/>
      <c r="T426" s="207"/>
      <c r="U426" s="16"/>
      <c r="V426" s="805"/>
      <c r="W426" s="807"/>
      <c r="X426" s="208"/>
      <c r="Y426" s="44"/>
      <c r="Z426" s="44"/>
      <c r="AA426" s="44"/>
      <c r="AB426" s="44"/>
    </row>
    <row r="427" spans="1:28" s="45" customFormat="1">
      <c r="A427" s="185"/>
      <c r="B427" s="827" t="s">
        <v>1349</v>
      </c>
      <c r="C427" s="887" t="s">
        <v>1331</v>
      </c>
      <c r="D427" s="827" t="s">
        <v>500</v>
      </c>
      <c r="E427" s="594">
        <v>24</v>
      </c>
      <c r="F427" s="575">
        <v>3870</v>
      </c>
      <c r="G427" s="795">
        <f t="shared" si="66"/>
        <v>92880</v>
      </c>
      <c r="H427" s="208"/>
      <c r="I427" s="899"/>
      <c r="J427" s="208"/>
      <c r="K427" s="208"/>
      <c r="L427" s="208"/>
      <c r="M427" s="900"/>
      <c r="N427" s="901"/>
      <c r="O427" s="207"/>
      <c r="P427" s="207"/>
      <c r="Q427" s="207"/>
      <c r="R427" s="207"/>
      <c r="S427" s="207"/>
      <c r="T427" s="207"/>
      <c r="U427" s="16"/>
      <c r="V427" s="805"/>
      <c r="W427" s="807"/>
      <c r="X427" s="208"/>
      <c r="Y427" s="44"/>
      <c r="Z427" s="44"/>
      <c r="AA427" s="44"/>
      <c r="AB427" s="44"/>
    </row>
    <row r="428" spans="1:28" s="45" customFormat="1">
      <c r="A428" s="185"/>
      <c r="B428" s="827" t="s">
        <v>1350</v>
      </c>
      <c r="C428" s="887" t="s">
        <v>1330</v>
      </c>
      <c r="D428" s="827" t="s">
        <v>500</v>
      </c>
      <c r="E428" s="594">
        <v>7</v>
      </c>
      <c r="F428" s="575">
        <v>4740</v>
      </c>
      <c r="G428" s="795">
        <f t="shared" si="66"/>
        <v>33180</v>
      </c>
      <c r="H428" s="208"/>
      <c r="I428" s="899"/>
      <c r="J428" s="208"/>
      <c r="K428" s="208"/>
      <c r="L428" s="208"/>
      <c r="M428" s="900"/>
      <c r="N428" s="901"/>
      <c r="O428" s="207"/>
      <c r="P428" s="207"/>
      <c r="Q428" s="207"/>
      <c r="R428" s="207"/>
      <c r="S428" s="207"/>
      <c r="T428" s="207"/>
      <c r="U428" s="16"/>
      <c r="V428" s="805"/>
      <c r="W428" s="807"/>
      <c r="X428" s="208"/>
      <c r="Y428" s="44"/>
      <c r="Z428" s="44"/>
      <c r="AA428" s="44"/>
      <c r="AB428" s="44"/>
    </row>
    <row r="429" spans="1:28" s="45" customFormat="1">
      <c r="A429" s="185"/>
      <c r="B429" s="827" t="s">
        <v>1351</v>
      </c>
      <c r="C429" s="887" t="s">
        <v>1333</v>
      </c>
      <c r="D429" s="827" t="s">
        <v>22</v>
      </c>
      <c r="E429" s="594">
        <v>3</v>
      </c>
      <c r="F429" s="575">
        <v>47640</v>
      </c>
      <c r="G429" s="795">
        <f t="shared" si="66"/>
        <v>142920</v>
      </c>
      <c r="H429" s="208"/>
      <c r="I429" s="899"/>
      <c r="J429" s="208"/>
      <c r="K429" s="208"/>
      <c r="L429" s="208"/>
      <c r="M429" s="900"/>
      <c r="N429" s="901"/>
      <c r="O429" s="207"/>
      <c r="P429" s="207"/>
      <c r="Q429" s="207"/>
      <c r="R429" s="207"/>
      <c r="S429" s="207"/>
      <c r="T429" s="207"/>
      <c r="U429" s="16"/>
      <c r="V429" s="805"/>
      <c r="W429" s="807"/>
      <c r="X429" s="208"/>
      <c r="Y429" s="44"/>
      <c r="Z429" s="44"/>
      <c r="AA429" s="44"/>
      <c r="AB429" s="44"/>
    </row>
    <row r="430" spans="1:28" s="45" customFormat="1">
      <c r="A430" s="185"/>
      <c r="B430" s="827" t="s">
        <v>1352</v>
      </c>
      <c r="C430" s="887" t="s">
        <v>1332</v>
      </c>
      <c r="D430" s="827" t="s">
        <v>22</v>
      </c>
      <c r="E430" s="594">
        <v>3</v>
      </c>
      <c r="F430" s="587">
        <v>33030</v>
      </c>
      <c r="G430" s="795">
        <f t="shared" si="66"/>
        <v>99090</v>
      </c>
      <c r="H430" s="208"/>
      <c r="I430" s="899"/>
      <c r="J430" s="208"/>
      <c r="K430" s="208"/>
      <c r="L430" s="208"/>
      <c r="M430" s="900"/>
      <c r="N430" s="901"/>
      <c r="O430" s="207"/>
      <c r="P430" s="207"/>
      <c r="Q430" s="207"/>
      <c r="R430" s="207"/>
      <c r="S430" s="207"/>
      <c r="T430" s="207"/>
      <c r="U430" s="16"/>
      <c r="V430" s="805"/>
      <c r="W430" s="807"/>
      <c r="X430" s="208"/>
      <c r="Y430" s="44"/>
      <c r="Z430" s="44"/>
      <c r="AA430" s="44"/>
      <c r="AB430" s="44"/>
    </row>
    <row r="431" spans="1:28" s="45" customFormat="1">
      <c r="A431" s="185"/>
      <c r="B431" s="827" t="s">
        <v>1353</v>
      </c>
      <c r="C431" s="887" t="s">
        <v>1334</v>
      </c>
      <c r="D431" s="827" t="s">
        <v>22</v>
      </c>
      <c r="E431" s="594">
        <v>3</v>
      </c>
      <c r="F431" s="575">
        <v>3250</v>
      </c>
      <c r="G431" s="795">
        <f t="shared" si="66"/>
        <v>9750</v>
      </c>
      <c r="H431" s="208"/>
      <c r="I431" s="899"/>
      <c r="J431" s="208"/>
      <c r="K431" s="208"/>
      <c r="L431" s="208"/>
      <c r="M431" s="900"/>
      <c r="N431" s="901"/>
      <c r="O431" s="207"/>
      <c r="P431" s="207"/>
      <c r="Q431" s="207"/>
      <c r="R431" s="207"/>
      <c r="S431" s="207"/>
      <c r="T431" s="207"/>
      <c r="U431" s="16"/>
      <c r="V431" s="805"/>
      <c r="W431" s="807"/>
      <c r="X431" s="208"/>
      <c r="Y431" s="44"/>
      <c r="Z431" s="44"/>
      <c r="AA431" s="44"/>
      <c r="AB431" s="44"/>
    </row>
    <row r="432" spans="1:28" s="45" customFormat="1">
      <c r="A432" s="185"/>
      <c r="B432" s="937">
        <v>13.2</v>
      </c>
      <c r="C432" s="981" t="s">
        <v>1335</v>
      </c>
      <c r="D432" s="937"/>
      <c r="E432" s="982"/>
      <c r="F432" s="983"/>
      <c r="G432" s="984"/>
      <c r="H432" s="208"/>
      <c r="I432" s="899"/>
      <c r="J432" s="208"/>
      <c r="K432" s="208"/>
      <c r="L432" s="208"/>
      <c r="M432" s="900"/>
      <c r="N432" s="901"/>
      <c r="O432" s="207"/>
      <c r="P432" s="207"/>
      <c r="Q432" s="207"/>
      <c r="R432" s="207"/>
      <c r="S432" s="207"/>
      <c r="T432" s="207"/>
      <c r="U432" s="16"/>
      <c r="V432" s="805"/>
      <c r="W432" s="807"/>
      <c r="X432" s="208"/>
      <c r="Y432" s="44"/>
      <c r="Z432" s="44"/>
      <c r="AA432" s="44"/>
      <c r="AB432" s="44"/>
    </row>
    <row r="433" spans="1:28" s="45" customFormat="1">
      <c r="A433" s="185"/>
      <c r="B433" s="827" t="s">
        <v>1354</v>
      </c>
      <c r="C433" s="593" t="s">
        <v>1336</v>
      </c>
      <c r="D433" s="827" t="s">
        <v>1337</v>
      </c>
      <c r="E433" s="594">
        <v>1</v>
      </c>
      <c r="F433" s="973">
        <v>38073</v>
      </c>
      <c r="G433" s="795">
        <f>+F433*E433</f>
        <v>38073</v>
      </c>
      <c r="H433" s="208"/>
      <c r="I433" s="899"/>
      <c r="J433" s="208"/>
      <c r="K433" s="208"/>
      <c r="L433" s="208"/>
      <c r="M433" s="900"/>
      <c r="N433" s="901"/>
      <c r="O433" s="207"/>
      <c r="P433" s="207"/>
      <c r="Q433" s="207"/>
      <c r="R433" s="207"/>
      <c r="S433" s="207"/>
      <c r="T433" s="207"/>
      <c r="U433" s="16"/>
      <c r="V433" s="805"/>
      <c r="W433" s="807"/>
      <c r="X433" s="208"/>
      <c r="Y433" s="44"/>
      <c r="Z433" s="44"/>
      <c r="AA433" s="44"/>
      <c r="AB433" s="44"/>
    </row>
    <row r="434" spans="1:28" s="45" customFormat="1">
      <c r="A434" s="185"/>
      <c r="B434" s="827" t="s">
        <v>1355</v>
      </c>
      <c r="C434" s="593" t="s">
        <v>1339</v>
      </c>
      <c r="D434" s="827" t="s">
        <v>1337</v>
      </c>
      <c r="E434" s="594">
        <v>2</v>
      </c>
      <c r="F434" s="973">
        <v>119840</v>
      </c>
      <c r="G434" s="795">
        <f>+F434*E434</f>
        <v>239680</v>
      </c>
      <c r="H434" s="208"/>
      <c r="I434" s="899"/>
      <c r="J434" s="208"/>
      <c r="K434" s="208"/>
      <c r="L434" s="208"/>
      <c r="M434" s="900"/>
      <c r="N434" s="901"/>
      <c r="O434" s="207"/>
      <c r="P434" s="207"/>
      <c r="Q434" s="207"/>
      <c r="R434" s="207"/>
      <c r="S434" s="207"/>
      <c r="T434" s="207"/>
      <c r="U434" s="16"/>
      <c r="V434" s="805"/>
      <c r="W434" s="807"/>
      <c r="X434" s="208"/>
      <c r="Y434" s="44"/>
      <c r="Z434" s="44"/>
      <c r="AA434" s="44"/>
      <c r="AB434" s="44"/>
    </row>
    <row r="435" spans="1:28" s="45" customFormat="1">
      <c r="A435" s="185"/>
      <c r="B435" s="827" t="s">
        <v>1356</v>
      </c>
      <c r="C435" s="593" t="s">
        <v>1340</v>
      </c>
      <c r="D435" s="827" t="s">
        <v>1337</v>
      </c>
      <c r="E435" s="594">
        <v>5</v>
      </c>
      <c r="F435" s="973">
        <v>34234</v>
      </c>
      <c r="G435" s="795">
        <f>+F435*E435</f>
        <v>171170</v>
      </c>
      <c r="H435" s="208"/>
      <c r="I435" s="899"/>
      <c r="J435" s="208"/>
      <c r="K435" s="208"/>
      <c r="L435" s="208"/>
      <c r="M435" s="900"/>
      <c r="N435" s="901"/>
      <c r="O435" s="207"/>
      <c r="P435" s="207"/>
      <c r="Q435" s="207"/>
      <c r="R435" s="207"/>
      <c r="S435" s="207"/>
      <c r="T435" s="207"/>
      <c r="U435" s="16"/>
      <c r="V435" s="805"/>
      <c r="W435" s="807"/>
      <c r="X435" s="208"/>
      <c r="Y435" s="44"/>
      <c r="Z435" s="44"/>
      <c r="AA435" s="44"/>
      <c r="AB435" s="44"/>
    </row>
    <row r="436" spans="1:28" s="45" customFormat="1">
      <c r="A436" s="185"/>
      <c r="B436" s="827" t="s">
        <v>1357</v>
      </c>
      <c r="C436" s="593" t="s">
        <v>1341</v>
      </c>
      <c r="D436" s="827" t="s">
        <v>1337</v>
      </c>
      <c r="E436" s="594">
        <v>3</v>
      </c>
      <c r="F436" s="575">
        <v>149340</v>
      </c>
      <c r="G436" s="795">
        <f>+F436*E436</f>
        <v>448020</v>
      </c>
      <c r="H436" s="208"/>
      <c r="I436" s="899"/>
      <c r="J436" s="208"/>
      <c r="K436" s="208"/>
      <c r="L436" s="208"/>
      <c r="M436" s="900"/>
      <c r="N436" s="901"/>
      <c r="O436" s="207"/>
      <c r="P436" s="207"/>
      <c r="Q436" s="207"/>
      <c r="R436" s="207"/>
      <c r="S436" s="207"/>
      <c r="T436" s="207"/>
      <c r="U436" s="16"/>
      <c r="V436" s="805"/>
      <c r="W436" s="807"/>
      <c r="X436" s="208"/>
      <c r="Y436" s="44"/>
      <c r="Z436" s="44"/>
      <c r="AA436" s="44"/>
      <c r="AB436" s="44"/>
    </row>
    <row r="437" spans="1:28" s="45" customFormat="1">
      <c r="A437" s="185"/>
      <c r="B437" s="827" t="s">
        <v>1358</v>
      </c>
      <c r="C437" s="887" t="s">
        <v>1338</v>
      </c>
      <c r="D437" s="827" t="s">
        <v>22</v>
      </c>
      <c r="E437" s="594">
        <v>1</v>
      </c>
      <c r="F437" s="575">
        <v>208740</v>
      </c>
      <c r="G437" s="795">
        <f>+F437*E437</f>
        <v>208740</v>
      </c>
      <c r="H437" s="208"/>
      <c r="I437" s="899"/>
      <c r="J437" s="208"/>
      <c r="K437" s="208"/>
      <c r="L437" s="208"/>
      <c r="M437" s="900"/>
      <c r="N437" s="901"/>
      <c r="O437" s="207"/>
      <c r="P437" s="207"/>
      <c r="Q437" s="207"/>
      <c r="R437" s="207"/>
      <c r="S437" s="207"/>
      <c r="T437" s="207"/>
      <c r="U437" s="16"/>
      <c r="V437" s="805"/>
      <c r="W437" s="807"/>
      <c r="X437" s="208"/>
      <c r="Y437" s="44"/>
      <c r="Z437" s="44"/>
      <c r="AA437" s="44"/>
      <c r="AB437" s="44"/>
    </row>
    <row r="438" spans="1:28" s="45" customFormat="1">
      <c r="A438" s="185"/>
      <c r="B438" s="937">
        <v>13.3</v>
      </c>
      <c r="C438" s="981" t="s">
        <v>1342</v>
      </c>
      <c r="D438" s="937"/>
      <c r="E438" s="982"/>
      <c r="F438" s="983"/>
      <c r="G438" s="984"/>
      <c r="H438" s="208"/>
      <c r="I438" s="899"/>
      <c r="J438" s="208"/>
      <c r="K438" s="208"/>
      <c r="L438" s="208"/>
      <c r="M438" s="900"/>
      <c r="N438" s="901"/>
      <c r="O438" s="207"/>
      <c r="P438" s="207"/>
      <c r="Q438" s="207"/>
      <c r="R438" s="207"/>
      <c r="S438" s="207"/>
      <c r="T438" s="207"/>
      <c r="U438" s="16"/>
      <c r="V438" s="805"/>
      <c r="W438" s="807"/>
      <c r="X438" s="208"/>
      <c r="Y438" s="44"/>
      <c r="Z438" s="44"/>
      <c r="AA438" s="44"/>
      <c r="AB438" s="44"/>
    </row>
    <row r="439" spans="1:28" s="45" customFormat="1">
      <c r="A439" s="185"/>
      <c r="B439" s="827" t="s">
        <v>1361</v>
      </c>
      <c r="C439" s="887" t="s">
        <v>1359</v>
      </c>
      <c r="D439" s="827" t="s">
        <v>22</v>
      </c>
      <c r="E439" s="594">
        <v>3</v>
      </c>
      <c r="F439" s="575">
        <v>29260</v>
      </c>
      <c r="G439" s="795">
        <f>+F439*E439</f>
        <v>87780</v>
      </c>
      <c r="H439" s="208"/>
      <c r="I439" s="899"/>
      <c r="J439" s="208"/>
      <c r="K439" s="208"/>
      <c r="L439" s="208"/>
      <c r="M439" s="900"/>
      <c r="N439" s="901"/>
      <c r="O439" s="207"/>
      <c r="P439" s="207"/>
      <c r="Q439" s="207"/>
      <c r="R439" s="207"/>
      <c r="S439" s="207"/>
      <c r="T439" s="207"/>
      <c r="U439" s="16"/>
      <c r="V439" s="805"/>
      <c r="W439" s="807"/>
      <c r="X439" s="208"/>
      <c r="Y439" s="44"/>
      <c r="Z439" s="44"/>
      <c r="AA439" s="44"/>
      <c r="AB439" s="44"/>
    </row>
    <row r="440" spans="1:28" s="45" customFormat="1">
      <c r="A440" s="185"/>
      <c r="B440" s="827" t="s">
        <v>1373</v>
      </c>
      <c r="C440" s="887" t="s">
        <v>1360</v>
      </c>
      <c r="D440" s="827" t="s">
        <v>22</v>
      </c>
      <c r="E440" s="594">
        <v>3</v>
      </c>
      <c r="F440" s="575">
        <v>33130</v>
      </c>
      <c r="G440" s="795">
        <f>+F440*E440</f>
        <v>99390</v>
      </c>
      <c r="H440" s="208"/>
      <c r="I440" s="899"/>
      <c r="J440" s="208"/>
      <c r="K440" s="208"/>
      <c r="L440" s="208"/>
      <c r="M440" s="900"/>
      <c r="N440" s="901"/>
      <c r="O440" s="207"/>
      <c r="P440" s="207"/>
      <c r="Q440" s="207"/>
      <c r="R440" s="207"/>
      <c r="S440" s="207"/>
      <c r="T440" s="207"/>
      <c r="U440" s="16"/>
      <c r="V440" s="805"/>
      <c r="W440" s="807"/>
      <c r="X440" s="208"/>
      <c r="Y440" s="44"/>
      <c r="Z440" s="44"/>
      <c r="AA440" s="44"/>
      <c r="AB440" s="44"/>
    </row>
    <row r="441" spans="1:28" s="45" customFormat="1">
      <c r="A441" s="185"/>
      <c r="B441" s="827" t="s">
        <v>1374</v>
      </c>
      <c r="C441" s="887" t="s">
        <v>1362</v>
      </c>
      <c r="D441" s="827" t="s">
        <v>22</v>
      </c>
      <c r="E441" s="594">
        <v>3</v>
      </c>
      <c r="F441" s="575">
        <v>66930</v>
      </c>
      <c r="G441" s="795">
        <f>+F441*E441</f>
        <v>200790</v>
      </c>
      <c r="H441" s="208"/>
      <c r="I441" s="899"/>
      <c r="J441" s="208"/>
      <c r="K441" s="208"/>
      <c r="L441" s="208"/>
      <c r="M441" s="900"/>
      <c r="N441" s="901"/>
      <c r="O441" s="207"/>
      <c r="P441" s="207"/>
      <c r="Q441" s="207"/>
      <c r="R441" s="207"/>
      <c r="S441" s="207"/>
      <c r="T441" s="207"/>
      <c r="U441" s="16"/>
      <c r="V441" s="805"/>
      <c r="W441" s="807"/>
      <c r="X441" s="208"/>
      <c r="Y441" s="44"/>
      <c r="Z441" s="44"/>
      <c r="AA441" s="44"/>
      <c r="AB441" s="44"/>
    </row>
    <row r="442" spans="1:28" s="45" customFormat="1">
      <c r="A442" s="185"/>
      <c r="B442" s="937">
        <v>13.4</v>
      </c>
      <c r="C442" s="985" t="s">
        <v>1363</v>
      </c>
      <c r="D442" s="937"/>
      <c r="E442" s="982"/>
      <c r="F442" s="983"/>
      <c r="G442" s="984"/>
      <c r="H442" s="208"/>
      <c r="I442" s="899"/>
      <c r="J442" s="208"/>
      <c r="K442" s="208"/>
      <c r="L442" s="208"/>
      <c r="M442" s="900"/>
      <c r="N442" s="901"/>
      <c r="O442" s="207"/>
      <c r="P442" s="207"/>
      <c r="Q442" s="207"/>
      <c r="R442" s="207"/>
      <c r="S442" s="207"/>
      <c r="T442" s="207"/>
      <c r="U442" s="16"/>
      <c r="V442" s="805"/>
      <c r="W442" s="807"/>
      <c r="X442" s="208"/>
      <c r="Y442" s="44"/>
      <c r="Z442" s="44"/>
      <c r="AA442" s="44"/>
      <c r="AB442" s="44"/>
    </row>
    <row r="443" spans="1:28" s="45" customFormat="1">
      <c r="A443" s="185"/>
      <c r="B443" s="827" t="s">
        <v>1375</v>
      </c>
      <c r="C443" s="102" t="s">
        <v>1364</v>
      </c>
      <c r="D443" s="104" t="s">
        <v>500</v>
      </c>
      <c r="E443" s="103">
        <v>5</v>
      </c>
      <c r="F443" s="575">
        <v>21516</v>
      </c>
      <c r="G443" s="795">
        <f>+F443*E443</f>
        <v>107580</v>
      </c>
      <c r="H443" s="208"/>
      <c r="I443" s="899"/>
      <c r="J443" s="208"/>
      <c r="K443" s="208"/>
      <c r="L443" s="208"/>
      <c r="M443" s="900"/>
      <c r="N443" s="901"/>
      <c r="O443" s="207"/>
      <c r="P443" s="207"/>
      <c r="Q443" s="207"/>
      <c r="R443" s="207"/>
      <c r="S443" s="207"/>
      <c r="T443" s="207"/>
      <c r="U443" s="16"/>
      <c r="V443" s="805"/>
      <c r="W443" s="807"/>
      <c r="X443" s="208"/>
      <c r="Y443" s="44"/>
      <c r="Z443" s="44"/>
      <c r="AA443" s="44"/>
      <c r="AB443" s="44"/>
    </row>
    <row r="444" spans="1:28" s="45" customFormat="1">
      <c r="A444" s="185"/>
      <c r="B444" s="827" t="s">
        <v>1376</v>
      </c>
      <c r="C444" s="102" t="s">
        <v>1365</v>
      </c>
      <c r="D444" s="104" t="s">
        <v>500</v>
      </c>
      <c r="E444" s="103">
        <v>5</v>
      </c>
      <c r="F444" s="575">
        <v>20557</v>
      </c>
      <c r="G444" s="795">
        <f>+F444*E444</f>
        <v>102785</v>
      </c>
      <c r="H444" s="208"/>
      <c r="I444" s="899"/>
      <c r="J444" s="208"/>
      <c r="K444" s="208"/>
      <c r="L444" s="208"/>
      <c r="M444" s="900"/>
      <c r="N444" s="901"/>
      <c r="O444" s="207"/>
      <c r="P444" s="207"/>
      <c r="Q444" s="207"/>
      <c r="R444" s="207"/>
      <c r="S444" s="207"/>
      <c r="T444" s="207"/>
      <c r="U444" s="16"/>
      <c r="V444" s="805"/>
      <c r="W444" s="807"/>
      <c r="X444" s="208"/>
      <c r="Y444" s="44"/>
      <c r="Z444" s="44"/>
      <c r="AA444" s="44"/>
      <c r="AB444" s="44"/>
    </row>
    <row r="445" spans="1:28" s="45" customFormat="1" ht="15.75" thickBot="1">
      <c r="A445" s="185"/>
      <c r="B445" s="827" t="s">
        <v>1377</v>
      </c>
      <c r="C445" s="102" t="s">
        <v>1366</v>
      </c>
      <c r="D445" s="104" t="s">
        <v>500</v>
      </c>
      <c r="E445" s="103">
        <v>4</v>
      </c>
      <c r="F445" s="575">
        <v>18028</v>
      </c>
      <c r="G445" s="795">
        <f>+F445*E445</f>
        <v>72112</v>
      </c>
      <c r="H445" s="208"/>
      <c r="I445" s="899"/>
      <c r="J445" s="208"/>
      <c r="K445" s="208"/>
      <c r="L445" s="208"/>
      <c r="M445" s="900"/>
      <c r="N445" s="901"/>
      <c r="O445" s="207"/>
      <c r="P445" s="207"/>
      <c r="Q445" s="207"/>
      <c r="R445" s="207"/>
      <c r="S445" s="207"/>
      <c r="T445" s="207"/>
      <c r="U445" s="16"/>
      <c r="V445" s="805"/>
      <c r="W445" s="807"/>
      <c r="X445" s="208"/>
      <c r="Y445" s="44"/>
      <c r="Z445" s="44"/>
      <c r="AA445" s="44"/>
      <c r="AB445" s="44"/>
    </row>
    <row r="446" spans="1:28" s="45" customFormat="1">
      <c r="A446" s="185"/>
      <c r="B446" s="937">
        <v>13.5</v>
      </c>
      <c r="C446" s="978" t="s">
        <v>1367</v>
      </c>
      <c r="D446" s="979"/>
      <c r="E446" s="979"/>
      <c r="F446" s="979"/>
      <c r="G446" s="980"/>
      <c r="H446" s="208"/>
      <c r="I446" s="899"/>
      <c r="J446" s="208"/>
      <c r="K446" s="208"/>
      <c r="L446" s="208"/>
      <c r="M446" s="900"/>
      <c r="N446" s="901"/>
      <c r="O446" s="207"/>
      <c r="P446" s="207"/>
      <c r="Q446" s="207"/>
      <c r="R446" s="207"/>
      <c r="S446" s="207"/>
      <c r="T446" s="207"/>
      <c r="U446" s="16"/>
      <c r="V446" s="805"/>
      <c r="W446" s="807"/>
      <c r="X446" s="208"/>
      <c r="Y446" s="44"/>
      <c r="Z446" s="44"/>
      <c r="AA446" s="44"/>
      <c r="AB446" s="44"/>
    </row>
    <row r="447" spans="1:28" s="45" customFormat="1">
      <c r="A447" s="185"/>
      <c r="B447" s="827" t="s">
        <v>1378</v>
      </c>
      <c r="C447" s="593" t="s">
        <v>1364</v>
      </c>
      <c r="D447" s="827" t="s">
        <v>1337</v>
      </c>
      <c r="E447" s="594">
        <v>2</v>
      </c>
      <c r="F447" s="575">
        <v>8658</v>
      </c>
      <c r="G447" s="795">
        <f>+F447*E447</f>
        <v>17316</v>
      </c>
      <c r="H447" s="208"/>
      <c r="I447" s="899"/>
      <c r="J447" s="208"/>
      <c r="K447" s="208"/>
      <c r="L447" s="208"/>
      <c r="M447" s="900"/>
      <c r="N447" s="901"/>
      <c r="O447" s="207"/>
      <c r="P447" s="207"/>
      <c r="Q447" s="207"/>
      <c r="R447" s="207"/>
      <c r="S447" s="207"/>
      <c r="T447" s="207"/>
      <c r="U447" s="16"/>
      <c r="V447" s="805"/>
      <c r="W447" s="807"/>
      <c r="X447" s="208"/>
      <c r="Y447" s="44"/>
      <c r="Z447" s="44"/>
      <c r="AA447" s="44"/>
      <c r="AB447" s="44"/>
    </row>
    <row r="448" spans="1:28" s="45" customFormat="1">
      <c r="A448" s="185"/>
      <c r="B448" s="827" t="s">
        <v>1379</v>
      </c>
      <c r="C448" s="593" t="s">
        <v>1365</v>
      </c>
      <c r="D448" s="827" t="s">
        <v>1337</v>
      </c>
      <c r="E448" s="594">
        <v>6</v>
      </c>
      <c r="F448" s="575">
        <v>5510</v>
      </c>
      <c r="G448" s="795">
        <f>+F448*E448</f>
        <v>33060</v>
      </c>
      <c r="H448" s="208"/>
      <c r="I448" s="899"/>
      <c r="J448" s="208"/>
      <c r="K448" s="208"/>
      <c r="L448" s="208"/>
      <c r="M448" s="900"/>
      <c r="N448" s="901"/>
      <c r="O448" s="207"/>
      <c r="P448" s="207"/>
      <c r="Q448" s="207"/>
      <c r="R448" s="207"/>
      <c r="S448" s="207"/>
      <c r="T448" s="207"/>
      <c r="U448" s="16"/>
      <c r="V448" s="805"/>
      <c r="W448" s="807"/>
      <c r="X448" s="208"/>
      <c r="Y448" s="44"/>
      <c r="Z448" s="44"/>
      <c r="AA448" s="44"/>
      <c r="AB448" s="44"/>
    </row>
    <row r="449" spans="1:28" s="45" customFormat="1" ht="15.75" thickBot="1">
      <c r="A449" s="185"/>
      <c r="B449" s="827" t="s">
        <v>1380</v>
      </c>
      <c r="C449" s="593" t="s">
        <v>1366</v>
      </c>
      <c r="D449" s="827" t="s">
        <v>1337</v>
      </c>
      <c r="E449" s="594">
        <v>2</v>
      </c>
      <c r="F449" s="575">
        <v>2169</v>
      </c>
      <c r="G449" s="795">
        <f>+F449*E449</f>
        <v>4338</v>
      </c>
      <c r="H449" s="208"/>
      <c r="I449" s="899"/>
      <c r="J449" s="208"/>
      <c r="K449" s="208"/>
      <c r="L449" s="208"/>
      <c r="M449" s="900"/>
      <c r="N449" s="901"/>
      <c r="O449" s="207"/>
      <c r="P449" s="207"/>
      <c r="Q449" s="207"/>
      <c r="R449" s="207"/>
      <c r="S449" s="207"/>
      <c r="T449" s="207"/>
      <c r="U449" s="16"/>
      <c r="V449" s="805"/>
      <c r="W449" s="807"/>
      <c r="X449" s="208"/>
      <c r="Y449" s="44"/>
      <c r="Z449" s="44"/>
      <c r="AA449" s="44"/>
      <c r="AB449" s="44"/>
    </row>
    <row r="450" spans="1:28" s="45" customFormat="1">
      <c r="A450" s="185"/>
      <c r="B450" s="991">
        <v>13.6</v>
      </c>
      <c r="C450" s="978" t="s">
        <v>1368</v>
      </c>
      <c r="D450" s="979"/>
      <c r="E450" s="979"/>
      <c r="F450" s="979"/>
      <c r="G450" s="1002"/>
      <c r="H450" s="208"/>
      <c r="I450" s="899"/>
      <c r="J450" s="208"/>
      <c r="K450" s="208"/>
      <c r="L450" s="208"/>
      <c r="M450" s="900"/>
      <c r="N450" s="901"/>
      <c r="O450" s="207"/>
      <c r="P450" s="207"/>
      <c r="Q450" s="207"/>
      <c r="R450" s="207"/>
      <c r="S450" s="207"/>
      <c r="T450" s="207"/>
      <c r="U450" s="16"/>
      <c r="V450" s="805"/>
      <c r="W450" s="807"/>
      <c r="X450" s="208"/>
      <c r="Y450" s="44"/>
      <c r="Z450" s="44"/>
      <c r="AA450" s="44"/>
      <c r="AB450" s="44"/>
    </row>
    <row r="451" spans="1:28" s="45" customFormat="1">
      <c r="A451" s="185"/>
      <c r="B451" s="592" t="s">
        <v>1381</v>
      </c>
      <c r="C451" s="593" t="s">
        <v>1365</v>
      </c>
      <c r="D451" s="827" t="s">
        <v>1337</v>
      </c>
      <c r="E451" s="594">
        <v>3</v>
      </c>
      <c r="F451" s="575">
        <v>6465</v>
      </c>
      <c r="G451" s="795">
        <f>+F451*E451</f>
        <v>19395</v>
      </c>
      <c r="H451" s="208"/>
      <c r="I451" s="899"/>
      <c r="J451" s="208"/>
      <c r="K451" s="208"/>
      <c r="L451" s="208"/>
      <c r="M451" s="900"/>
      <c r="N451" s="901"/>
      <c r="O451" s="207"/>
      <c r="P451" s="207"/>
      <c r="Q451" s="207"/>
      <c r="R451" s="207"/>
      <c r="S451" s="207"/>
      <c r="T451" s="207"/>
      <c r="U451" s="16"/>
      <c r="V451" s="805"/>
      <c r="W451" s="807"/>
      <c r="X451" s="208"/>
      <c r="Y451" s="44"/>
      <c r="Z451" s="44"/>
      <c r="AA451" s="44"/>
      <c r="AB451" s="44"/>
    </row>
    <row r="452" spans="1:28" s="45" customFormat="1" ht="15.75" thickBot="1">
      <c r="A452" s="185"/>
      <c r="B452" s="592" t="s">
        <v>1382</v>
      </c>
      <c r="C452" s="593" t="s">
        <v>1366</v>
      </c>
      <c r="D452" s="827" t="s">
        <v>1337</v>
      </c>
      <c r="E452" s="594">
        <v>1</v>
      </c>
      <c r="F452" s="575">
        <v>4785</v>
      </c>
      <c r="G452" s="795">
        <f>+F452*E452</f>
        <v>4785</v>
      </c>
      <c r="H452" s="208"/>
      <c r="I452" s="899"/>
      <c r="J452" s="208"/>
      <c r="K452" s="208"/>
      <c r="L452" s="208"/>
      <c r="M452" s="900"/>
      <c r="N452" s="901"/>
      <c r="O452" s="207"/>
      <c r="P452" s="207"/>
      <c r="Q452" s="207"/>
      <c r="R452" s="207"/>
      <c r="S452" s="207"/>
      <c r="T452" s="207"/>
      <c r="U452" s="16"/>
      <c r="V452" s="805"/>
      <c r="W452" s="807"/>
      <c r="X452" s="208"/>
      <c r="Y452" s="44"/>
      <c r="Z452" s="44"/>
      <c r="AA452" s="44"/>
      <c r="AB452" s="44"/>
    </row>
    <row r="453" spans="1:28" s="45" customFormat="1">
      <c r="A453" s="185"/>
      <c r="B453" s="992">
        <v>13.7</v>
      </c>
      <c r="C453" s="75" t="s">
        <v>1369</v>
      </c>
      <c r="D453" s="76"/>
      <c r="E453" s="76"/>
      <c r="F453" s="76"/>
      <c r="G453" s="126"/>
      <c r="H453" s="208"/>
      <c r="I453" s="899"/>
      <c r="J453" s="208"/>
      <c r="K453" s="208"/>
      <c r="L453" s="208"/>
      <c r="M453" s="900"/>
      <c r="N453" s="901"/>
      <c r="O453" s="207"/>
      <c r="P453" s="207"/>
      <c r="Q453" s="207"/>
      <c r="R453" s="207"/>
      <c r="S453" s="207"/>
      <c r="T453" s="207"/>
      <c r="U453" s="16"/>
      <c r="V453" s="805"/>
      <c r="W453" s="807"/>
      <c r="X453" s="208"/>
      <c r="Y453" s="44"/>
      <c r="Z453" s="44"/>
      <c r="AA453" s="44"/>
      <c r="AB453" s="44"/>
    </row>
    <row r="454" spans="1:28" s="45" customFormat="1">
      <c r="A454" s="185"/>
      <c r="B454" s="827" t="s">
        <v>1383</v>
      </c>
      <c r="C454" s="887" t="s">
        <v>1371</v>
      </c>
      <c r="D454" s="827" t="s">
        <v>1337</v>
      </c>
      <c r="E454" s="594">
        <v>2</v>
      </c>
      <c r="F454" s="575">
        <v>24760</v>
      </c>
      <c r="G454" s="795">
        <f>+F454*E454</f>
        <v>49520</v>
      </c>
      <c r="H454" s="208"/>
      <c r="I454" s="899"/>
      <c r="J454" s="208"/>
      <c r="K454" s="208"/>
      <c r="L454" s="208"/>
      <c r="M454" s="900"/>
      <c r="N454" s="901"/>
      <c r="O454" s="207"/>
      <c r="P454" s="207"/>
      <c r="Q454" s="207"/>
      <c r="R454" s="207"/>
      <c r="S454" s="207"/>
      <c r="T454" s="207"/>
      <c r="U454" s="16"/>
      <c r="V454" s="805"/>
      <c r="W454" s="807"/>
      <c r="X454" s="208"/>
      <c r="Y454" s="44"/>
      <c r="Z454" s="44"/>
      <c r="AA454" s="44"/>
      <c r="AB454" s="44"/>
    </row>
    <row r="455" spans="1:28" s="45" customFormat="1" ht="15.75" thickBot="1">
      <c r="A455" s="185"/>
      <c r="B455" s="827" t="s">
        <v>1384</v>
      </c>
      <c r="C455" s="887" t="s">
        <v>1370</v>
      </c>
      <c r="D455" s="827" t="s">
        <v>1337</v>
      </c>
      <c r="E455" s="594">
        <v>2</v>
      </c>
      <c r="F455" s="575">
        <v>29900</v>
      </c>
      <c r="G455" s="795">
        <f>+F455*E455</f>
        <v>59800</v>
      </c>
      <c r="H455" s="208"/>
      <c r="I455" s="899"/>
      <c r="J455" s="208"/>
      <c r="K455" s="208"/>
      <c r="L455" s="208"/>
      <c r="M455" s="900"/>
      <c r="N455" s="901"/>
      <c r="O455" s="207"/>
      <c r="P455" s="207"/>
      <c r="Q455" s="207"/>
      <c r="R455" s="207"/>
      <c r="S455" s="207"/>
      <c r="T455" s="207"/>
      <c r="U455" s="16"/>
      <c r="V455" s="805"/>
      <c r="W455" s="807"/>
      <c r="X455" s="208"/>
      <c r="Y455" s="44"/>
      <c r="Z455" s="44"/>
      <c r="AA455" s="44"/>
      <c r="AB455" s="44"/>
    </row>
    <row r="456" spans="1:28" s="45" customFormat="1">
      <c r="A456" s="185"/>
      <c r="B456" s="992">
        <v>13.8</v>
      </c>
      <c r="C456" s="75" t="s">
        <v>1372</v>
      </c>
      <c r="D456" s="76"/>
      <c r="E456" s="76"/>
      <c r="F456" s="76"/>
      <c r="G456" s="126"/>
      <c r="H456" s="208"/>
      <c r="I456" s="899"/>
      <c r="J456" s="208"/>
      <c r="K456" s="208"/>
      <c r="L456" s="208"/>
      <c r="M456" s="900"/>
      <c r="N456" s="901"/>
      <c r="O456" s="207"/>
      <c r="P456" s="207"/>
      <c r="Q456" s="207"/>
      <c r="R456" s="207"/>
      <c r="S456" s="207"/>
      <c r="T456" s="207"/>
      <c r="U456" s="16"/>
      <c r="V456" s="805"/>
      <c r="W456" s="807"/>
      <c r="X456" s="208"/>
      <c r="Y456" s="44"/>
      <c r="Z456" s="44"/>
      <c r="AA456" s="44"/>
      <c r="AB456" s="44"/>
    </row>
    <row r="457" spans="1:28" s="45" customFormat="1">
      <c r="A457" s="185"/>
      <c r="B457" s="101" t="s">
        <v>1385</v>
      </c>
      <c r="C457" s="102" t="s">
        <v>1365</v>
      </c>
      <c r="D457" s="104" t="s">
        <v>500</v>
      </c>
      <c r="E457" s="103">
        <v>3</v>
      </c>
      <c r="F457" s="575">
        <v>10451</v>
      </c>
      <c r="G457" s="792">
        <f>+F457*E457</f>
        <v>31353</v>
      </c>
      <c r="H457" s="208"/>
      <c r="I457" s="899"/>
      <c r="J457" s="208"/>
      <c r="K457" s="208"/>
      <c r="L457" s="208"/>
      <c r="M457" s="900"/>
      <c r="N457" s="901"/>
      <c r="O457" s="207"/>
      <c r="P457" s="207"/>
      <c r="Q457" s="207"/>
      <c r="R457" s="207"/>
      <c r="S457" s="207"/>
      <c r="T457" s="207"/>
      <c r="U457" s="16"/>
      <c r="V457" s="805"/>
      <c r="W457" s="807"/>
      <c r="X457" s="208"/>
      <c r="Y457" s="44"/>
      <c r="Z457" s="44"/>
      <c r="AA457" s="44"/>
      <c r="AB457" s="44"/>
    </row>
    <row r="458" spans="1:28" s="45" customFormat="1" ht="15.75" thickBot="1">
      <c r="A458" s="185"/>
      <c r="B458" s="1025"/>
      <c r="C458" s="871"/>
      <c r="D458" s="873"/>
      <c r="E458" s="874"/>
      <c r="F458" s="947" t="s">
        <v>1404</v>
      </c>
      <c r="G458" s="1004">
        <f>SUM(G422:G457)</f>
        <v>2626297</v>
      </c>
      <c r="H458" s="208"/>
      <c r="I458" s="899"/>
      <c r="J458" s="208"/>
      <c r="K458" s="208"/>
      <c r="L458" s="208"/>
      <c r="M458" s="900"/>
      <c r="N458" s="901"/>
      <c r="O458" s="207"/>
      <c r="P458" s="207"/>
      <c r="Q458" s="207"/>
      <c r="R458" s="207"/>
      <c r="S458" s="207"/>
      <c r="T458" s="207"/>
      <c r="U458" s="16"/>
      <c r="V458" s="805"/>
      <c r="W458" s="807"/>
      <c r="X458" s="208"/>
      <c r="Y458" s="44"/>
      <c r="Z458" s="44"/>
      <c r="AA458" s="44"/>
      <c r="AB458" s="44"/>
    </row>
    <row r="459" spans="1:28" s="45" customFormat="1">
      <c r="A459" s="185"/>
      <c r="B459" s="16"/>
      <c r="C459" s="1023"/>
      <c r="D459" s="821"/>
      <c r="E459" s="825"/>
      <c r="F459" s="826"/>
      <c r="G459" s="1024"/>
      <c r="H459" s="208"/>
      <c r="I459" s="899"/>
      <c r="J459" s="208"/>
      <c r="K459" s="208"/>
      <c r="L459" s="208"/>
      <c r="M459" s="900"/>
      <c r="N459" s="901"/>
      <c r="O459" s="207"/>
      <c r="P459" s="207"/>
      <c r="Q459" s="207"/>
      <c r="R459" s="207"/>
      <c r="S459" s="207"/>
      <c r="T459" s="207"/>
      <c r="U459" s="16"/>
      <c r="V459" s="805"/>
      <c r="W459" s="807"/>
      <c r="X459" s="208"/>
      <c r="Y459" s="44"/>
      <c r="Z459" s="44"/>
      <c r="AA459" s="44"/>
      <c r="AB459" s="44"/>
    </row>
    <row r="460" spans="1:28" s="45" customFormat="1" ht="15.75" thickBot="1">
      <c r="A460" s="185"/>
      <c r="B460" s="974"/>
      <c r="C460" s="977"/>
      <c r="D460" s="993"/>
      <c r="E460" s="994"/>
      <c r="F460" s="995"/>
      <c r="G460" s="976">
        <f t="shared" ref="G460" si="67">+E460*F460</f>
        <v>0</v>
      </c>
      <c r="H460" s="208"/>
      <c r="I460" s="899"/>
      <c r="J460" s="208"/>
      <c r="K460" s="208"/>
      <c r="L460" s="208"/>
      <c r="M460" s="900"/>
      <c r="N460" s="901"/>
      <c r="O460" s="207"/>
      <c r="P460" s="207"/>
      <c r="Q460" s="207"/>
      <c r="R460" s="207"/>
      <c r="S460" s="207"/>
      <c r="T460" s="207"/>
      <c r="U460" s="16"/>
      <c r="V460" s="805"/>
      <c r="W460" s="807"/>
      <c r="X460" s="208"/>
      <c r="Y460" s="44"/>
      <c r="Z460" s="44"/>
      <c r="AA460" s="44"/>
      <c r="AB460" s="44"/>
    </row>
    <row r="461" spans="1:28" s="45" customFormat="1">
      <c r="A461" s="185"/>
      <c r="B461" s="74"/>
      <c r="C461" s="75" t="s">
        <v>1393</v>
      </c>
      <c r="D461" s="76"/>
      <c r="E461" s="76"/>
      <c r="F461" s="76"/>
      <c r="G461" s="126"/>
      <c r="H461" s="208"/>
      <c r="I461" s="899"/>
      <c r="J461" s="208"/>
      <c r="K461" s="208"/>
      <c r="L461" s="208"/>
      <c r="M461" s="900"/>
      <c r="N461" s="901"/>
      <c r="O461" s="207"/>
      <c r="P461" s="207"/>
      <c r="Q461" s="207"/>
      <c r="R461" s="207"/>
      <c r="S461" s="207"/>
      <c r="T461" s="207"/>
      <c r="U461" s="16"/>
      <c r="V461" s="805"/>
      <c r="W461" s="807"/>
      <c r="X461" s="208"/>
      <c r="Y461" s="44"/>
      <c r="Z461" s="44"/>
      <c r="AA461" s="44"/>
      <c r="AB461" s="44"/>
    </row>
    <row r="462" spans="1:28" s="45" customFormat="1" ht="26.25" thickBot="1">
      <c r="A462" s="185"/>
      <c r="B462" s="101"/>
      <c r="C462" s="102" t="s">
        <v>1388</v>
      </c>
      <c r="D462" s="104" t="s">
        <v>22</v>
      </c>
      <c r="E462" s="103">
        <v>2</v>
      </c>
      <c r="F462" s="575">
        <v>560000</v>
      </c>
      <c r="G462" s="795">
        <v>6354176</v>
      </c>
      <c r="H462" s="208"/>
      <c r="I462" s="899"/>
      <c r="J462" s="208"/>
      <c r="K462" s="208"/>
      <c r="L462" s="208"/>
      <c r="M462" s="900"/>
      <c r="N462" s="901"/>
      <c r="O462" s="207"/>
      <c r="P462" s="207"/>
      <c r="Q462" s="207"/>
      <c r="R462" s="207"/>
      <c r="S462" s="207"/>
      <c r="T462" s="207"/>
      <c r="U462" s="16"/>
      <c r="V462" s="805"/>
      <c r="W462" s="807"/>
      <c r="X462" s="208"/>
      <c r="Y462" s="44"/>
      <c r="Z462" s="44"/>
      <c r="AA462" s="44"/>
      <c r="AB462" s="44"/>
    </row>
    <row r="463" spans="1:28" s="45" customFormat="1">
      <c r="A463" s="185"/>
      <c r="B463" s="74"/>
      <c r="C463" s="75" t="s">
        <v>1389</v>
      </c>
      <c r="D463" s="76"/>
      <c r="E463" s="76"/>
      <c r="F463" s="76"/>
      <c r="G463" s="77"/>
      <c r="H463" s="208"/>
      <c r="I463" s="899"/>
      <c r="J463" s="208"/>
      <c r="K463" s="208"/>
      <c r="L463" s="208"/>
      <c r="M463" s="900"/>
      <c r="N463" s="901"/>
      <c r="O463" s="207"/>
      <c r="P463" s="207"/>
      <c r="Q463" s="207"/>
      <c r="R463" s="207"/>
      <c r="S463" s="207"/>
      <c r="T463" s="207"/>
      <c r="U463" s="16"/>
      <c r="V463" s="805"/>
      <c r="W463" s="807"/>
      <c r="X463" s="208"/>
      <c r="Y463" s="44"/>
      <c r="Z463" s="44"/>
      <c r="AA463" s="44"/>
      <c r="AB463" s="44"/>
    </row>
    <row r="464" spans="1:28" s="45" customFormat="1">
      <c r="A464" s="185"/>
      <c r="B464" s="592"/>
      <c r="C464" s="593" t="s">
        <v>1390</v>
      </c>
      <c r="D464" s="827" t="s">
        <v>1337</v>
      </c>
      <c r="E464" s="594">
        <v>1</v>
      </c>
      <c r="F464" s="575">
        <v>78639</v>
      </c>
      <c r="G464" s="795">
        <v>78639</v>
      </c>
      <c r="H464" s="208"/>
      <c r="I464" s="899"/>
      <c r="J464" s="208"/>
      <c r="K464" s="208"/>
      <c r="L464" s="208"/>
      <c r="M464" s="900"/>
      <c r="N464" s="901"/>
      <c r="O464" s="207"/>
      <c r="P464" s="207"/>
      <c r="Q464" s="207"/>
      <c r="R464" s="207"/>
      <c r="S464" s="207"/>
      <c r="T464" s="207"/>
      <c r="U464" s="16"/>
      <c r="V464" s="805"/>
      <c r="W464" s="807"/>
      <c r="X464" s="208"/>
      <c r="Y464" s="44"/>
      <c r="Z464" s="44"/>
      <c r="AA464" s="44"/>
      <c r="AB464" s="44"/>
    </row>
    <row r="465" spans="1:28" s="45" customFormat="1">
      <c r="A465" s="185"/>
      <c r="B465" s="592"/>
      <c r="C465" s="593" t="s">
        <v>1391</v>
      </c>
      <c r="D465" s="827" t="s">
        <v>1337</v>
      </c>
      <c r="E465" s="594">
        <v>1</v>
      </c>
      <c r="F465" s="575">
        <v>942239</v>
      </c>
      <c r="G465" s="795">
        <v>942239</v>
      </c>
      <c r="H465" s="208"/>
      <c r="I465" s="899"/>
      <c r="J465" s="208"/>
      <c r="K465" s="208"/>
      <c r="L465" s="208"/>
      <c r="M465" s="900"/>
      <c r="N465" s="901"/>
      <c r="O465" s="207"/>
      <c r="P465" s="207"/>
      <c r="Q465" s="207"/>
      <c r="R465" s="207"/>
      <c r="S465" s="207"/>
      <c r="T465" s="207"/>
      <c r="U465" s="16"/>
      <c r="V465" s="805"/>
      <c r="W465" s="807"/>
      <c r="X465" s="208"/>
      <c r="Y465" s="44"/>
      <c r="Z465" s="44"/>
      <c r="AA465" s="44"/>
      <c r="AB465" s="44"/>
    </row>
    <row r="466" spans="1:28" s="45" customFormat="1">
      <c r="A466" s="185"/>
      <c r="B466" s="592"/>
      <c r="C466" s="593" t="s">
        <v>1392</v>
      </c>
      <c r="D466" s="827" t="s">
        <v>1337</v>
      </c>
      <c r="E466" s="594">
        <v>2</v>
      </c>
      <c r="F466" s="575">
        <v>212089</v>
      </c>
      <c r="G466" s="795">
        <v>424178</v>
      </c>
      <c r="H466" s="208"/>
      <c r="I466" s="899"/>
      <c r="J466" s="208"/>
      <c r="K466" s="208"/>
      <c r="L466" s="208"/>
      <c r="M466" s="900"/>
      <c r="N466" s="901"/>
      <c r="O466" s="207"/>
      <c r="P466" s="207"/>
      <c r="Q466" s="207"/>
      <c r="R466" s="207"/>
      <c r="S466" s="207"/>
      <c r="T466" s="207"/>
      <c r="U466" s="16"/>
      <c r="V466" s="805"/>
      <c r="W466" s="807"/>
      <c r="X466" s="208"/>
      <c r="Y466" s="44"/>
      <c r="Z466" s="44"/>
      <c r="AA466" s="44"/>
      <c r="AB466" s="44"/>
    </row>
    <row r="467" spans="1:28" s="45" customFormat="1" ht="15.75" thickBot="1">
      <c r="A467" s="185"/>
      <c r="B467" s="974"/>
      <c r="C467" s="977"/>
      <c r="D467" s="996"/>
      <c r="E467" s="997"/>
      <c r="F467" s="968"/>
      <c r="G467" s="976"/>
      <c r="H467" s="208"/>
      <c r="I467" s="899"/>
      <c r="J467" s="208"/>
      <c r="K467" s="208"/>
      <c r="L467" s="208"/>
      <c r="M467" s="900"/>
      <c r="N467" s="901"/>
      <c r="O467" s="207"/>
      <c r="P467" s="207"/>
      <c r="Q467" s="207"/>
      <c r="R467" s="207"/>
      <c r="S467" s="207"/>
      <c r="T467" s="207"/>
      <c r="U467" s="16"/>
      <c r="V467" s="805"/>
      <c r="W467" s="807"/>
      <c r="X467" s="208"/>
      <c r="Y467" s="44"/>
      <c r="Z467" s="44"/>
      <c r="AA467" s="44"/>
      <c r="AB467" s="44"/>
    </row>
    <row r="468" spans="1:28" s="45" customFormat="1">
      <c r="A468" s="185"/>
      <c r="B468" s="74"/>
      <c r="C468" s="75" t="s">
        <v>1399</v>
      </c>
      <c r="D468" s="76"/>
      <c r="E468" s="76"/>
      <c r="F468" s="76"/>
      <c r="G468" s="77"/>
      <c r="H468" s="208"/>
      <c r="I468" s="899"/>
      <c r="J468" s="208"/>
      <c r="K468" s="208"/>
      <c r="L468" s="208"/>
      <c r="M468" s="900"/>
      <c r="N468" s="901"/>
      <c r="O468" s="207"/>
      <c r="P468" s="207"/>
      <c r="Q468" s="207"/>
      <c r="R468" s="207"/>
      <c r="S468" s="207"/>
      <c r="T468" s="207"/>
      <c r="U468" s="16"/>
      <c r="V468" s="805"/>
      <c r="W468" s="807"/>
      <c r="X468" s="208"/>
      <c r="Y468" s="44"/>
      <c r="Z468" s="44"/>
      <c r="AA468" s="44"/>
      <c r="AB468" s="44"/>
    </row>
    <row r="469" spans="1:28" s="45" customFormat="1">
      <c r="A469" s="185"/>
      <c r="B469" s="85"/>
      <c r="C469" s="86" t="s">
        <v>1400</v>
      </c>
      <c r="D469" s="87" t="s">
        <v>139</v>
      </c>
      <c r="E469" s="88">
        <f>500*2.5*0.8</f>
        <v>1000</v>
      </c>
      <c r="F469" s="89">
        <v>2610</v>
      </c>
      <c r="G469" s="795">
        <f>+F469*E469</f>
        <v>2610000</v>
      </c>
      <c r="H469" s="208"/>
      <c r="I469" s="899"/>
      <c r="J469" s="208"/>
      <c r="K469" s="208"/>
      <c r="L469" s="208"/>
      <c r="M469" s="900"/>
      <c r="N469" s="901"/>
      <c r="O469" s="207"/>
      <c r="P469" s="207"/>
      <c r="Q469" s="207"/>
      <c r="R469" s="207"/>
      <c r="S469" s="207"/>
      <c r="T469" s="207"/>
      <c r="U469" s="16"/>
      <c r="V469" s="805"/>
      <c r="W469" s="807"/>
      <c r="X469" s="208"/>
      <c r="Y469" s="44"/>
      <c r="Z469" s="44"/>
      <c r="AA469" s="44"/>
      <c r="AB469" s="44"/>
    </row>
    <row r="470" spans="1:28" s="45" customFormat="1">
      <c r="A470" s="185"/>
      <c r="B470" s="771"/>
      <c r="C470" s="102" t="s">
        <v>941</v>
      </c>
      <c r="D470" s="777" t="s">
        <v>139</v>
      </c>
      <c r="E470" s="587">
        <v>442</v>
      </c>
      <c r="F470" s="587">
        <v>10240</v>
      </c>
      <c r="G470" s="587">
        <f t="shared" ref="G470" si="68">+E470*F470</f>
        <v>4526080</v>
      </c>
      <c r="H470" s="208"/>
      <c r="I470" s="899"/>
      <c r="J470" s="208"/>
      <c r="K470" s="208"/>
      <c r="L470" s="208"/>
      <c r="M470" s="900"/>
      <c r="N470" s="901"/>
      <c r="O470" s="207"/>
      <c r="P470" s="207"/>
      <c r="Q470" s="207"/>
      <c r="R470" s="207"/>
      <c r="S470" s="207"/>
      <c r="T470" s="207"/>
      <c r="U470" s="16"/>
      <c r="V470" s="805"/>
      <c r="W470" s="807"/>
      <c r="X470" s="208"/>
      <c r="Y470" s="44"/>
      <c r="Z470" s="44"/>
      <c r="AA470" s="44"/>
      <c r="AB470" s="44"/>
    </row>
    <row r="471" spans="1:28" s="45" customFormat="1">
      <c r="A471" s="185"/>
      <c r="B471" s="101"/>
      <c r="C471" s="102" t="s">
        <v>1396</v>
      </c>
      <c r="D471" s="104" t="s">
        <v>500</v>
      </c>
      <c r="E471" s="103">
        <v>100</v>
      </c>
      <c r="F471" s="575">
        <v>9900</v>
      </c>
      <c r="G471" s="795">
        <f t="shared" ref="G471:G472" si="69">+F471*E471</f>
        <v>990000</v>
      </c>
      <c r="H471" s="208"/>
      <c r="I471" s="899"/>
      <c r="J471" s="208"/>
      <c r="K471" s="208"/>
      <c r="L471" s="208"/>
      <c r="M471" s="900"/>
      <c r="N471" s="901"/>
      <c r="O471" s="207"/>
      <c r="P471" s="207"/>
      <c r="Q471" s="207"/>
      <c r="R471" s="207"/>
      <c r="S471" s="207"/>
      <c r="T471" s="207"/>
      <c r="U471" s="16"/>
      <c r="V471" s="805"/>
      <c r="W471" s="807"/>
      <c r="X471" s="208"/>
      <c r="Y471" s="44"/>
      <c r="Z471" s="44"/>
      <c r="AA471" s="44"/>
      <c r="AB471" s="44"/>
    </row>
    <row r="472" spans="1:28" s="45" customFormat="1">
      <c r="A472" s="185"/>
      <c r="B472" s="101"/>
      <c r="C472" s="102" t="s">
        <v>1397</v>
      </c>
      <c r="D472" s="104" t="s">
        <v>500</v>
      </c>
      <c r="E472" s="103">
        <v>400</v>
      </c>
      <c r="F472" s="575">
        <v>9900</v>
      </c>
      <c r="G472" s="795">
        <f t="shared" si="69"/>
        <v>3960000</v>
      </c>
      <c r="H472" s="208"/>
      <c r="I472" s="899"/>
      <c r="J472" s="208"/>
      <c r="K472" s="208"/>
      <c r="L472" s="208"/>
      <c r="M472" s="900"/>
      <c r="N472" s="901"/>
      <c r="O472" s="207"/>
      <c r="P472" s="207"/>
      <c r="Q472" s="207"/>
      <c r="R472" s="207"/>
      <c r="S472" s="207"/>
      <c r="T472" s="207"/>
      <c r="U472" s="16"/>
      <c r="V472" s="805"/>
      <c r="W472" s="807"/>
      <c r="X472" s="208"/>
      <c r="Y472" s="44"/>
      <c r="Z472" s="44"/>
      <c r="AA472" s="44"/>
      <c r="AB472" s="44"/>
    </row>
    <row r="473" spans="1:28" s="45" customFormat="1" ht="15.75" thickBot="1">
      <c r="A473" s="185"/>
      <c r="B473" s="1025"/>
      <c r="C473" s="871"/>
      <c r="D473" s="873"/>
      <c r="E473" s="874"/>
      <c r="F473" s="947" t="s">
        <v>1403</v>
      </c>
      <c r="G473" s="1004">
        <f>SUM(G436:G472)</f>
        <v>24058373</v>
      </c>
      <c r="H473" s="208"/>
      <c r="I473" s="899"/>
      <c r="J473" s="208"/>
      <c r="K473" s="208"/>
      <c r="L473" s="208"/>
      <c r="M473" s="900"/>
      <c r="N473" s="901"/>
      <c r="O473" s="207"/>
      <c r="P473" s="207"/>
      <c r="Q473" s="207"/>
      <c r="R473" s="207"/>
      <c r="S473" s="207"/>
      <c r="T473" s="207"/>
      <c r="U473" s="16"/>
      <c r="V473" s="805"/>
      <c r="W473" s="807"/>
      <c r="X473" s="208"/>
      <c r="Y473" s="44"/>
      <c r="Z473" s="44"/>
      <c r="AA473" s="44"/>
      <c r="AB473" s="44"/>
    </row>
    <row r="474" spans="1:28" s="45" customFormat="1" ht="15.75" thickBot="1">
      <c r="A474" s="185"/>
      <c r="B474" s="827"/>
      <c r="C474" s="887"/>
      <c r="D474" s="827"/>
      <c r="E474" s="594"/>
      <c r="F474" s="575"/>
      <c r="G474" s="792"/>
      <c r="H474" s="208"/>
      <c r="I474" s="899"/>
      <c r="J474" s="208"/>
      <c r="K474" s="208"/>
      <c r="L474" s="208"/>
      <c r="M474" s="900"/>
      <c r="N474" s="901"/>
      <c r="O474" s="207"/>
      <c r="P474" s="207"/>
      <c r="Q474" s="207"/>
      <c r="R474" s="207"/>
      <c r="S474" s="207"/>
      <c r="T474" s="207"/>
      <c r="U474" s="16"/>
      <c r="V474" s="805"/>
      <c r="W474" s="807"/>
      <c r="X474" s="208"/>
      <c r="Y474" s="44"/>
      <c r="Z474" s="44"/>
      <c r="AA474" s="44"/>
      <c r="AB474" s="44"/>
    </row>
    <row r="475" spans="1:28" s="45" customFormat="1">
      <c r="A475" s="185"/>
      <c r="B475" s="74"/>
      <c r="C475" s="75" t="s">
        <v>1387</v>
      </c>
      <c r="D475" s="76"/>
      <c r="E475" s="76"/>
      <c r="F475" s="76"/>
      <c r="G475" s="126"/>
      <c r="H475" s="208"/>
      <c r="I475" s="899"/>
      <c r="J475" s="208"/>
      <c r="K475" s="208"/>
      <c r="L475" s="208"/>
      <c r="M475" s="900"/>
      <c r="N475" s="901"/>
      <c r="O475" s="207"/>
      <c r="P475" s="207"/>
      <c r="Q475" s="207"/>
      <c r="R475" s="207"/>
      <c r="S475" s="207"/>
      <c r="T475" s="207"/>
      <c r="U475" s="16"/>
      <c r="V475" s="805"/>
      <c r="W475" s="807"/>
      <c r="X475" s="208"/>
      <c r="Y475" s="44"/>
      <c r="Z475" s="44"/>
      <c r="AA475" s="44"/>
      <c r="AB475" s="44"/>
    </row>
    <row r="476" spans="1:28" s="45" customFormat="1" ht="25.5">
      <c r="A476" s="185"/>
      <c r="B476" s="101"/>
      <c r="C476" s="102" t="s">
        <v>1388</v>
      </c>
      <c r="D476" s="104" t="s">
        <v>22</v>
      </c>
      <c r="E476" s="103">
        <v>2</v>
      </c>
      <c r="F476" s="575">
        <v>3177088</v>
      </c>
      <c r="G476" s="792">
        <v>6354176</v>
      </c>
      <c r="H476" s="208"/>
      <c r="I476" s="899"/>
      <c r="J476" s="208"/>
      <c r="K476" s="208"/>
      <c r="L476" s="208"/>
      <c r="M476" s="900"/>
      <c r="N476" s="901"/>
      <c r="O476" s="207"/>
      <c r="P476" s="207"/>
      <c r="Q476" s="207"/>
      <c r="R476" s="207"/>
      <c r="S476" s="207"/>
      <c r="T476" s="207"/>
      <c r="U476" s="16"/>
      <c r="V476" s="805"/>
      <c r="W476" s="807"/>
      <c r="X476" s="208"/>
      <c r="Y476" s="44"/>
      <c r="Z476" s="44"/>
      <c r="AA476" s="44"/>
      <c r="AB476" s="44"/>
    </row>
    <row r="477" spans="1:28" s="45" customFormat="1" ht="15.75" thickBot="1">
      <c r="A477" s="185"/>
      <c r="B477" s="886"/>
      <c r="C477" s="114"/>
      <c r="D477" s="115"/>
      <c r="E477" s="116"/>
      <c r="F477" s="117" t="s">
        <v>1394</v>
      </c>
      <c r="G477" s="118">
        <f>SUM(G473:G476)</f>
        <v>30412549</v>
      </c>
      <c r="H477" s="208"/>
      <c r="I477" s="899"/>
      <c r="J477" s="208"/>
      <c r="K477" s="208"/>
      <c r="L477" s="208"/>
      <c r="M477" s="900"/>
      <c r="N477" s="901"/>
      <c r="O477" s="207"/>
      <c r="P477" s="207"/>
      <c r="Q477" s="207"/>
      <c r="R477" s="207"/>
      <c r="S477" s="207"/>
      <c r="T477" s="207"/>
      <c r="U477" s="16"/>
      <c r="V477" s="805"/>
      <c r="W477" s="807"/>
      <c r="X477" s="208"/>
      <c r="Y477" s="44"/>
      <c r="Z477" s="44"/>
      <c r="AA477" s="44"/>
      <c r="AB477" s="44"/>
    </row>
    <row r="478" spans="1:28" s="45" customFormat="1" ht="15.75" thickBot="1">
      <c r="A478" s="185"/>
      <c r="B478" s="827"/>
      <c r="C478" s="887"/>
      <c r="D478" s="827"/>
      <c r="E478" s="594"/>
      <c r="F478" s="575"/>
      <c r="G478" s="792"/>
      <c r="H478" s="208"/>
      <c r="I478" s="899"/>
      <c r="J478" s="208"/>
      <c r="K478" s="208"/>
      <c r="L478" s="208"/>
      <c r="M478" s="900"/>
      <c r="N478" s="901"/>
      <c r="O478" s="207"/>
      <c r="P478" s="207"/>
      <c r="Q478" s="207"/>
      <c r="R478" s="207"/>
      <c r="S478" s="207"/>
      <c r="T478" s="207"/>
      <c r="U478" s="16"/>
      <c r="V478" s="805"/>
      <c r="W478" s="807"/>
      <c r="X478" s="208"/>
      <c r="Y478" s="44"/>
      <c r="Z478" s="44"/>
      <c r="AA478" s="44"/>
      <c r="AB478" s="44"/>
    </row>
    <row r="479" spans="1:28" s="45" customFormat="1">
      <c r="A479" s="185"/>
      <c r="B479" s="74"/>
      <c r="C479" s="75" t="s">
        <v>1395</v>
      </c>
      <c r="D479" s="76"/>
      <c r="E479" s="76"/>
      <c r="F479" s="76"/>
      <c r="G479" s="77"/>
      <c r="H479" s="208"/>
      <c r="I479" s="899"/>
      <c r="J479" s="208"/>
      <c r="K479" s="208"/>
      <c r="L479" s="208"/>
      <c r="M479" s="900"/>
      <c r="N479" s="901"/>
      <c r="O479" s="207"/>
      <c r="P479" s="207"/>
      <c r="Q479" s="207"/>
      <c r="R479" s="207"/>
      <c r="S479" s="207"/>
      <c r="T479" s="207"/>
      <c r="U479" s="16"/>
      <c r="V479" s="805"/>
      <c r="W479" s="807"/>
      <c r="X479" s="208"/>
      <c r="Y479" s="44"/>
      <c r="Z479" s="44"/>
      <c r="AA479" s="44"/>
      <c r="AB479" s="44"/>
    </row>
    <row r="480" spans="1:28" s="45" customFormat="1">
      <c r="A480" s="185"/>
      <c r="B480" s="85"/>
      <c r="C480" s="86" t="s">
        <v>1400</v>
      </c>
      <c r="D480" s="87" t="s">
        <v>139</v>
      </c>
      <c r="E480" s="88">
        <v>1663</v>
      </c>
      <c r="F480" s="89">
        <v>2610</v>
      </c>
      <c r="G480" s="795">
        <f>+F480*E480</f>
        <v>4340430</v>
      </c>
      <c r="H480" s="208"/>
      <c r="I480" s="899"/>
      <c r="J480" s="208"/>
      <c r="K480" s="208"/>
      <c r="L480" s="208"/>
      <c r="M480" s="900"/>
      <c r="N480" s="901"/>
      <c r="O480" s="207"/>
      <c r="P480" s="207"/>
      <c r="Q480" s="207"/>
      <c r="R480" s="207"/>
      <c r="S480" s="207"/>
      <c r="T480" s="207"/>
      <c r="U480" s="16"/>
      <c r="V480" s="805"/>
      <c r="W480" s="807"/>
      <c r="X480" s="208"/>
      <c r="Y480" s="44"/>
      <c r="Z480" s="44"/>
      <c r="AA480" s="44"/>
      <c r="AB480" s="44"/>
    </row>
    <row r="481" spans="1:28" s="45" customFormat="1">
      <c r="A481" s="185"/>
      <c r="B481" s="771"/>
      <c r="C481" s="102" t="s">
        <v>941</v>
      </c>
      <c r="D481" s="777" t="s">
        <v>139</v>
      </c>
      <c r="E481" s="587">
        <f>+E480</f>
        <v>1663</v>
      </c>
      <c r="F481" s="587">
        <v>10240</v>
      </c>
      <c r="G481" s="587">
        <f t="shared" ref="G481" si="70">+E481*F481</f>
        <v>17029120</v>
      </c>
      <c r="H481" s="208"/>
      <c r="I481" s="899"/>
      <c r="J481" s="208"/>
      <c r="K481" s="208"/>
      <c r="L481" s="208"/>
      <c r="M481" s="900"/>
      <c r="N481" s="901"/>
      <c r="O481" s="207"/>
      <c r="P481" s="207"/>
      <c r="Q481" s="207"/>
      <c r="R481" s="207"/>
      <c r="S481" s="207"/>
      <c r="T481" s="207"/>
      <c r="U481" s="16"/>
      <c r="V481" s="805"/>
      <c r="W481" s="807"/>
      <c r="X481" s="208">
        <f>+E482+E483+E484</f>
        <v>2376</v>
      </c>
      <c r="Y481" s="44"/>
      <c r="Z481" s="44"/>
      <c r="AA481" s="44"/>
      <c r="AB481" s="44"/>
    </row>
    <row r="482" spans="1:28" s="45" customFormat="1">
      <c r="A482" s="185"/>
      <c r="B482" s="101"/>
      <c r="C482" s="102" t="s">
        <v>1396</v>
      </c>
      <c r="D482" s="104" t="s">
        <v>500</v>
      </c>
      <c r="E482" s="103">
        <v>100</v>
      </c>
      <c r="F482" s="575">
        <v>98470</v>
      </c>
      <c r="G482" s="792">
        <f>+F482*E482</f>
        <v>9847000</v>
      </c>
      <c r="H482" s="208"/>
      <c r="I482" s="899"/>
      <c r="J482" s="208"/>
      <c r="K482" s="208"/>
      <c r="L482" s="208"/>
      <c r="M482" s="900"/>
      <c r="N482" s="901"/>
      <c r="O482" s="207"/>
      <c r="P482" s="207"/>
      <c r="Q482" s="207"/>
      <c r="R482" s="207"/>
      <c r="S482" s="207"/>
      <c r="T482" s="207"/>
      <c r="U482" s="16"/>
      <c r="V482" s="805"/>
      <c r="W482" s="807"/>
      <c r="X482" s="208">
        <f>+X481*0.7*1</f>
        <v>1663.1999999999998</v>
      </c>
      <c r="Y482" s="44"/>
      <c r="Z482" s="44"/>
      <c r="AA482" s="44"/>
      <c r="AB482" s="44"/>
    </row>
    <row r="483" spans="1:28" s="45" customFormat="1">
      <c r="A483" s="185"/>
      <c r="B483" s="101"/>
      <c r="C483" s="102" t="s">
        <v>1397</v>
      </c>
      <c r="D483" s="104" t="s">
        <v>500</v>
      </c>
      <c r="E483" s="103">
        <f>400+905</f>
        <v>1305</v>
      </c>
      <c r="F483" s="575">
        <v>69240</v>
      </c>
      <c r="G483" s="792">
        <f>+F483*E483</f>
        <v>90358200</v>
      </c>
      <c r="H483" s="208"/>
      <c r="I483" s="899"/>
      <c r="J483" s="208"/>
      <c r="K483" s="208"/>
      <c r="L483" s="208"/>
      <c r="M483" s="900"/>
      <c r="N483" s="901"/>
      <c r="O483" s="207"/>
      <c r="P483" s="207"/>
      <c r="Q483" s="207"/>
      <c r="R483" s="207"/>
      <c r="S483" s="207"/>
      <c r="T483" s="207"/>
      <c r="U483" s="16"/>
      <c r="V483" s="805"/>
      <c r="W483" s="807"/>
      <c r="X483" s="208"/>
      <c r="Y483" s="44"/>
      <c r="Z483" s="44"/>
      <c r="AA483" s="44"/>
      <c r="AB483" s="44"/>
    </row>
    <row r="484" spans="1:28" s="45" customFormat="1">
      <c r="A484" s="185"/>
      <c r="B484" s="998"/>
      <c r="C484" s="102" t="s">
        <v>1402</v>
      </c>
      <c r="D484" s="104" t="s">
        <v>500</v>
      </c>
      <c r="E484" s="103">
        <v>971</v>
      </c>
      <c r="F484" s="575">
        <v>59950</v>
      </c>
      <c r="G484" s="792">
        <f>+F484*E484</f>
        <v>58211450</v>
      </c>
      <c r="H484" s="208"/>
      <c r="I484" s="899"/>
      <c r="J484" s="208"/>
      <c r="K484" s="208"/>
      <c r="L484" s="208"/>
      <c r="M484" s="900"/>
      <c r="N484" s="901"/>
      <c r="O484" s="207"/>
      <c r="P484" s="207"/>
      <c r="Q484" s="207"/>
      <c r="R484" s="207"/>
      <c r="S484" s="207"/>
      <c r="T484" s="207"/>
      <c r="U484" s="16"/>
      <c r="V484" s="805"/>
      <c r="W484" s="807"/>
      <c r="X484" s="208"/>
      <c r="Y484" s="44"/>
      <c r="Z484" s="44"/>
      <c r="AA484" s="44"/>
      <c r="AB484" s="44"/>
    </row>
    <row r="485" spans="1:28" s="45" customFormat="1" ht="15.75" thickBot="1">
      <c r="A485" s="185"/>
      <c r="B485" s="876"/>
      <c r="C485" s="871"/>
      <c r="D485" s="873"/>
      <c r="E485" s="874"/>
      <c r="F485" s="947" t="s">
        <v>1398</v>
      </c>
      <c r="G485" s="1004">
        <f>SUM(G482:G484)</f>
        <v>158416650</v>
      </c>
      <c r="H485" s="208"/>
      <c r="I485" s="899"/>
      <c r="J485" s="208"/>
      <c r="K485" s="208"/>
      <c r="L485" s="208"/>
      <c r="M485" s="900"/>
      <c r="N485" s="901"/>
      <c r="O485" s="207"/>
      <c r="P485" s="207"/>
      <c r="Q485" s="207"/>
      <c r="R485" s="207"/>
      <c r="S485" s="207"/>
      <c r="T485" s="207"/>
      <c r="U485" s="16"/>
      <c r="V485" s="805"/>
      <c r="W485" s="807"/>
      <c r="X485" s="208"/>
      <c r="Y485" s="44"/>
      <c r="Z485" s="44"/>
      <c r="AA485" s="44"/>
      <c r="AB485" s="44"/>
    </row>
    <row r="486" spans="1:28" s="45" customFormat="1">
      <c r="A486" s="185"/>
      <c r="B486" s="827"/>
      <c r="C486" s="887"/>
      <c r="D486" s="827"/>
      <c r="E486" s="594"/>
      <c r="F486" s="575"/>
      <c r="G486" s="792"/>
      <c r="H486" s="208"/>
      <c r="I486" s="899"/>
      <c r="J486" s="208"/>
      <c r="K486" s="208"/>
      <c r="L486" s="208"/>
      <c r="M486" s="900"/>
      <c r="N486" s="901"/>
      <c r="O486" s="207"/>
      <c r="P486" s="207"/>
      <c r="Q486" s="207"/>
      <c r="R486" s="207"/>
      <c r="S486" s="207"/>
      <c r="T486" s="207"/>
      <c r="U486" s="16"/>
      <c r="V486" s="805"/>
      <c r="W486" s="807"/>
      <c r="X486" s="208"/>
      <c r="Y486" s="44"/>
      <c r="Z486" s="44"/>
      <c r="AA486" s="44"/>
      <c r="AB486" s="44"/>
    </row>
    <row r="487" spans="1:28" s="45" customFormat="1" ht="15.75" customHeight="1">
      <c r="A487" s="212"/>
      <c r="B487" s="38"/>
      <c r="C487" s="145"/>
      <c r="D487" s="146"/>
      <c r="E487" s="146"/>
      <c r="F487" s="147" t="s">
        <v>94</v>
      </c>
      <c r="G487" s="946">
        <f>+G485+G473+G458+G418+G401+G391+G313+G269+G242+G203+G167+G127+G85+G42+G30</f>
        <v>1793075334.1936002</v>
      </c>
      <c r="H487" s="214"/>
      <c r="I487" s="214" t="e">
        <v>#DIV/0!</v>
      </c>
      <c r="J487" s="214"/>
      <c r="K487" s="214"/>
      <c r="L487" s="214"/>
      <c r="M487" s="214"/>
      <c r="N487" s="214"/>
      <c r="O487" s="214"/>
      <c r="P487" s="214"/>
      <c r="Q487" s="214"/>
      <c r="R487" s="214"/>
      <c r="S487" s="214"/>
      <c r="T487" s="214"/>
      <c r="U487" s="16"/>
      <c r="V487" s="805"/>
      <c r="W487" s="44"/>
      <c r="X487" s="44"/>
      <c r="Y487" s="44"/>
      <c r="Z487" s="44"/>
      <c r="AA487" s="44"/>
      <c r="AB487" s="44"/>
    </row>
    <row r="488" spans="1:28" s="45" customFormat="1">
      <c r="A488" s="212"/>
      <c r="B488" s="38"/>
      <c r="C488" s="157"/>
      <c r="G488" s="796"/>
      <c r="H488" s="38"/>
      <c r="I488" s="38"/>
      <c r="J488" s="38"/>
      <c r="K488" s="38"/>
      <c r="L488" s="38"/>
      <c r="M488" s="38"/>
      <c r="N488" s="38"/>
      <c r="O488" s="38"/>
      <c r="P488" s="38"/>
      <c r="Q488" s="38"/>
      <c r="R488" s="38"/>
      <c r="S488" s="38"/>
      <c r="T488" s="38"/>
      <c r="U488" s="16"/>
      <c r="V488" s="805"/>
      <c r="W488" s="44"/>
      <c r="X488" s="44"/>
      <c r="Y488" s="44"/>
      <c r="Z488" s="44"/>
      <c r="AA488" s="44"/>
      <c r="AB488" s="44"/>
    </row>
    <row r="489" spans="1:28" s="45" customFormat="1">
      <c r="A489" s="212"/>
      <c r="B489" s="38"/>
      <c r="C489" s="162" t="s">
        <v>96</v>
      </c>
      <c r="D489" s="163"/>
      <c r="E489" s="164"/>
      <c r="F489" s="165"/>
      <c r="G489" s="798"/>
      <c r="H489" s="95"/>
      <c r="I489" s="95"/>
      <c r="J489" s="95"/>
      <c r="K489" s="95"/>
      <c r="L489" s="95"/>
      <c r="M489" s="95"/>
      <c r="N489" s="95"/>
      <c r="O489" s="95"/>
      <c r="P489" s="95"/>
      <c r="Q489" s="95"/>
      <c r="R489" s="95"/>
      <c r="S489" s="95"/>
      <c r="T489" s="95"/>
      <c r="U489" s="16"/>
      <c r="V489" s="805"/>
      <c r="W489" s="44"/>
      <c r="X489" s="44"/>
      <c r="Y489" s="44"/>
      <c r="Z489" s="44"/>
      <c r="AA489" s="44"/>
      <c r="AB489" s="44"/>
    </row>
    <row r="490" spans="1:28" s="45" customFormat="1">
      <c r="A490" s="212"/>
      <c r="B490" s="38"/>
      <c r="C490" s="170"/>
      <c r="D490" s="171"/>
      <c r="E490" s="171"/>
      <c r="F490" s="172" t="s">
        <v>98</v>
      </c>
      <c r="G490" s="799">
        <f>+G487</f>
        <v>1793075334.1936002</v>
      </c>
      <c r="H490" s="95"/>
      <c r="I490" s="95"/>
      <c r="J490" s="95"/>
      <c r="K490" s="95"/>
      <c r="L490" s="95"/>
      <c r="M490" s="95"/>
      <c r="N490" s="95"/>
      <c r="O490" s="95"/>
      <c r="P490" s="95"/>
      <c r="Q490" s="95"/>
      <c r="R490" s="95"/>
      <c r="S490" s="95"/>
      <c r="T490" s="95"/>
      <c r="U490" s="16"/>
      <c r="V490" s="805"/>
      <c r="W490" s="44"/>
      <c r="X490" s="44"/>
      <c r="Y490" s="44"/>
      <c r="Z490" s="44"/>
      <c r="AA490" s="44"/>
      <c r="AB490" s="44"/>
    </row>
    <row r="491" spans="1:28">
      <c r="C491" s="177"/>
      <c r="D491" s="178"/>
      <c r="E491" s="179" t="s">
        <v>100</v>
      </c>
      <c r="F491" s="180">
        <v>0.17499999999999999</v>
      </c>
      <c r="G491" s="800">
        <f>+G490*F491</f>
        <v>313788183.48387998</v>
      </c>
      <c r="W491" s="419"/>
    </row>
    <row r="492" spans="1:28">
      <c r="C492" s="186"/>
      <c r="D492" s="187"/>
      <c r="E492" s="188" t="s">
        <v>102</v>
      </c>
      <c r="F492" s="189">
        <v>0.09</v>
      </c>
      <c r="G492" s="801">
        <f>+G490*F492</f>
        <v>161376780.07742402</v>
      </c>
      <c r="W492" s="419"/>
    </row>
    <row r="493" spans="1:28">
      <c r="C493" s="186"/>
      <c r="D493" s="187"/>
      <c r="E493" s="188" t="s">
        <v>104</v>
      </c>
      <c r="F493" s="189">
        <v>0.05</v>
      </c>
      <c r="G493" s="801">
        <f>+G490*F493</f>
        <v>89653766.709680021</v>
      </c>
      <c r="W493" s="419"/>
    </row>
    <row r="494" spans="1:28">
      <c r="C494" s="191"/>
      <c r="D494" s="192"/>
      <c r="E494" s="193" t="s">
        <v>105</v>
      </c>
      <c r="F494" s="194">
        <f>+F493+F492+F491</f>
        <v>0.315</v>
      </c>
      <c r="G494" s="802">
        <f>+G491+G492+G493</f>
        <v>564818730.27098393</v>
      </c>
    </row>
    <row r="495" spans="1:28">
      <c r="C495" s="191"/>
      <c r="D495" s="192"/>
      <c r="E495" s="193" t="s">
        <v>107</v>
      </c>
      <c r="F495" s="194">
        <v>0.16</v>
      </c>
      <c r="G495" s="803">
        <f>+G493*F495</f>
        <v>14344602.673548803</v>
      </c>
    </row>
    <row r="496" spans="1:28">
      <c r="C496" s="200"/>
      <c r="D496" s="201"/>
      <c r="E496" s="201"/>
      <c r="F496" s="202" t="s">
        <v>109</v>
      </c>
      <c r="G496" s="804">
        <f>+G490+G494+G495</f>
        <v>2372238667.138133</v>
      </c>
      <c r="X496" s="885">
        <f>+G496*1.08</f>
        <v>2562017760.5091839</v>
      </c>
    </row>
    <row r="497" spans="3:24">
      <c r="C497" s="38"/>
      <c r="G497" s="810"/>
      <c r="X497">
        <v>2406339517</v>
      </c>
    </row>
    <row r="498" spans="3:24">
      <c r="D498" s="45"/>
      <c r="E498" s="45"/>
      <c r="F498" s="45"/>
      <c r="G498" s="44"/>
      <c r="X498" s="945">
        <f>+X497-X496</f>
        <v>-155678243.50918388</v>
      </c>
    </row>
  </sheetData>
  <mergeCells count="12">
    <mergeCell ref="C42:F42"/>
    <mergeCell ref="C30:F30"/>
    <mergeCell ref="P6:T6"/>
    <mergeCell ref="E1:F1"/>
    <mergeCell ref="E2:F2"/>
    <mergeCell ref="B3:D3"/>
    <mergeCell ref="E3:G3"/>
    <mergeCell ref="B4:D4"/>
    <mergeCell ref="E4:G4"/>
    <mergeCell ref="B5:B6"/>
    <mergeCell ref="C5:E6"/>
    <mergeCell ref="F6:G6"/>
  </mergeCells>
  <conditionalFormatting sqref="H487:T487">
    <cfRule type="cellIs" dxfId="42" priority="77" stopIfTrue="1" operator="equal">
      <formula>1</formula>
    </cfRule>
  </conditionalFormatting>
  <conditionalFormatting sqref="G496 J314:N486 X314:X486 H314:H486">
    <cfRule type="expression" dxfId="41" priority="78" stopIfTrue="1">
      <formula>"&gt;G29"</formula>
    </cfRule>
    <cfRule type="expression" dxfId="40" priority="79" stopIfTrue="1">
      <formula>"&lt;G29"""</formula>
    </cfRule>
  </conditionalFormatting>
  <conditionalFormatting sqref="N304">
    <cfRule type="cellIs" dxfId="39" priority="82" stopIfTrue="1" operator="notEqual">
      <formula>0</formula>
    </cfRule>
  </conditionalFormatting>
  <conditionalFormatting sqref="B5">
    <cfRule type="cellIs" dxfId="38" priority="83" stopIfTrue="1" operator="equal">
      <formula>"ESCRIBA AQUÍ EL NOMBRE DE LA OBRA"</formula>
    </cfRule>
  </conditionalFormatting>
  <conditionalFormatting sqref="O2:U2">
    <cfRule type="cellIs" dxfId="37" priority="84" stopIfTrue="1" operator="equal">
      <formula>"ESCRIBA AQUÍ EL NOMBRE DE LA OBRA"</formula>
    </cfRule>
  </conditionalFormatting>
  <conditionalFormatting sqref="G1:T1">
    <cfRule type="cellIs" dxfId="36" priority="85" stopIfTrue="1" operator="equal">
      <formula>"CHEQ. INSUMOS"</formula>
    </cfRule>
  </conditionalFormatting>
  <conditionalFormatting sqref="G2:T2">
    <cfRule type="cellIs" dxfId="35" priority="86" stopIfTrue="1" operator="equal">
      <formula>"CHEQ. INSUMOS"</formula>
    </cfRule>
  </conditionalFormatting>
  <conditionalFormatting sqref="O11:T11">
    <cfRule type="cellIs" dxfId="34" priority="74" stopIfTrue="1" operator="notEqual">
      <formula>0</formula>
    </cfRule>
  </conditionalFormatting>
  <conditionalFormatting sqref="U11">
    <cfRule type="cellIs" dxfId="33" priority="75" stopIfTrue="1" operator="notEqual">
      <formula>0</formula>
    </cfRule>
    <cfRule type="cellIs" dxfId="32" priority="76" stopIfTrue="1" operator="equal">
      <formula>0</formula>
    </cfRule>
  </conditionalFormatting>
  <conditionalFormatting sqref="B11:C11 B168:C168 B206:C206 C271">
    <cfRule type="cellIs" dxfId="31" priority="73" stopIfTrue="1" operator="equal">
      <formula>"ESCRIBA AQUÍ EL NOMBRE DEL CAPITULO"</formula>
    </cfRule>
  </conditionalFormatting>
  <conditionalFormatting sqref="O18:T18">
    <cfRule type="cellIs" dxfId="30" priority="70" stopIfTrue="1" operator="notEqual">
      <formula>0</formula>
    </cfRule>
  </conditionalFormatting>
  <conditionalFormatting sqref="U18">
    <cfRule type="cellIs" dxfId="29" priority="71" stopIfTrue="1" operator="notEqual">
      <formula>0</formula>
    </cfRule>
    <cfRule type="cellIs" dxfId="28" priority="72" stopIfTrue="1" operator="equal">
      <formula>0</formula>
    </cfRule>
  </conditionalFormatting>
  <conditionalFormatting sqref="B18:C18">
    <cfRule type="cellIs" dxfId="27" priority="69" stopIfTrue="1" operator="equal">
      <formula>"ESCRIBA AQUÍ EL NOMBRE DEL CAPITULO"</formula>
    </cfRule>
  </conditionalFormatting>
  <conditionalFormatting sqref="O45:T45">
    <cfRule type="cellIs" dxfId="26" priority="62" stopIfTrue="1" operator="notEqual">
      <formula>0</formula>
    </cfRule>
  </conditionalFormatting>
  <conditionalFormatting sqref="U45">
    <cfRule type="cellIs" dxfId="25" priority="63" stopIfTrue="1" operator="notEqual">
      <formula>0</formula>
    </cfRule>
    <cfRule type="cellIs" dxfId="24" priority="64" stopIfTrue="1" operator="equal">
      <formula>0</formula>
    </cfRule>
  </conditionalFormatting>
  <conditionalFormatting sqref="B45:C45">
    <cfRule type="cellIs" dxfId="23" priority="61" stopIfTrue="1" operator="equal">
      <formula>"ESCRIBA AQUÍ EL NOMBRE DEL CAPITULO"</formula>
    </cfRule>
  </conditionalFormatting>
  <conditionalFormatting sqref="O25:T25">
    <cfRule type="cellIs" dxfId="22" priority="25" stopIfTrue="1" operator="notEqual">
      <formula>0</formula>
    </cfRule>
  </conditionalFormatting>
  <conditionalFormatting sqref="U25">
    <cfRule type="cellIs" dxfId="21" priority="26" stopIfTrue="1" operator="notEqual">
      <formula>0</formula>
    </cfRule>
    <cfRule type="cellIs" dxfId="20" priority="27" stopIfTrue="1" operator="equal">
      <formula>0</formula>
    </cfRule>
  </conditionalFormatting>
  <conditionalFormatting sqref="B25:C25">
    <cfRule type="cellIs" dxfId="19" priority="24" stopIfTrue="1" operator="equal">
      <formula>"ESCRIBA AQUÍ EL NOMBRE DEL CAPITULO"</formula>
    </cfRule>
  </conditionalFormatting>
  <conditionalFormatting sqref="B87:C87">
    <cfRule type="cellIs" dxfId="18" priority="23" stopIfTrue="1" operator="equal">
      <formula>"ESCRIBA AQUÍ EL NOMBRE DEL CAPITULO"</formula>
    </cfRule>
  </conditionalFormatting>
  <conditionalFormatting sqref="B129:C129">
    <cfRule type="cellIs" dxfId="17" priority="22" stopIfTrue="1" operator="equal">
      <formula>"ESCRIBA AQUÍ EL NOMBRE DEL CAPITULO"</formula>
    </cfRule>
  </conditionalFormatting>
  <conditionalFormatting sqref="B170:C170">
    <cfRule type="cellIs" dxfId="16" priority="21" stopIfTrue="1" operator="equal">
      <formula>"ESCRIBA AQUÍ EL NOMBRE DEL CAPITULO"</formula>
    </cfRule>
  </conditionalFormatting>
  <conditionalFormatting sqref="B207:C207">
    <cfRule type="cellIs" dxfId="15" priority="20" stopIfTrue="1" operator="equal">
      <formula>"ESCRIBA AQUÍ EL NOMBRE DEL CAPITULO"</formula>
    </cfRule>
  </conditionalFormatting>
  <conditionalFormatting sqref="B32:C32">
    <cfRule type="cellIs" dxfId="14" priority="19" stopIfTrue="1" operator="equal">
      <formula>"ESCRIBA AQUÍ EL NOMBRE DEL CAPITULO"</formula>
    </cfRule>
  </conditionalFormatting>
  <conditionalFormatting sqref="B244:C244">
    <cfRule type="cellIs" dxfId="13" priority="17" stopIfTrue="1" operator="equal">
      <formula>"ESCRIBA AQUÍ EL NOMBRE DEL CAPITULO"</formula>
    </cfRule>
  </conditionalFormatting>
  <conditionalFormatting sqref="C315:C316">
    <cfRule type="cellIs" dxfId="12" priority="15" stopIfTrue="1" operator="equal">
      <formula>"ESCRIBA AQUÍ EL NOMBRE DEL CAPITULO"</formula>
    </cfRule>
  </conditionalFormatting>
  <conditionalFormatting sqref="C393">
    <cfRule type="cellIs" dxfId="11" priority="13" stopIfTrue="1" operator="equal">
      <formula>"ESCRIBA AQUÍ EL NOMBRE DEL CAPITULO"</formula>
    </cfRule>
  </conditionalFormatting>
  <conditionalFormatting sqref="C404">
    <cfRule type="cellIs" dxfId="10" priority="11" stopIfTrue="1" operator="equal">
      <formula>"ESCRIBA AQUÍ EL NOMBRE DEL CAPITULO"</formula>
    </cfRule>
  </conditionalFormatting>
  <conditionalFormatting sqref="C420:C421">
    <cfRule type="cellIs" dxfId="9" priority="10" stopIfTrue="1" operator="equal">
      <formula>"ESCRIBA AQUÍ EL NOMBRE DEL CAPITULO"</formula>
    </cfRule>
  </conditionalFormatting>
  <conditionalFormatting sqref="C446">
    <cfRule type="cellIs" dxfId="8" priority="9" stopIfTrue="1" operator="equal">
      <formula>"ESCRIBA AQUÍ EL NOMBRE DEL CAPITULO"</formula>
    </cfRule>
  </conditionalFormatting>
  <conditionalFormatting sqref="B450:C450">
    <cfRule type="cellIs" dxfId="7" priority="8" stopIfTrue="1" operator="equal">
      <formula>"ESCRIBA AQUÍ EL NOMBRE DEL CAPITULO"</formula>
    </cfRule>
  </conditionalFormatting>
  <conditionalFormatting sqref="B453:C453">
    <cfRule type="cellIs" dxfId="6" priority="7" stopIfTrue="1" operator="equal">
      <formula>"ESCRIBA AQUÍ EL NOMBRE DEL CAPITULO"</formula>
    </cfRule>
  </conditionalFormatting>
  <conditionalFormatting sqref="B456:C456">
    <cfRule type="cellIs" dxfId="5" priority="6" stopIfTrue="1" operator="equal">
      <formula>"ESCRIBA AQUÍ EL NOMBRE DEL CAPITULO"</formula>
    </cfRule>
  </conditionalFormatting>
  <conditionalFormatting sqref="B461:C461">
    <cfRule type="cellIs" dxfId="4" priority="5" stopIfTrue="1" operator="equal">
      <formula>"ESCRIBA AQUÍ EL NOMBRE DEL CAPITULO"</formula>
    </cfRule>
  </conditionalFormatting>
  <conditionalFormatting sqref="B463:C463">
    <cfRule type="cellIs" dxfId="3" priority="4" stopIfTrue="1" operator="equal">
      <formula>"ESCRIBA AQUÍ EL NOMBRE DEL CAPITULO"</formula>
    </cfRule>
  </conditionalFormatting>
  <conditionalFormatting sqref="B468:C468">
    <cfRule type="cellIs" dxfId="2" priority="3" stopIfTrue="1" operator="equal">
      <formula>"ESCRIBA AQUÍ EL NOMBRE DEL CAPITULO"</formula>
    </cfRule>
  </conditionalFormatting>
  <conditionalFormatting sqref="B475:C475">
    <cfRule type="cellIs" dxfId="1" priority="2" stopIfTrue="1" operator="equal">
      <formula>"ESCRIBA AQUÍ EL NOMBRE DEL CAPITULO"</formula>
    </cfRule>
  </conditionalFormatting>
  <conditionalFormatting sqref="B479:C479">
    <cfRule type="cellIs" dxfId="0" priority="1" stopIfTrue="1" operator="equal">
      <formula>"ESCRIBA AQUÍ EL NOMBRE DEL CAPITULO"</formula>
    </cfRule>
  </conditionalFormatting>
  <pageMargins left="0.7" right="0.7" top="0.75" bottom="0.75" header="0.3" footer="0.3"/>
  <pageSetup scale="9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2"/>
  <sheetViews>
    <sheetView topLeftCell="A109" zoomScale="115" zoomScaleNormal="115" workbookViewId="0">
      <selection activeCell="B101" sqref="B101:D110"/>
    </sheetView>
  </sheetViews>
  <sheetFormatPr baseColWidth="10" defaultRowHeight="15"/>
  <cols>
    <col min="1" max="1" width="5.28515625" customWidth="1"/>
    <col min="2" max="2" width="59.42578125" customWidth="1"/>
    <col min="3" max="3" width="8.85546875" customWidth="1"/>
    <col min="4" max="4" width="9.7109375" customWidth="1"/>
    <col min="5" max="5" width="12.85546875" customWidth="1"/>
    <col min="6" max="6" width="16" customWidth="1"/>
    <col min="7" max="7" width="11.7109375" customWidth="1"/>
    <col min="8" max="8" width="17" customWidth="1"/>
  </cols>
  <sheetData>
    <row r="1" spans="1:9" ht="15.75">
      <c r="A1" s="1880" t="s">
        <v>485</v>
      </c>
      <c r="B1" s="1880"/>
      <c r="C1" s="1880"/>
      <c r="D1" s="1880"/>
      <c r="E1" s="1880"/>
      <c r="F1" s="1880"/>
    </row>
    <row r="2" spans="1:9" ht="15.75">
      <c r="A2" s="1880" t="s">
        <v>486</v>
      </c>
      <c r="B2" s="1880"/>
      <c r="C2" s="1880"/>
      <c r="D2" s="1880"/>
      <c r="E2" s="1880"/>
      <c r="F2" s="1880"/>
    </row>
    <row r="3" spans="1:9" ht="15.75">
      <c r="A3" s="1880" t="str">
        <f>[1]Resumen!$A$11</f>
        <v>MUNICIPIO DE SANTANDER DE QUILICHAO - CAUCA</v>
      </c>
      <c r="B3" s="1880"/>
      <c r="C3" s="1880"/>
      <c r="D3" s="1880"/>
      <c r="E3" s="1880"/>
      <c r="F3" s="1880"/>
    </row>
    <row r="4" spans="1:9">
      <c r="A4" s="1929" t="s">
        <v>498</v>
      </c>
      <c r="B4" s="1929"/>
      <c r="C4" s="1929"/>
      <c r="D4" s="1929"/>
      <c r="E4" s="1929"/>
      <c r="F4" s="1929"/>
    </row>
    <row r="5" spans="1:9" ht="15.75" thickBot="1"/>
    <row r="6" spans="1:9" ht="15.75" thickTop="1">
      <c r="A6" s="598" t="s">
        <v>20</v>
      </c>
      <c r="B6" s="599" t="s">
        <v>487</v>
      </c>
      <c r="C6" s="599" t="s">
        <v>488</v>
      </c>
      <c r="D6" s="599" t="s">
        <v>489</v>
      </c>
      <c r="E6" s="599" t="s">
        <v>490</v>
      </c>
      <c r="F6" s="600" t="s">
        <v>491</v>
      </c>
    </row>
    <row r="7" spans="1:9">
      <c r="A7" s="617"/>
      <c r="B7" s="760" t="s">
        <v>499</v>
      </c>
      <c r="C7" s="629"/>
      <c r="D7" s="629"/>
      <c r="E7" s="629"/>
      <c r="F7" s="637"/>
    </row>
    <row r="8" spans="1:9">
      <c r="A8" s="601">
        <v>1</v>
      </c>
      <c r="B8" s="644" t="s">
        <v>502</v>
      </c>
      <c r="C8" s="603" t="s">
        <v>22</v>
      </c>
      <c r="D8" s="603">
        <v>9</v>
      </c>
      <c r="E8" s="604"/>
      <c r="F8" s="638">
        <f t="shared" ref="F8" si="0">D8*E8</f>
        <v>0</v>
      </c>
    </row>
    <row r="9" spans="1:9">
      <c r="A9" s="601">
        <v>2</v>
      </c>
      <c r="B9" s="645" t="s">
        <v>510</v>
      </c>
      <c r="C9" s="603" t="s">
        <v>22</v>
      </c>
      <c r="D9" s="596">
        <v>6</v>
      </c>
      <c r="E9" s="606"/>
      <c r="F9" s="638">
        <f>D11*E9</f>
        <v>0</v>
      </c>
    </row>
    <row r="10" spans="1:9">
      <c r="A10" s="601">
        <v>3</v>
      </c>
      <c r="B10" s="644" t="s">
        <v>537</v>
      </c>
      <c r="C10" s="630" t="s">
        <v>22</v>
      </c>
      <c r="D10" s="596">
        <v>6</v>
      </c>
      <c r="E10" s="606"/>
      <c r="F10" s="639">
        <f>D18*E10</f>
        <v>0</v>
      </c>
    </row>
    <row r="11" spans="1:9">
      <c r="A11" s="601">
        <v>4</v>
      </c>
      <c r="B11" s="644" t="s">
        <v>501</v>
      </c>
      <c r="C11" s="603" t="s">
        <v>500</v>
      </c>
      <c r="D11" s="596">
        <v>12</v>
      </c>
      <c r="E11" s="606"/>
      <c r="F11" s="638">
        <f>D11*E11</f>
        <v>0</v>
      </c>
      <c r="G11" s="740"/>
      <c r="H11" s="741"/>
      <c r="I11" s="742"/>
    </row>
    <row r="12" spans="1:9">
      <c r="A12" s="601">
        <v>5</v>
      </c>
      <c r="B12" s="595" t="s">
        <v>506</v>
      </c>
      <c r="C12" s="603" t="s">
        <v>500</v>
      </c>
      <c r="D12" s="596">
        <v>1</v>
      </c>
      <c r="E12" s="606"/>
      <c r="F12" s="638">
        <f>D22*E12</f>
        <v>0</v>
      </c>
      <c r="G12" s="743"/>
      <c r="H12" s="741"/>
      <c r="I12" s="742"/>
    </row>
    <row r="13" spans="1:9">
      <c r="A13" s="601">
        <v>6</v>
      </c>
      <c r="B13" s="595" t="s">
        <v>541</v>
      </c>
      <c r="C13" s="630" t="s">
        <v>500</v>
      </c>
      <c r="D13" s="641">
        <v>8</v>
      </c>
      <c r="E13" s="595"/>
      <c r="F13" s="636"/>
      <c r="G13" s="740"/>
      <c r="H13" s="741"/>
      <c r="I13" s="742"/>
    </row>
    <row r="14" spans="1:9">
      <c r="A14" s="601">
        <v>7</v>
      </c>
      <c r="B14" s="632" t="s">
        <v>539</v>
      </c>
      <c r="C14" s="630" t="s">
        <v>540</v>
      </c>
      <c r="D14" s="596">
        <v>1</v>
      </c>
      <c r="E14" s="595"/>
      <c r="F14" s="638"/>
      <c r="G14" s="743"/>
      <c r="H14" s="741"/>
      <c r="I14" s="742"/>
    </row>
    <row r="15" spans="1:9" ht="30">
      <c r="A15" s="601">
        <v>8</v>
      </c>
      <c r="B15" s="646" t="s">
        <v>519</v>
      </c>
      <c r="C15" s="595"/>
      <c r="D15" s="595"/>
      <c r="E15" s="595"/>
      <c r="F15" s="638"/>
      <c r="G15" s="743"/>
      <c r="H15" s="741"/>
      <c r="I15" s="742"/>
    </row>
    <row r="16" spans="1:9">
      <c r="A16" s="601">
        <v>9</v>
      </c>
      <c r="B16" s="644" t="s">
        <v>538</v>
      </c>
      <c r="C16" s="603" t="s">
        <v>22</v>
      </c>
      <c r="D16" s="596">
        <v>3</v>
      </c>
      <c r="E16" s="606"/>
      <c r="F16" s="638">
        <f>D17*E16</f>
        <v>0</v>
      </c>
      <c r="G16" s="743"/>
      <c r="H16" s="741"/>
      <c r="I16" s="742"/>
    </row>
    <row r="17" spans="1:9">
      <c r="A17" s="601">
        <v>10</v>
      </c>
      <c r="B17" s="644" t="s">
        <v>520</v>
      </c>
      <c r="C17" s="603" t="s">
        <v>22</v>
      </c>
      <c r="D17" s="596">
        <v>2</v>
      </c>
      <c r="E17" s="606"/>
      <c r="F17" s="638">
        <f>D19*E17</f>
        <v>0</v>
      </c>
      <c r="G17" s="743"/>
      <c r="H17" s="741"/>
      <c r="I17" s="742"/>
    </row>
    <row r="18" spans="1:9">
      <c r="A18" s="601">
        <v>11</v>
      </c>
      <c r="B18" s="644" t="s">
        <v>511</v>
      </c>
      <c r="C18" s="603" t="s">
        <v>22</v>
      </c>
      <c r="D18" s="596">
        <v>6</v>
      </c>
      <c r="E18" s="606"/>
      <c r="F18" s="638">
        <f>D16*E18</f>
        <v>0</v>
      </c>
      <c r="G18" s="743"/>
      <c r="H18" s="741"/>
      <c r="I18" s="742"/>
    </row>
    <row r="19" spans="1:9">
      <c r="A19" s="601">
        <v>12</v>
      </c>
      <c r="B19" s="644" t="s">
        <v>503</v>
      </c>
      <c r="C19" s="603" t="s">
        <v>22</v>
      </c>
      <c r="D19" s="596">
        <v>3</v>
      </c>
      <c r="E19" s="606"/>
      <c r="F19" s="638"/>
      <c r="G19" s="743"/>
      <c r="H19" s="741"/>
      <c r="I19" s="744"/>
    </row>
    <row r="20" spans="1:9">
      <c r="A20" s="601">
        <v>13</v>
      </c>
      <c r="B20" s="644" t="s">
        <v>504</v>
      </c>
      <c r="C20" s="603" t="s">
        <v>22</v>
      </c>
      <c r="D20" s="631">
        <v>1</v>
      </c>
      <c r="E20" s="606"/>
      <c r="F20" s="638"/>
      <c r="G20" s="743"/>
      <c r="H20" s="741"/>
      <c r="I20" s="744"/>
    </row>
    <row r="21" spans="1:9">
      <c r="A21" s="601">
        <v>14</v>
      </c>
      <c r="B21" s="644" t="s">
        <v>505</v>
      </c>
      <c r="C21" s="603" t="s">
        <v>22</v>
      </c>
      <c r="D21" s="631">
        <v>1</v>
      </c>
      <c r="E21" s="606"/>
      <c r="F21" s="638">
        <f>D20*E19</f>
        <v>0</v>
      </c>
      <c r="G21" s="743"/>
      <c r="H21" s="741"/>
      <c r="I21" s="744"/>
    </row>
    <row r="22" spans="1:9">
      <c r="A22" s="601">
        <v>15</v>
      </c>
      <c r="B22" s="644" t="s">
        <v>509</v>
      </c>
      <c r="C22" s="603" t="s">
        <v>56</v>
      </c>
      <c r="D22" s="596">
        <v>44</v>
      </c>
      <c r="E22" s="606">
        <v>150000</v>
      </c>
      <c r="F22" s="638">
        <f>D21*E20</f>
        <v>0</v>
      </c>
      <c r="G22" s="743"/>
      <c r="H22" s="741"/>
      <c r="I22" s="744"/>
    </row>
    <row r="23" spans="1:9">
      <c r="A23" s="601">
        <v>16</v>
      </c>
      <c r="B23" s="632" t="s">
        <v>937</v>
      </c>
      <c r="C23" s="603" t="s">
        <v>22</v>
      </c>
      <c r="D23" s="596">
        <v>170</v>
      </c>
      <c r="E23" s="606">
        <v>29100</v>
      </c>
      <c r="F23" s="638">
        <f>+D23*E23</f>
        <v>4947000</v>
      </c>
      <c r="G23" s="743"/>
      <c r="H23" s="741"/>
      <c r="I23" s="744"/>
    </row>
    <row r="24" spans="1:9">
      <c r="A24" s="601"/>
      <c r="B24" s="632"/>
      <c r="C24" s="603"/>
      <c r="D24" s="596"/>
      <c r="E24" s="606"/>
      <c r="F24" s="638"/>
      <c r="G24" s="743"/>
      <c r="H24" s="741"/>
      <c r="I24" s="744"/>
    </row>
    <row r="25" spans="1:9">
      <c r="A25" s="601"/>
      <c r="B25" s="632"/>
      <c r="C25" s="603"/>
      <c r="D25" s="596"/>
      <c r="E25" s="606"/>
      <c r="F25" s="638"/>
      <c r="G25" s="743"/>
      <c r="H25" s="741"/>
      <c r="I25" s="744"/>
    </row>
    <row r="26" spans="1:9">
      <c r="A26" s="601"/>
      <c r="B26" s="632"/>
      <c r="C26" s="603"/>
      <c r="D26" s="596"/>
      <c r="E26" s="606"/>
      <c r="F26" s="638"/>
      <c r="G26" s="743"/>
      <c r="H26" s="741"/>
      <c r="I26" s="744"/>
    </row>
    <row r="27" spans="1:9">
      <c r="A27" s="601"/>
      <c r="B27" s="632"/>
      <c r="C27" s="603"/>
      <c r="D27" s="596"/>
      <c r="E27" s="606"/>
      <c r="F27" s="638"/>
      <c r="G27" s="743"/>
      <c r="H27" s="741"/>
      <c r="I27" s="744"/>
    </row>
    <row r="28" spans="1:9">
      <c r="A28" s="601">
        <v>17</v>
      </c>
      <c r="B28" s="632" t="s">
        <v>549</v>
      </c>
      <c r="C28" s="603" t="s">
        <v>500</v>
      </c>
      <c r="D28" s="596">
        <v>48</v>
      </c>
      <c r="E28" s="606">
        <v>12454</v>
      </c>
      <c r="F28" s="638">
        <f>D23*E22</f>
        <v>25500000</v>
      </c>
      <c r="G28" s="738"/>
      <c r="H28" s="649"/>
      <c r="I28" s="745"/>
    </row>
    <row r="29" spans="1:9" ht="15.75" thickBot="1">
      <c r="A29" s="609"/>
      <c r="B29" s="1928" t="s">
        <v>484</v>
      </c>
      <c r="C29" s="1928"/>
      <c r="D29" s="1928"/>
      <c r="E29" s="1928"/>
      <c r="F29" s="610">
        <f>SUM(F8:F28)</f>
        <v>30447000</v>
      </c>
    </row>
    <row r="30" spans="1:9" ht="15.75" thickTop="1"/>
    <row r="31" spans="1:9" ht="15.75" thickBot="1"/>
    <row r="32" spans="1:9" ht="15.75" thickTop="1">
      <c r="A32" s="611" t="s">
        <v>492</v>
      </c>
      <c r="B32" s="612" t="s">
        <v>493</v>
      </c>
      <c r="C32" s="612" t="s">
        <v>488</v>
      </c>
      <c r="D32" s="624" t="s">
        <v>489</v>
      </c>
      <c r="E32" s="612" t="s">
        <v>494</v>
      </c>
      <c r="F32" s="613" t="s">
        <v>131</v>
      </c>
    </row>
    <row r="33" spans="1:11">
      <c r="A33" s="623"/>
      <c r="B33" s="761" t="s">
        <v>475</v>
      </c>
      <c r="C33" s="595"/>
      <c r="D33" s="596"/>
      <c r="E33" s="595"/>
      <c r="F33" s="642"/>
    </row>
    <row r="34" spans="1:11" ht="30">
      <c r="A34" s="614"/>
      <c r="B34" s="626" t="s">
        <v>519</v>
      </c>
      <c r="C34" s="595"/>
      <c r="D34" s="595"/>
      <c r="E34" s="595"/>
      <c r="F34" s="640"/>
      <c r="K34" t="s">
        <v>518</v>
      </c>
    </row>
    <row r="35" spans="1:11">
      <c r="A35" s="614">
        <v>1</v>
      </c>
      <c r="B35" s="632" t="s">
        <v>934</v>
      </c>
      <c r="C35" s="596" t="s">
        <v>22</v>
      </c>
      <c r="D35" s="596">
        <v>2</v>
      </c>
      <c r="E35" s="606"/>
      <c r="F35" s="638">
        <f t="shared" ref="F35" si="1">D35*E35</f>
        <v>0</v>
      </c>
      <c r="K35" t="s">
        <v>518</v>
      </c>
    </row>
    <row r="36" spans="1:11">
      <c r="A36" s="614">
        <f>+A35+1</f>
        <v>2</v>
      </c>
      <c r="B36" s="770" t="s">
        <v>552</v>
      </c>
      <c r="C36" s="596" t="s">
        <v>22</v>
      </c>
      <c r="D36" s="596">
        <v>2</v>
      </c>
      <c r="E36" s="595"/>
      <c r="F36" s="636"/>
      <c r="K36" t="s">
        <v>518</v>
      </c>
    </row>
    <row r="37" spans="1:11">
      <c r="A37" s="614">
        <f t="shared" ref="A37:A53" si="2">+A36+1</f>
        <v>3</v>
      </c>
      <c r="B37" s="770" t="s">
        <v>553</v>
      </c>
      <c r="C37" s="596" t="s">
        <v>22</v>
      </c>
      <c r="D37" s="596">
        <v>2</v>
      </c>
      <c r="E37" s="633"/>
      <c r="F37" s="643">
        <f>D37*E37</f>
        <v>0</v>
      </c>
      <c r="J37" s="625"/>
      <c r="K37" s="625">
        <v>30272555</v>
      </c>
    </row>
    <row r="38" spans="1:11">
      <c r="A38" s="614">
        <f t="shared" si="2"/>
        <v>4</v>
      </c>
      <c r="B38" s="632" t="s">
        <v>551</v>
      </c>
      <c r="C38" s="596" t="s">
        <v>512</v>
      </c>
      <c r="D38" s="596">
        <v>4</v>
      </c>
      <c r="E38" s="595"/>
      <c r="F38" s="636"/>
    </row>
    <row r="39" spans="1:11">
      <c r="A39" s="614">
        <f t="shared" si="2"/>
        <v>5</v>
      </c>
      <c r="B39" s="632" t="s">
        <v>554</v>
      </c>
      <c r="C39" s="596" t="s">
        <v>22</v>
      </c>
      <c r="D39" s="596">
        <v>4</v>
      </c>
      <c r="E39" s="606"/>
      <c r="F39" s="647"/>
    </row>
    <row r="40" spans="1:11">
      <c r="A40" s="614">
        <f t="shared" si="2"/>
        <v>6</v>
      </c>
      <c r="B40" s="644" t="s">
        <v>544</v>
      </c>
      <c r="C40" s="641" t="s">
        <v>540</v>
      </c>
      <c r="D40" s="641">
        <v>80</v>
      </c>
      <c r="E40" s="595"/>
      <c r="F40" s="636"/>
    </row>
    <row r="41" spans="1:11">
      <c r="A41" s="614">
        <f t="shared" si="2"/>
        <v>7</v>
      </c>
      <c r="B41" s="644" t="s">
        <v>543</v>
      </c>
      <c r="C41" s="641" t="s">
        <v>512</v>
      </c>
      <c r="D41" s="641">
        <v>32</v>
      </c>
      <c r="E41" s="595"/>
      <c r="F41" s="636"/>
    </row>
    <row r="42" spans="1:11">
      <c r="A42" s="614">
        <f t="shared" si="2"/>
        <v>8</v>
      </c>
      <c r="B42" s="644" t="s">
        <v>545</v>
      </c>
      <c r="C42" s="641" t="s">
        <v>500</v>
      </c>
      <c r="D42" s="641">
        <v>6</v>
      </c>
      <c r="E42" s="595"/>
      <c r="F42" s="636"/>
    </row>
    <row r="43" spans="1:11">
      <c r="A43" s="614">
        <f t="shared" si="2"/>
        <v>9</v>
      </c>
      <c r="B43" s="644" t="s">
        <v>546</v>
      </c>
      <c r="C43" s="641" t="s">
        <v>512</v>
      </c>
      <c r="D43" s="641">
        <v>32</v>
      </c>
      <c r="E43" s="595"/>
      <c r="F43" s="636"/>
    </row>
    <row r="44" spans="1:11">
      <c r="A44" s="614">
        <f t="shared" si="2"/>
        <v>10</v>
      </c>
      <c r="B44" s="644" t="s">
        <v>547</v>
      </c>
      <c r="C44" s="641" t="s">
        <v>22</v>
      </c>
      <c r="D44" s="641">
        <v>1</v>
      </c>
      <c r="E44" s="595"/>
      <c r="F44" s="636"/>
    </row>
    <row r="45" spans="1:11">
      <c r="A45" s="614">
        <f t="shared" si="2"/>
        <v>11</v>
      </c>
      <c r="B45" s="644" t="s">
        <v>548</v>
      </c>
      <c r="C45" s="641" t="s">
        <v>22</v>
      </c>
      <c r="D45" s="641">
        <v>4</v>
      </c>
      <c r="E45" s="595"/>
      <c r="F45" s="636"/>
    </row>
    <row r="46" spans="1:11">
      <c r="A46" s="614">
        <f t="shared" si="2"/>
        <v>12</v>
      </c>
      <c r="B46" s="595" t="s">
        <v>936</v>
      </c>
      <c r="C46" s="596" t="s">
        <v>22</v>
      </c>
      <c r="D46" s="596">
        <v>138</v>
      </c>
      <c r="E46" s="606">
        <v>40000</v>
      </c>
      <c r="F46" s="638">
        <f t="shared" ref="F46:F52" si="3">D46*E46</f>
        <v>5520000</v>
      </c>
    </row>
    <row r="47" spans="1:11">
      <c r="A47" s="614">
        <f t="shared" si="2"/>
        <v>13</v>
      </c>
      <c r="B47" s="595" t="s">
        <v>513</v>
      </c>
      <c r="C47" s="596" t="s">
        <v>22</v>
      </c>
      <c r="D47" s="596">
        <v>676</v>
      </c>
      <c r="E47" s="606"/>
      <c r="F47" s="638">
        <f t="shared" si="3"/>
        <v>0</v>
      </c>
    </row>
    <row r="48" spans="1:11">
      <c r="A48" s="614">
        <f t="shared" si="2"/>
        <v>14</v>
      </c>
      <c r="B48" s="595" t="s">
        <v>514</v>
      </c>
      <c r="C48" s="596" t="s">
        <v>22</v>
      </c>
      <c r="D48" s="596">
        <v>676</v>
      </c>
      <c r="E48" s="606"/>
      <c r="F48" s="638">
        <f t="shared" si="3"/>
        <v>0</v>
      </c>
    </row>
    <row r="49" spans="1:6">
      <c r="A49" s="614">
        <f t="shared" si="2"/>
        <v>15</v>
      </c>
      <c r="B49" s="595" t="s">
        <v>515</v>
      </c>
      <c r="C49" s="596" t="s">
        <v>22</v>
      </c>
      <c r="D49" s="596">
        <v>1372</v>
      </c>
      <c r="E49" s="606"/>
      <c r="F49" s="638">
        <f t="shared" si="3"/>
        <v>0</v>
      </c>
    </row>
    <row r="50" spans="1:6">
      <c r="A50" s="614">
        <f t="shared" si="2"/>
        <v>16</v>
      </c>
      <c r="B50" s="595" t="s">
        <v>516</v>
      </c>
      <c r="C50" s="596" t="s">
        <v>512</v>
      </c>
      <c r="D50" s="596">
        <v>30</v>
      </c>
      <c r="E50" s="606"/>
      <c r="F50" s="638">
        <f t="shared" si="3"/>
        <v>0</v>
      </c>
    </row>
    <row r="51" spans="1:6">
      <c r="A51" s="614">
        <f t="shared" si="2"/>
        <v>17</v>
      </c>
      <c r="B51" s="595" t="s">
        <v>508</v>
      </c>
      <c r="C51" s="603" t="s">
        <v>500</v>
      </c>
      <c r="D51" s="596">
        <v>48</v>
      </c>
      <c r="E51" s="606">
        <v>12454</v>
      </c>
      <c r="F51" s="638">
        <f t="shared" si="3"/>
        <v>597792</v>
      </c>
    </row>
    <row r="52" spans="1:6">
      <c r="A52" s="614">
        <f t="shared" si="2"/>
        <v>18</v>
      </c>
      <c r="B52" s="595" t="s">
        <v>509</v>
      </c>
      <c r="C52" s="603" t="s">
        <v>56</v>
      </c>
      <c r="D52" s="596">
        <v>30</v>
      </c>
      <c r="E52" s="606">
        <v>150000</v>
      </c>
      <c r="F52" s="638">
        <f t="shared" si="3"/>
        <v>4500000</v>
      </c>
    </row>
    <row r="53" spans="1:6" ht="30">
      <c r="A53" s="614">
        <f t="shared" si="2"/>
        <v>19</v>
      </c>
      <c r="B53" s="626" t="s">
        <v>935</v>
      </c>
      <c r="C53" s="596" t="s">
        <v>22</v>
      </c>
      <c r="D53" s="596">
        <v>21</v>
      </c>
      <c r="E53" s="606"/>
      <c r="F53" s="638">
        <f t="shared" ref="F53" si="4">D53*E53</f>
        <v>0</v>
      </c>
    </row>
    <row r="54" spans="1:6" ht="15.75" thickBot="1">
      <c r="A54" s="609"/>
      <c r="B54" s="1928" t="s">
        <v>484</v>
      </c>
      <c r="C54" s="1928"/>
      <c r="D54" s="1928"/>
      <c r="E54" s="1928"/>
      <c r="F54" s="615">
        <f>SUM(F35:F53)</f>
        <v>10617792</v>
      </c>
    </row>
    <row r="55" spans="1:6" ht="15.75" thickTop="1"/>
    <row r="56" spans="1:6" ht="15.75" thickBot="1"/>
    <row r="57" spans="1:6" ht="15.75" thickTop="1">
      <c r="A57" s="611" t="s">
        <v>20</v>
      </c>
      <c r="B57" s="612" t="s">
        <v>493</v>
      </c>
      <c r="C57" s="612" t="s">
        <v>488</v>
      </c>
      <c r="D57" s="612" t="s">
        <v>489</v>
      </c>
      <c r="E57" s="612" t="s">
        <v>494</v>
      </c>
      <c r="F57" s="613" t="s">
        <v>131</v>
      </c>
    </row>
    <row r="58" spans="1:6">
      <c r="A58" s="623"/>
      <c r="B58" s="767" t="s">
        <v>927</v>
      </c>
      <c r="C58" s="648"/>
      <c r="D58" s="648"/>
      <c r="E58" s="648"/>
      <c r="F58" s="763"/>
    </row>
    <row r="59" spans="1:6" ht="60">
      <c r="A59" s="614">
        <v>1</v>
      </c>
      <c r="B59" s="762" t="s">
        <v>929</v>
      </c>
      <c r="C59" s="595"/>
      <c r="D59" s="595"/>
      <c r="E59" s="606"/>
      <c r="F59" s="607">
        <f>D59*E59</f>
        <v>0</v>
      </c>
    </row>
    <row r="60" spans="1:6">
      <c r="A60" s="614">
        <f>+A59+1</f>
        <v>2</v>
      </c>
      <c r="B60" s="632" t="s">
        <v>924</v>
      </c>
      <c r="C60" s="596" t="s">
        <v>22</v>
      </c>
      <c r="D60" s="596">
        <v>4</v>
      </c>
      <c r="E60" s="606"/>
      <c r="F60" s="607"/>
    </row>
    <row r="61" spans="1:6">
      <c r="A61" s="614">
        <f t="shared" ref="A61:A79" si="5">+A60+1</f>
        <v>3</v>
      </c>
      <c r="B61" s="632" t="s">
        <v>556</v>
      </c>
      <c r="C61" s="631" t="s">
        <v>22</v>
      </c>
      <c r="D61" s="631">
        <v>4</v>
      </c>
      <c r="E61" s="606"/>
      <c r="F61" s="607"/>
    </row>
    <row r="62" spans="1:6">
      <c r="A62" s="614">
        <f t="shared" si="5"/>
        <v>4</v>
      </c>
      <c r="B62" s="632" t="s">
        <v>550</v>
      </c>
      <c r="C62" s="596" t="s">
        <v>22</v>
      </c>
      <c r="D62" s="596">
        <v>1</v>
      </c>
      <c r="E62" s="606"/>
      <c r="F62" s="607"/>
    </row>
    <row r="63" spans="1:6">
      <c r="A63" s="614">
        <f t="shared" si="5"/>
        <v>5</v>
      </c>
      <c r="B63" s="632" t="s">
        <v>558</v>
      </c>
      <c r="C63" s="596" t="s">
        <v>22</v>
      </c>
      <c r="D63" s="596">
        <v>4</v>
      </c>
      <c r="E63" s="606"/>
      <c r="F63" s="607"/>
    </row>
    <row r="64" spans="1:6">
      <c r="A64" s="614">
        <f t="shared" si="5"/>
        <v>6</v>
      </c>
      <c r="B64" s="632" t="s">
        <v>559</v>
      </c>
      <c r="C64" s="596" t="s">
        <v>22</v>
      </c>
      <c r="D64" s="596">
        <v>1</v>
      </c>
      <c r="E64" s="606"/>
      <c r="F64" s="607"/>
    </row>
    <row r="65" spans="1:7">
      <c r="A65" s="614">
        <f t="shared" si="5"/>
        <v>7</v>
      </c>
      <c r="B65" s="595" t="s">
        <v>925</v>
      </c>
      <c r="C65" s="596" t="s">
        <v>22</v>
      </c>
      <c r="D65" s="595">
        <v>4</v>
      </c>
      <c r="E65" s="606"/>
      <c r="F65" s="606"/>
    </row>
    <row r="66" spans="1:7">
      <c r="A66" s="614">
        <f t="shared" si="5"/>
        <v>8</v>
      </c>
      <c r="B66" s="632" t="s">
        <v>542</v>
      </c>
      <c r="C66" s="596" t="s">
        <v>512</v>
      </c>
      <c r="D66" s="596">
        <v>4</v>
      </c>
      <c r="E66" s="606"/>
      <c r="F66" s="607">
        <f>D60*E66</f>
        <v>0</v>
      </c>
    </row>
    <row r="67" spans="1:7">
      <c r="A67" s="614">
        <f t="shared" si="5"/>
        <v>9</v>
      </c>
      <c r="B67" s="632" t="s">
        <v>555</v>
      </c>
      <c r="C67" s="596" t="s">
        <v>512</v>
      </c>
      <c r="D67" s="596">
        <v>1</v>
      </c>
      <c r="E67" s="606"/>
      <c r="F67" s="607"/>
    </row>
    <row r="68" spans="1:7">
      <c r="A68" s="614">
        <f t="shared" si="5"/>
        <v>10</v>
      </c>
      <c r="B68" s="632" t="s">
        <v>560</v>
      </c>
      <c r="C68" s="596" t="s">
        <v>22</v>
      </c>
      <c r="D68" s="596">
        <v>1</v>
      </c>
      <c r="E68" s="606"/>
      <c r="F68" s="607"/>
    </row>
    <row r="69" spans="1:7">
      <c r="A69" s="614">
        <f t="shared" si="5"/>
        <v>11</v>
      </c>
      <c r="B69" s="764" t="s">
        <v>926</v>
      </c>
      <c r="C69" s="765" t="s">
        <v>22</v>
      </c>
      <c r="D69" s="765">
        <v>4</v>
      </c>
      <c r="E69" s="766"/>
      <c r="F69" s="747"/>
    </row>
    <row r="70" spans="1:7">
      <c r="A70" s="614">
        <f t="shared" si="5"/>
        <v>12</v>
      </c>
      <c r="B70" s="764" t="s">
        <v>921</v>
      </c>
      <c r="C70" s="765" t="s">
        <v>512</v>
      </c>
      <c r="D70" s="765">
        <v>1</v>
      </c>
      <c r="E70" s="766"/>
      <c r="F70" s="747"/>
    </row>
    <row r="71" spans="1:7">
      <c r="A71" s="614">
        <f t="shared" si="5"/>
        <v>13</v>
      </c>
      <c r="B71" s="764" t="s">
        <v>922</v>
      </c>
      <c r="C71" s="765" t="s">
        <v>512</v>
      </c>
      <c r="D71" s="765">
        <v>1</v>
      </c>
      <c r="E71" s="766"/>
      <c r="F71" s="747"/>
    </row>
    <row r="72" spans="1:7" ht="30">
      <c r="A72" s="614">
        <f t="shared" si="5"/>
        <v>14</v>
      </c>
      <c r="B72" s="768" t="s">
        <v>923</v>
      </c>
      <c r="C72" s="765" t="s">
        <v>22</v>
      </c>
      <c r="D72" s="765">
        <v>1</v>
      </c>
      <c r="E72" s="766"/>
      <c r="F72" s="747"/>
    </row>
    <row r="73" spans="1:7">
      <c r="A73" s="614">
        <f t="shared" si="5"/>
        <v>15</v>
      </c>
      <c r="B73" s="595" t="s">
        <v>509</v>
      </c>
      <c r="C73" s="603" t="s">
        <v>56</v>
      </c>
      <c r="D73" s="596">
        <v>45</v>
      </c>
      <c r="E73" s="606">
        <v>150000</v>
      </c>
      <c r="F73" s="638">
        <f t="shared" ref="F73:F74" si="6">D73*E73</f>
        <v>6750000</v>
      </c>
    </row>
    <row r="74" spans="1:7">
      <c r="A74" s="614">
        <f t="shared" si="5"/>
        <v>16</v>
      </c>
      <c r="B74" s="595" t="s">
        <v>508</v>
      </c>
      <c r="C74" s="603" t="s">
        <v>500</v>
      </c>
      <c r="D74" s="596">
        <v>53</v>
      </c>
      <c r="E74" s="606">
        <v>12454</v>
      </c>
      <c r="F74" s="638">
        <f t="shared" si="6"/>
        <v>660062</v>
      </c>
    </row>
    <row r="75" spans="1:7" ht="60">
      <c r="A75" s="614">
        <f t="shared" si="5"/>
        <v>17</v>
      </c>
      <c r="B75" s="768" t="s">
        <v>928</v>
      </c>
      <c r="C75" s="765" t="s">
        <v>22</v>
      </c>
      <c r="D75" s="765">
        <v>19</v>
      </c>
      <c r="E75" s="766"/>
      <c r="F75" s="747"/>
    </row>
    <row r="76" spans="1:7">
      <c r="A76" s="614">
        <f t="shared" si="5"/>
        <v>18</v>
      </c>
      <c r="B76" s="764" t="s">
        <v>930</v>
      </c>
      <c r="C76" s="765" t="s">
        <v>139</v>
      </c>
      <c r="D76" s="765">
        <v>3.31</v>
      </c>
      <c r="E76" s="766"/>
      <c r="F76" s="747"/>
      <c r="G76">
        <f>0.45*3.2*2.3</f>
        <v>3.3120000000000003</v>
      </c>
    </row>
    <row r="77" spans="1:7">
      <c r="A77" s="614">
        <f t="shared" si="5"/>
        <v>19</v>
      </c>
      <c r="B77" s="764" t="s">
        <v>931</v>
      </c>
      <c r="C77" s="765" t="s">
        <v>139</v>
      </c>
      <c r="D77" s="765">
        <v>2.21</v>
      </c>
      <c r="E77" s="766"/>
      <c r="F77" s="747"/>
      <c r="G77">
        <f>0.3*3.2*2.3</f>
        <v>2.2079999999999997</v>
      </c>
    </row>
    <row r="78" spans="1:7">
      <c r="A78" s="614">
        <f t="shared" si="5"/>
        <v>20</v>
      </c>
      <c r="B78" s="764" t="s">
        <v>932</v>
      </c>
      <c r="C78" s="765" t="s">
        <v>139</v>
      </c>
      <c r="D78" s="765">
        <v>3.2</v>
      </c>
      <c r="E78" s="766"/>
      <c r="F78" s="747"/>
      <c r="G78">
        <f>0.433*3.2*2.3</f>
        <v>3.1868799999999999</v>
      </c>
    </row>
    <row r="79" spans="1:7" ht="45">
      <c r="A79" s="614">
        <f t="shared" si="5"/>
        <v>21</v>
      </c>
      <c r="B79" s="768" t="s">
        <v>933</v>
      </c>
      <c r="C79" s="765" t="s">
        <v>22</v>
      </c>
      <c r="D79" s="769">
        <v>28000</v>
      </c>
      <c r="E79" s="766"/>
      <c r="F79" s="747"/>
    </row>
    <row r="80" spans="1:7" ht="15.75" thickBot="1">
      <c r="A80" s="609"/>
      <c r="B80" s="1928" t="s">
        <v>484</v>
      </c>
      <c r="C80" s="1928"/>
      <c r="D80" s="1928"/>
      <c r="E80" s="1928"/>
      <c r="F80" s="616">
        <f>SUM(F59:F68)</f>
        <v>0</v>
      </c>
    </row>
    <row r="81" spans="1:12" ht="15.75" thickTop="1"/>
    <row r="82" spans="1:12">
      <c r="B82" t="s">
        <v>478</v>
      </c>
    </row>
    <row r="83" spans="1:12" ht="15.75" thickBot="1"/>
    <row r="84" spans="1:12" ht="15.75" thickTop="1">
      <c r="A84" s="611" t="s">
        <v>20</v>
      </c>
      <c r="B84" s="612" t="s">
        <v>493</v>
      </c>
      <c r="C84" s="612" t="s">
        <v>488</v>
      </c>
      <c r="D84" s="612" t="s">
        <v>489</v>
      </c>
      <c r="E84" s="612" t="s">
        <v>494</v>
      </c>
      <c r="F84" s="613" t="s">
        <v>131</v>
      </c>
    </row>
    <row r="85" spans="1:12" ht="30">
      <c r="A85" s="614">
        <v>1</v>
      </c>
      <c r="B85" s="635" t="s">
        <v>519</v>
      </c>
      <c r="C85" s="595"/>
      <c r="D85" s="595"/>
      <c r="E85" s="606"/>
      <c r="F85" s="607">
        <f>D85*E85</f>
        <v>0</v>
      </c>
    </row>
    <row r="86" spans="1:12">
      <c r="A86" s="614">
        <f>+A85+1</f>
        <v>2</v>
      </c>
      <c r="B86" s="632" t="s">
        <v>557</v>
      </c>
      <c r="C86" s="596" t="s">
        <v>22</v>
      </c>
      <c r="D86" s="596">
        <v>4</v>
      </c>
      <c r="E86" s="606"/>
      <c r="F86" s="607"/>
    </row>
    <row r="87" spans="1:12">
      <c r="A87" s="614">
        <f t="shared" ref="A87:A94" si="7">+A86+1</f>
        <v>3</v>
      </c>
      <c r="B87" s="632" t="s">
        <v>556</v>
      </c>
      <c r="C87" s="631" t="s">
        <v>22</v>
      </c>
      <c r="D87" s="631">
        <v>4</v>
      </c>
      <c r="E87" s="606"/>
      <c r="F87" s="607"/>
    </row>
    <row r="88" spans="1:12">
      <c r="A88" s="614">
        <f t="shared" si="7"/>
        <v>4</v>
      </c>
      <c r="B88" s="632" t="s">
        <v>550</v>
      </c>
      <c r="C88" s="596" t="s">
        <v>22</v>
      </c>
      <c r="D88" s="596">
        <v>1</v>
      </c>
      <c r="E88" s="606"/>
      <c r="F88" s="607"/>
    </row>
    <row r="89" spans="1:12">
      <c r="A89" s="614">
        <f t="shared" si="7"/>
        <v>5</v>
      </c>
      <c r="B89" s="632" t="s">
        <v>558</v>
      </c>
      <c r="C89" s="596" t="s">
        <v>22</v>
      </c>
      <c r="D89" s="596">
        <v>4</v>
      </c>
      <c r="E89" s="606"/>
      <c r="F89" s="607"/>
    </row>
    <row r="90" spans="1:12">
      <c r="A90" s="614">
        <f t="shared" si="7"/>
        <v>6</v>
      </c>
      <c r="B90" s="632" t="s">
        <v>559</v>
      </c>
      <c r="C90" s="596" t="s">
        <v>22</v>
      </c>
      <c r="D90" s="596">
        <v>1</v>
      </c>
      <c r="E90" s="606"/>
      <c r="F90" s="607"/>
    </row>
    <row r="91" spans="1:12">
      <c r="A91" s="614">
        <f t="shared" si="7"/>
        <v>7</v>
      </c>
      <c r="B91" s="632" t="s">
        <v>542</v>
      </c>
      <c r="C91" s="596" t="s">
        <v>512</v>
      </c>
      <c r="D91" s="596">
        <v>4</v>
      </c>
      <c r="E91" s="606"/>
      <c r="F91" s="607">
        <f>D86*E91</f>
        <v>0</v>
      </c>
    </row>
    <row r="92" spans="1:12">
      <c r="A92" s="614">
        <f t="shared" si="7"/>
        <v>8</v>
      </c>
      <c r="B92" s="632" t="s">
        <v>555</v>
      </c>
      <c r="C92" s="596" t="s">
        <v>512</v>
      </c>
      <c r="D92" s="596">
        <v>1</v>
      </c>
      <c r="E92" s="606"/>
      <c r="F92" s="607"/>
    </row>
    <row r="93" spans="1:12">
      <c r="A93" s="614">
        <f t="shared" si="7"/>
        <v>9</v>
      </c>
      <c r="B93" s="632" t="s">
        <v>560</v>
      </c>
      <c r="C93" s="596" t="s">
        <v>22</v>
      </c>
      <c r="D93" s="596">
        <v>1</v>
      </c>
      <c r="E93" s="606"/>
      <c r="F93" s="607"/>
    </row>
    <row r="94" spans="1:12">
      <c r="A94" s="614">
        <f t="shared" si="7"/>
        <v>10</v>
      </c>
      <c r="B94" s="634"/>
      <c r="C94" s="596"/>
      <c r="D94" s="596"/>
      <c r="E94" s="606"/>
      <c r="F94" s="607"/>
    </row>
    <row r="95" spans="1:12" ht="15.75" thickBot="1">
      <c r="A95" s="609"/>
      <c r="B95" s="1928" t="s">
        <v>484</v>
      </c>
      <c r="C95" s="1928"/>
      <c r="D95" s="1928"/>
      <c r="E95" s="1928"/>
      <c r="F95" s="616">
        <f>SUM(F85:F94)</f>
        <v>0</v>
      </c>
    </row>
    <row r="96" spans="1:12" ht="15.75" thickTop="1">
      <c r="G96" s="755"/>
      <c r="H96" s="756"/>
      <c r="I96" s="741"/>
      <c r="J96" s="742"/>
      <c r="K96" s="757"/>
      <c r="L96" s="754">
        <f>+K96*J96</f>
        <v>0</v>
      </c>
    </row>
    <row r="97" spans="1:12">
      <c r="B97" t="s">
        <v>534</v>
      </c>
      <c r="G97" s="755"/>
      <c r="H97" s="758"/>
      <c r="I97" s="741"/>
      <c r="J97" s="742"/>
      <c r="K97" s="757"/>
      <c r="L97" s="754">
        <f t="shared" ref="L97:L105" si="8">+K97*J97</f>
        <v>0</v>
      </c>
    </row>
    <row r="98" spans="1:12" ht="15.75" thickBot="1">
      <c r="G98" s="755"/>
      <c r="H98" s="756"/>
      <c r="I98" s="741"/>
      <c r="J98" s="742"/>
      <c r="K98" s="757"/>
      <c r="L98" s="754">
        <f t="shared" si="8"/>
        <v>0</v>
      </c>
    </row>
    <row r="99" spans="1:12" ht="15" customHeight="1" thickTop="1">
      <c r="A99" s="611" t="s">
        <v>20</v>
      </c>
      <c r="B99" s="612" t="s">
        <v>493</v>
      </c>
      <c r="C99" s="612" t="s">
        <v>488</v>
      </c>
      <c r="D99" s="612" t="s">
        <v>489</v>
      </c>
      <c r="E99" s="612" t="s">
        <v>494</v>
      </c>
      <c r="F99" s="613" t="s">
        <v>131</v>
      </c>
      <c r="G99" s="755"/>
      <c r="H99" s="758"/>
      <c r="I99" s="741"/>
      <c r="J99" s="742"/>
      <c r="K99" s="759"/>
      <c r="L99" s="754">
        <f t="shared" si="8"/>
        <v>0</v>
      </c>
    </row>
    <row r="100" spans="1:12" ht="15" customHeight="1">
      <c r="A100" s="614">
        <v>1</v>
      </c>
      <c r="B100" s="595" t="s">
        <v>508</v>
      </c>
      <c r="C100" s="748" t="s">
        <v>540</v>
      </c>
      <c r="D100" s="749"/>
      <c r="E100" s="750">
        <v>12450</v>
      </c>
      <c r="F100" s="638">
        <f t="shared" ref="F100" si="9">D100*E100</f>
        <v>0</v>
      </c>
      <c r="G100" s="755"/>
      <c r="H100" s="758"/>
      <c r="I100" s="741"/>
      <c r="J100" s="742"/>
      <c r="K100" s="759"/>
      <c r="L100" s="754">
        <f t="shared" si="8"/>
        <v>0</v>
      </c>
    </row>
    <row r="101" spans="1:12" ht="15" customHeight="1">
      <c r="A101" s="614">
        <f>+A100+1</f>
        <v>2</v>
      </c>
      <c r="B101" s="751" t="s">
        <v>904</v>
      </c>
      <c r="C101" s="748" t="s">
        <v>22</v>
      </c>
      <c r="D101" s="749">
        <v>8</v>
      </c>
      <c r="E101" s="750">
        <v>10670</v>
      </c>
      <c r="F101" s="607"/>
      <c r="G101" s="755"/>
      <c r="H101" s="758"/>
      <c r="I101" s="741"/>
      <c r="J101" s="742"/>
      <c r="K101" s="759"/>
      <c r="L101" s="754">
        <f t="shared" si="8"/>
        <v>0</v>
      </c>
    </row>
    <row r="102" spans="1:12" ht="15" customHeight="1">
      <c r="A102" s="614">
        <f t="shared" ref="A102:A109" si="10">+A101+1</f>
        <v>3</v>
      </c>
      <c r="B102" s="752" t="s">
        <v>905</v>
      </c>
      <c r="C102" s="748" t="s">
        <v>540</v>
      </c>
      <c r="D102" s="749">
        <v>2</v>
      </c>
      <c r="E102" s="750">
        <v>16890</v>
      </c>
      <c r="F102" s="607"/>
      <c r="G102" s="755"/>
      <c r="H102" s="758"/>
      <c r="I102" s="741"/>
      <c r="J102" s="742"/>
      <c r="K102" s="759"/>
      <c r="L102" s="754">
        <f t="shared" si="8"/>
        <v>0</v>
      </c>
    </row>
    <row r="103" spans="1:12" ht="15" customHeight="1">
      <c r="A103" s="614">
        <f t="shared" si="10"/>
        <v>4</v>
      </c>
      <c r="B103" s="751" t="s">
        <v>895</v>
      </c>
      <c r="C103" s="748" t="s">
        <v>22</v>
      </c>
      <c r="D103" s="749">
        <v>4</v>
      </c>
      <c r="E103" s="753"/>
      <c r="F103" s="607"/>
      <c r="G103" s="755"/>
      <c r="H103" s="758"/>
      <c r="I103" s="741"/>
      <c r="J103" s="742"/>
      <c r="K103" s="759"/>
      <c r="L103" s="754">
        <f t="shared" si="8"/>
        <v>0</v>
      </c>
    </row>
    <row r="104" spans="1:12" ht="15" customHeight="1">
      <c r="A104" s="614">
        <f t="shared" si="10"/>
        <v>5</v>
      </c>
      <c r="B104" s="751" t="s">
        <v>896</v>
      </c>
      <c r="C104" s="748" t="s">
        <v>22</v>
      </c>
      <c r="D104" s="749">
        <v>2</v>
      </c>
      <c r="E104" s="753"/>
      <c r="F104" s="607"/>
      <c r="G104" s="755"/>
      <c r="H104" s="758"/>
      <c r="I104" s="741"/>
      <c r="J104" s="742"/>
      <c r="K104" s="759"/>
      <c r="L104" s="754">
        <f t="shared" si="8"/>
        <v>0</v>
      </c>
    </row>
    <row r="105" spans="1:12" ht="15" customHeight="1">
      <c r="A105" s="614">
        <f t="shared" si="10"/>
        <v>6</v>
      </c>
      <c r="B105" s="751" t="s">
        <v>897</v>
      </c>
      <c r="C105" s="748" t="s">
        <v>22</v>
      </c>
      <c r="D105" s="749">
        <v>2</v>
      </c>
      <c r="E105" s="753"/>
      <c r="F105" s="607"/>
      <c r="G105" s="755"/>
      <c r="H105" s="758"/>
      <c r="I105" s="741"/>
      <c r="J105" s="742"/>
      <c r="K105" s="759"/>
      <c r="L105" s="754">
        <f t="shared" si="8"/>
        <v>0</v>
      </c>
    </row>
    <row r="106" spans="1:12" ht="15" customHeight="1">
      <c r="A106" s="614">
        <f t="shared" si="10"/>
        <v>7</v>
      </c>
      <c r="B106" s="751" t="s">
        <v>539</v>
      </c>
      <c r="C106" s="748" t="s">
        <v>540</v>
      </c>
      <c r="D106" s="749">
        <v>24</v>
      </c>
      <c r="E106" s="753"/>
      <c r="F106" s="607">
        <f>D101*E106</f>
        <v>0</v>
      </c>
      <c r="G106" s="755"/>
      <c r="H106" s="758"/>
      <c r="I106" s="741"/>
      <c r="J106" s="742"/>
      <c r="K106" s="759"/>
      <c r="L106" s="754"/>
    </row>
    <row r="107" spans="1:12" ht="15" customHeight="1">
      <c r="A107" s="614">
        <f t="shared" si="10"/>
        <v>8</v>
      </c>
      <c r="B107" s="751" t="s">
        <v>898</v>
      </c>
      <c r="C107" s="748" t="s">
        <v>540</v>
      </c>
      <c r="D107" s="749">
        <v>7</v>
      </c>
      <c r="E107" s="753"/>
      <c r="F107" s="607"/>
      <c r="G107" s="739"/>
      <c r="H107" s="419"/>
      <c r="I107" s="419"/>
      <c r="J107" s="419"/>
      <c r="K107" s="419"/>
    </row>
    <row r="108" spans="1:12" ht="15" customHeight="1">
      <c r="A108" s="614">
        <f t="shared" si="10"/>
        <v>9</v>
      </c>
      <c r="B108" s="751" t="s">
        <v>899</v>
      </c>
      <c r="C108" s="748" t="s">
        <v>512</v>
      </c>
      <c r="D108" s="749">
        <v>2</v>
      </c>
      <c r="E108" s="753"/>
      <c r="F108" s="607"/>
      <c r="G108" s="739"/>
      <c r="H108" s="419"/>
      <c r="I108" s="419"/>
      <c r="J108" s="419"/>
      <c r="K108" s="419"/>
    </row>
    <row r="109" spans="1:12" ht="15" customHeight="1">
      <c r="A109" s="614">
        <f t="shared" si="10"/>
        <v>10</v>
      </c>
      <c r="B109" s="751" t="s">
        <v>900</v>
      </c>
      <c r="C109" s="748" t="s">
        <v>22</v>
      </c>
      <c r="D109" s="749">
        <v>6</v>
      </c>
      <c r="E109" s="753"/>
      <c r="F109" s="607"/>
      <c r="G109" s="739"/>
      <c r="H109" s="419"/>
      <c r="I109" s="419"/>
      <c r="J109" s="419"/>
      <c r="K109" s="419"/>
    </row>
    <row r="110" spans="1:12" ht="15" customHeight="1">
      <c r="A110" s="746"/>
      <c r="B110" s="751" t="s">
        <v>901</v>
      </c>
      <c r="C110" s="748" t="s">
        <v>22</v>
      </c>
      <c r="D110" s="749">
        <v>1</v>
      </c>
      <c r="E110" s="753"/>
      <c r="F110" s="747"/>
      <c r="G110" s="739"/>
      <c r="H110" s="419"/>
      <c r="I110" s="419"/>
      <c r="J110" s="419"/>
      <c r="K110" s="419"/>
    </row>
    <row r="111" spans="1:12" ht="15.75" thickBot="1">
      <c r="A111" s="609"/>
      <c r="B111" s="1928" t="s">
        <v>484</v>
      </c>
      <c r="C111" s="1928"/>
      <c r="D111" s="1928"/>
      <c r="E111" s="1928"/>
      <c r="F111" s="616">
        <f>SUM(F100:F109)</f>
        <v>0</v>
      </c>
      <c r="G111" s="739"/>
      <c r="H111" s="419"/>
      <c r="I111" s="419"/>
      <c r="J111" s="419"/>
      <c r="K111" s="419"/>
    </row>
    <row r="112" spans="1:12" ht="15.75" thickTop="1"/>
  </sheetData>
  <mergeCells count="9">
    <mergeCell ref="B111:E111"/>
    <mergeCell ref="B95:E95"/>
    <mergeCell ref="B54:E54"/>
    <mergeCell ref="B80:E80"/>
    <mergeCell ref="A1:F1"/>
    <mergeCell ref="A2:F2"/>
    <mergeCell ref="A3:F3"/>
    <mergeCell ref="A4:F4"/>
    <mergeCell ref="B29:E2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8"/>
  <sheetViews>
    <sheetView showGridLines="0" topLeftCell="A7" workbookViewId="0">
      <selection sqref="A1:B1"/>
    </sheetView>
  </sheetViews>
  <sheetFormatPr baseColWidth="10" defaultRowHeight="15"/>
  <cols>
    <col min="1" max="1" width="40" customWidth="1"/>
    <col min="2" max="2" width="9.5703125" customWidth="1"/>
    <col min="3" max="4" width="0" hidden="1" customWidth="1"/>
    <col min="6" max="6" width="0" hidden="1" customWidth="1"/>
    <col min="7" max="7" width="13" customWidth="1"/>
    <col min="8" max="8" width="17.5703125" customWidth="1"/>
  </cols>
  <sheetData>
    <row r="1" spans="1:8" ht="18.75" thickTop="1">
      <c r="A1" s="1674"/>
      <c r="B1" s="1685"/>
      <c r="C1" s="387"/>
      <c r="D1" s="388"/>
      <c r="E1" s="1686" t="s">
        <v>360</v>
      </c>
      <c r="F1" s="1686"/>
      <c r="G1" s="1686"/>
      <c r="H1" s="1687"/>
    </row>
    <row r="2" spans="1:8" ht="18">
      <c r="A2" s="1690" t="s">
        <v>13</v>
      </c>
      <c r="B2" s="1691"/>
      <c r="C2" s="389"/>
      <c r="D2" s="390"/>
      <c r="E2" s="1688"/>
      <c r="F2" s="1688"/>
      <c r="G2" s="1688"/>
      <c r="H2" s="1689"/>
    </row>
    <row r="3" spans="1:8">
      <c r="A3" s="1692" t="s">
        <v>16</v>
      </c>
      <c r="B3" s="1693"/>
      <c r="C3" s="1693"/>
      <c r="D3" s="1693"/>
      <c r="E3" s="1693"/>
      <c r="F3" s="1694"/>
      <c r="G3" s="391" t="s">
        <v>17</v>
      </c>
      <c r="H3" s="392">
        <v>41569</v>
      </c>
    </row>
    <row r="4" spans="1:8" ht="15.75" thickBot="1">
      <c r="A4" s="1695"/>
      <c r="B4" s="1696"/>
      <c r="C4" s="1696"/>
      <c r="D4" s="1696"/>
      <c r="E4" s="1696"/>
      <c r="F4" s="1697"/>
      <c r="G4" s="1698">
        <v>0</v>
      </c>
      <c r="H4" s="1699"/>
    </row>
    <row r="5" spans="1:8" ht="15.75" thickTop="1">
      <c r="B5" s="259"/>
      <c r="C5" s="259"/>
      <c r="D5" s="259"/>
      <c r="E5" s="393"/>
      <c r="F5" s="394"/>
      <c r="G5" s="395"/>
      <c r="H5" s="396"/>
    </row>
    <row r="6" spans="1:8">
      <c r="B6" s="259"/>
      <c r="C6" s="259"/>
      <c r="D6" s="259"/>
      <c r="E6" s="393"/>
      <c r="F6" s="394"/>
      <c r="G6" s="395"/>
      <c r="H6" s="396"/>
    </row>
    <row r="7" spans="1:8" ht="16.5">
      <c r="A7" s="397" t="s">
        <v>361</v>
      </c>
      <c r="B7" s="398"/>
      <c r="C7" s="398"/>
      <c r="D7" s="398"/>
      <c r="E7" s="399"/>
      <c r="F7" s="399"/>
      <c r="G7" s="400"/>
      <c r="H7" s="400"/>
    </row>
    <row r="8" spans="1:8">
      <c r="A8" s="401" t="s">
        <v>21</v>
      </c>
      <c r="B8" s="401" t="s">
        <v>22</v>
      </c>
      <c r="C8" s="402" t="s">
        <v>362</v>
      </c>
      <c r="D8" s="402" t="s">
        <v>362</v>
      </c>
      <c r="E8" s="401" t="s">
        <v>363</v>
      </c>
      <c r="F8" s="402" t="s">
        <v>362</v>
      </c>
      <c r="G8" s="401" t="s">
        <v>23</v>
      </c>
      <c r="H8" s="401" t="s">
        <v>25</v>
      </c>
    </row>
    <row r="9" spans="1:8">
      <c r="B9" s="259"/>
      <c r="C9" s="259"/>
      <c r="D9" s="259"/>
      <c r="E9" s="393"/>
      <c r="F9" s="394"/>
      <c r="G9" s="395"/>
      <c r="H9" s="396"/>
    </row>
    <row r="10" spans="1:8">
      <c r="B10" s="259"/>
      <c r="C10" s="259"/>
      <c r="D10" s="259"/>
      <c r="E10" s="393"/>
      <c r="F10" s="394"/>
      <c r="G10" s="395"/>
      <c r="H10" s="396"/>
    </row>
    <row r="11" spans="1:8" ht="16.5">
      <c r="A11" s="403" t="s">
        <v>133</v>
      </c>
      <c r="H11" s="404">
        <v>205026453.32408005</v>
      </c>
    </row>
    <row r="12" spans="1:8">
      <c r="A12" s="405" t="s">
        <v>21</v>
      </c>
      <c r="B12" s="405" t="s">
        <v>22</v>
      </c>
      <c r="C12" s="406" t="s">
        <v>362</v>
      </c>
      <c r="D12" s="406" t="s">
        <v>362</v>
      </c>
      <c r="E12" s="405" t="s">
        <v>363</v>
      </c>
      <c r="F12" s="406" t="s">
        <v>362</v>
      </c>
      <c r="G12" s="405" t="s">
        <v>23</v>
      </c>
      <c r="H12" s="405" t="s">
        <v>25</v>
      </c>
    </row>
    <row r="13" spans="1:8">
      <c r="A13" s="407" t="s">
        <v>171</v>
      </c>
      <c r="B13" s="408" t="s">
        <v>170</v>
      </c>
      <c r="C13" s="408"/>
      <c r="D13" s="408"/>
      <c r="E13" s="409">
        <v>52000</v>
      </c>
      <c r="F13" s="410"/>
      <c r="G13" s="411">
        <v>0.49009200000000003</v>
      </c>
      <c r="H13" s="412">
        <v>25484.784</v>
      </c>
    </row>
    <row r="14" spans="1:8">
      <c r="A14" s="407" t="s">
        <v>135</v>
      </c>
      <c r="B14" s="408" t="s">
        <v>136</v>
      </c>
      <c r="C14" s="408"/>
      <c r="D14" s="408"/>
      <c r="E14" s="409">
        <v>15</v>
      </c>
      <c r="F14" s="410"/>
      <c r="G14" s="411">
        <v>26413.190000000002</v>
      </c>
      <c r="H14" s="412">
        <v>396197.85000000003</v>
      </c>
    </row>
    <row r="15" spans="1:8">
      <c r="A15" s="407" t="s">
        <v>356</v>
      </c>
      <c r="B15" s="408" t="s">
        <v>142</v>
      </c>
      <c r="C15" s="408"/>
      <c r="D15" s="408"/>
      <c r="E15" s="409">
        <v>3880</v>
      </c>
      <c r="F15" s="410"/>
      <c r="G15" s="411">
        <v>337.05</v>
      </c>
      <c r="H15" s="412">
        <v>1307754</v>
      </c>
    </row>
    <row r="16" spans="1:8">
      <c r="A16" s="407" t="s">
        <v>235</v>
      </c>
      <c r="B16" s="408" t="s">
        <v>142</v>
      </c>
      <c r="C16" s="408"/>
      <c r="D16" s="408"/>
      <c r="E16" s="409">
        <v>3000</v>
      </c>
      <c r="F16" s="410"/>
      <c r="G16" s="411">
        <v>193.67678999999998</v>
      </c>
      <c r="H16" s="412">
        <v>581030.37</v>
      </c>
    </row>
    <row r="17" spans="1:8">
      <c r="A17" s="407" t="s">
        <v>309</v>
      </c>
      <c r="B17" s="408" t="s">
        <v>170</v>
      </c>
      <c r="C17" s="408"/>
      <c r="D17" s="408"/>
      <c r="E17" s="409">
        <v>37862</v>
      </c>
      <c r="F17" s="410"/>
      <c r="G17" s="411">
        <v>39.74</v>
      </c>
      <c r="H17" s="412">
        <v>1504635.8800000001</v>
      </c>
    </row>
    <row r="18" spans="1:8">
      <c r="A18" s="407" t="s">
        <v>295</v>
      </c>
      <c r="B18" s="408" t="s">
        <v>170</v>
      </c>
      <c r="C18" s="408"/>
      <c r="D18" s="408"/>
      <c r="E18" s="409">
        <v>90800</v>
      </c>
      <c r="F18" s="410"/>
      <c r="G18" s="411">
        <v>17.079999999999998</v>
      </c>
      <c r="H18" s="412">
        <v>1550863.9999999998</v>
      </c>
    </row>
    <row r="19" spans="1:8">
      <c r="A19" s="407" t="s">
        <v>227</v>
      </c>
      <c r="B19" s="408" t="s">
        <v>142</v>
      </c>
      <c r="C19" s="408"/>
      <c r="D19" s="408"/>
      <c r="E19" s="409">
        <v>6300</v>
      </c>
      <c r="F19" s="410"/>
      <c r="G19" s="411">
        <v>27.36</v>
      </c>
      <c r="H19" s="412">
        <v>172368</v>
      </c>
    </row>
    <row r="20" spans="1:8">
      <c r="A20" s="407" t="s">
        <v>346</v>
      </c>
      <c r="B20" s="408" t="s">
        <v>142</v>
      </c>
      <c r="C20" s="408"/>
      <c r="D20" s="408"/>
      <c r="E20" s="409">
        <v>10100</v>
      </c>
      <c r="F20" s="410"/>
      <c r="G20" s="411">
        <v>32</v>
      </c>
      <c r="H20" s="412">
        <v>323200</v>
      </c>
    </row>
    <row r="21" spans="1:8">
      <c r="A21" s="407" t="s">
        <v>176</v>
      </c>
      <c r="B21" s="408" t="s">
        <v>139</v>
      </c>
      <c r="C21" s="408"/>
      <c r="D21" s="408"/>
      <c r="E21" s="409">
        <v>25500</v>
      </c>
      <c r="F21" s="410"/>
      <c r="G21" s="411">
        <v>14.745919999999998</v>
      </c>
      <c r="H21" s="412">
        <v>376020.95999999996</v>
      </c>
    </row>
    <row r="22" spans="1:8">
      <c r="A22" s="407" t="s">
        <v>166</v>
      </c>
      <c r="B22" s="408" t="s">
        <v>139</v>
      </c>
      <c r="C22" s="408"/>
      <c r="D22" s="408"/>
      <c r="E22" s="409">
        <v>25500</v>
      </c>
      <c r="F22" s="410"/>
      <c r="G22" s="411">
        <v>45.741920000000007</v>
      </c>
      <c r="H22" s="412">
        <v>1166418.9600000002</v>
      </c>
    </row>
    <row r="23" spans="1:8">
      <c r="A23" s="407" t="s">
        <v>138</v>
      </c>
      <c r="B23" s="408" t="s">
        <v>139</v>
      </c>
      <c r="C23" s="408"/>
      <c r="D23" s="408"/>
      <c r="E23" s="409">
        <v>25500</v>
      </c>
      <c r="F23" s="410"/>
      <c r="G23" s="411">
        <v>34.924799999999998</v>
      </c>
      <c r="H23" s="412">
        <v>890582.39999999991</v>
      </c>
    </row>
    <row r="24" spans="1:8">
      <c r="A24" s="407" t="s">
        <v>327</v>
      </c>
      <c r="B24" s="408" t="s">
        <v>22</v>
      </c>
      <c r="C24" s="408"/>
      <c r="D24" s="408"/>
      <c r="E24" s="409">
        <v>43400</v>
      </c>
      <c r="F24" s="410"/>
      <c r="G24" s="411">
        <v>483</v>
      </c>
      <c r="H24" s="412">
        <v>20962200</v>
      </c>
    </row>
    <row r="25" spans="1:8">
      <c r="A25" s="407" t="s">
        <v>310</v>
      </c>
      <c r="B25" s="408" t="s">
        <v>22</v>
      </c>
      <c r="C25" s="408"/>
      <c r="D25" s="408"/>
      <c r="E25" s="409">
        <v>4800</v>
      </c>
      <c r="F25" s="410"/>
      <c r="G25" s="411">
        <v>367</v>
      </c>
      <c r="H25" s="412">
        <v>1761600</v>
      </c>
    </row>
    <row r="26" spans="1:8">
      <c r="A26" s="407" t="s">
        <v>332</v>
      </c>
      <c r="B26" s="408" t="s">
        <v>333</v>
      </c>
      <c r="C26" s="408"/>
      <c r="D26" s="408"/>
      <c r="E26" s="409">
        <v>4550</v>
      </c>
      <c r="F26" s="410"/>
      <c r="G26" s="411">
        <v>2078</v>
      </c>
      <c r="H26" s="412">
        <v>9454900</v>
      </c>
    </row>
    <row r="27" spans="1:8">
      <c r="A27" s="407" t="s">
        <v>265</v>
      </c>
      <c r="B27" s="408" t="s">
        <v>266</v>
      </c>
      <c r="C27" s="408"/>
      <c r="D27" s="408"/>
      <c r="E27" s="409">
        <v>39900</v>
      </c>
      <c r="F27" s="410"/>
      <c r="G27" s="411">
        <v>2.1800000000000002</v>
      </c>
      <c r="H27" s="412">
        <v>86982</v>
      </c>
    </row>
    <row r="28" spans="1:8">
      <c r="A28" s="407" t="s">
        <v>141</v>
      </c>
      <c r="B28" s="408" t="s">
        <v>142</v>
      </c>
      <c r="C28" s="408"/>
      <c r="D28" s="408"/>
      <c r="E28" s="409">
        <v>497</v>
      </c>
      <c r="F28" s="410"/>
      <c r="G28" s="411">
        <v>50649.468000000001</v>
      </c>
      <c r="H28" s="412">
        <v>25172785.596000001</v>
      </c>
    </row>
    <row r="29" spans="1:8">
      <c r="A29" s="407" t="s">
        <v>217</v>
      </c>
      <c r="B29" s="408" t="s">
        <v>22</v>
      </c>
      <c r="C29" s="408"/>
      <c r="D29" s="408"/>
      <c r="E29" s="409">
        <v>9300</v>
      </c>
      <c r="F29" s="410"/>
      <c r="G29" s="411">
        <v>85.449600000000004</v>
      </c>
      <c r="H29" s="412">
        <v>794681.28</v>
      </c>
    </row>
    <row r="30" spans="1:8">
      <c r="A30" s="407" t="s">
        <v>277</v>
      </c>
      <c r="B30" s="408" t="s">
        <v>142</v>
      </c>
      <c r="C30" s="408"/>
      <c r="D30" s="408"/>
      <c r="E30" s="409">
        <v>3500</v>
      </c>
      <c r="F30" s="410"/>
      <c r="G30" s="411">
        <v>126</v>
      </c>
      <c r="H30" s="412">
        <v>441000</v>
      </c>
    </row>
    <row r="31" spans="1:8">
      <c r="A31" s="407" t="s">
        <v>268</v>
      </c>
      <c r="B31" s="408" t="s">
        <v>56</v>
      </c>
      <c r="C31" s="408"/>
      <c r="D31" s="408"/>
      <c r="E31" s="409">
        <v>15900</v>
      </c>
      <c r="F31" s="410"/>
      <c r="G31" s="411">
        <v>218.02179999999998</v>
      </c>
      <c r="H31" s="412">
        <v>3466546.6199999996</v>
      </c>
    </row>
    <row r="32" spans="1:8">
      <c r="A32" s="407" t="s">
        <v>344</v>
      </c>
      <c r="B32" s="408" t="s">
        <v>170</v>
      </c>
      <c r="C32" s="408"/>
      <c r="D32" s="408"/>
      <c r="E32" s="409">
        <v>45990</v>
      </c>
      <c r="F32" s="410"/>
      <c r="G32" s="411">
        <v>3.36</v>
      </c>
      <c r="H32" s="412">
        <v>154526.39999999999</v>
      </c>
    </row>
    <row r="33" spans="1:8">
      <c r="A33" s="407" t="s">
        <v>320</v>
      </c>
      <c r="B33" s="408" t="s">
        <v>321</v>
      </c>
      <c r="C33" s="408"/>
      <c r="D33" s="408"/>
      <c r="E33" s="409">
        <v>46108</v>
      </c>
      <c r="F33" s="410"/>
      <c r="G33" s="411">
        <v>0.36</v>
      </c>
      <c r="H33" s="412">
        <v>16598.88</v>
      </c>
    </row>
    <row r="34" spans="1:8">
      <c r="A34" s="407" t="s">
        <v>322</v>
      </c>
      <c r="B34" s="408" t="s">
        <v>22</v>
      </c>
      <c r="C34" s="408"/>
      <c r="D34" s="408"/>
      <c r="E34" s="409">
        <v>5000</v>
      </c>
      <c r="F34" s="410"/>
      <c r="G34" s="411">
        <v>2</v>
      </c>
      <c r="H34" s="412">
        <v>10000</v>
      </c>
    </row>
    <row r="35" spans="1:8">
      <c r="A35" s="407" t="s">
        <v>247</v>
      </c>
      <c r="B35" s="408" t="s">
        <v>22</v>
      </c>
      <c r="C35" s="408"/>
      <c r="D35" s="408"/>
      <c r="E35" s="409">
        <v>353</v>
      </c>
      <c r="F35" s="410"/>
      <c r="G35" s="411">
        <v>120</v>
      </c>
      <c r="H35" s="412">
        <v>42360</v>
      </c>
    </row>
    <row r="36" spans="1:8">
      <c r="A36" s="407" t="s">
        <v>169</v>
      </c>
      <c r="B36" s="408" t="s">
        <v>170</v>
      </c>
      <c r="C36" s="408"/>
      <c r="D36" s="408"/>
      <c r="E36" s="409">
        <v>8900</v>
      </c>
      <c r="F36" s="410"/>
      <c r="G36" s="411">
        <v>8.1682000000000006</v>
      </c>
      <c r="H36" s="412">
        <v>72696.98000000001</v>
      </c>
    </row>
    <row r="37" spans="1:8">
      <c r="A37" s="407" t="s">
        <v>352</v>
      </c>
      <c r="B37" s="408" t="s">
        <v>22</v>
      </c>
      <c r="C37" s="408"/>
      <c r="D37" s="408"/>
      <c r="E37" s="409">
        <v>1800</v>
      </c>
      <c r="F37" s="410"/>
      <c r="G37" s="411">
        <v>400</v>
      </c>
      <c r="H37" s="412">
        <v>720000</v>
      </c>
    </row>
    <row r="38" spans="1:8">
      <c r="A38" s="407" t="s">
        <v>339</v>
      </c>
      <c r="B38" s="408" t="s">
        <v>340</v>
      </c>
      <c r="C38" s="408"/>
      <c r="D38" s="408"/>
      <c r="E38" s="409">
        <v>42900</v>
      </c>
      <c r="F38" s="410"/>
      <c r="G38" s="411">
        <v>55.024799999999999</v>
      </c>
      <c r="H38" s="412">
        <v>2360563.92</v>
      </c>
    </row>
    <row r="39" spans="1:8">
      <c r="A39" s="407" t="s">
        <v>167</v>
      </c>
      <c r="B39" s="408" t="s">
        <v>139</v>
      </c>
      <c r="C39" s="408"/>
      <c r="D39" s="408"/>
      <c r="E39" s="409">
        <v>33500</v>
      </c>
      <c r="F39" s="410"/>
      <c r="G39" s="411">
        <v>68.612880000000004</v>
      </c>
      <c r="H39" s="412">
        <v>2298531.48</v>
      </c>
    </row>
    <row r="40" spans="1:8">
      <c r="A40" s="407" t="s">
        <v>243</v>
      </c>
      <c r="B40" s="408" t="s">
        <v>22</v>
      </c>
      <c r="C40" s="408"/>
      <c r="D40" s="408"/>
      <c r="E40" s="409">
        <v>2400</v>
      </c>
      <c r="F40" s="410"/>
      <c r="G40" s="411">
        <v>19.2</v>
      </c>
      <c r="H40" s="412">
        <v>46080</v>
      </c>
    </row>
    <row r="41" spans="1:8">
      <c r="A41" s="407" t="s">
        <v>311</v>
      </c>
      <c r="B41" s="408" t="s">
        <v>22</v>
      </c>
      <c r="C41" s="408"/>
      <c r="D41" s="408"/>
      <c r="E41" s="409">
        <v>2700</v>
      </c>
      <c r="F41" s="410"/>
      <c r="G41" s="411">
        <v>91.75</v>
      </c>
      <c r="H41" s="412">
        <v>247725</v>
      </c>
    </row>
    <row r="42" spans="1:8">
      <c r="A42" s="407" t="s">
        <v>238</v>
      </c>
      <c r="B42" s="408" t="s">
        <v>142</v>
      </c>
      <c r="C42" s="408"/>
      <c r="D42" s="408"/>
      <c r="E42" s="409">
        <v>2330</v>
      </c>
      <c r="F42" s="410"/>
      <c r="G42" s="411">
        <v>4068.5</v>
      </c>
      <c r="H42" s="412">
        <v>9479605</v>
      </c>
    </row>
    <row r="43" spans="1:8">
      <c r="A43" s="407" t="s">
        <v>241</v>
      </c>
      <c r="B43" s="408" t="s">
        <v>142</v>
      </c>
      <c r="C43" s="408"/>
      <c r="D43" s="408"/>
      <c r="E43" s="409">
        <v>2330</v>
      </c>
      <c r="F43" s="410"/>
      <c r="G43" s="411">
        <v>3438.8</v>
      </c>
      <c r="H43" s="412">
        <v>8012404</v>
      </c>
    </row>
    <row r="44" spans="1:8">
      <c r="A44" s="407" t="s">
        <v>282</v>
      </c>
      <c r="B44" s="408" t="s">
        <v>142</v>
      </c>
      <c r="C44" s="408"/>
      <c r="D44" s="408"/>
      <c r="E44" s="409">
        <v>2330</v>
      </c>
      <c r="F44" s="410"/>
      <c r="G44" s="411">
        <v>144</v>
      </c>
      <c r="H44" s="412">
        <v>335520</v>
      </c>
    </row>
    <row r="45" spans="1:8">
      <c r="A45" s="407" t="s">
        <v>251</v>
      </c>
      <c r="B45" s="408" t="s">
        <v>142</v>
      </c>
      <c r="C45" s="408"/>
      <c r="D45" s="408"/>
      <c r="E45" s="409">
        <v>2330</v>
      </c>
      <c r="F45" s="410"/>
      <c r="G45" s="411">
        <v>390</v>
      </c>
      <c r="H45" s="412">
        <v>908700</v>
      </c>
    </row>
    <row r="46" spans="1:8">
      <c r="A46" s="407" t="s">
        <v>248</v>
      </c>
      <c r="B46" s="408" t="s">
        <v>142</v>
      </c>
      <c r="C46" s="408"/>
      <c r="D46" s="408"/>
      <c r="E46" s="409">
        <v>13100</v>
      </c>
      <c r="F46" s="410"/>
      <c r="G46" s="411">
        <v>8</v>
      </c>
      <c r="H46" s="412">
        <v>104800</v>
      </c>
    </row>
    <row r="47" spans="1:8">
      <c r="A47" s="407" t="s">
        <v>303</v>
      </c>
      <c r="B47" s="408" t="s">
        <v>22</v>
      </c>
      <c r="C47" s="408"/>
      <c r="D47" s="408"/>
      <c r="E47" s="409">
        <v>33510</v>
      </c>
      <c r="F47" s="410"/>
      <c r="G47" s="411">
        <v>219.15</v>
      </c>
      <c r="H47" s="412">
        <v>7343716.5</v>
      </c>
    </row>
    <row r="48" spans="1:8">
      <c r="A48" s="407" t="s">
        <v>317</v>
      </c>
      <c r="B48" s="408" t="s">
        <v>22</v>
      </c>
      <c r="C48" s="408"/>
      <c r="D48" s="408"/>
      <c r="E48" s="409">
        <v>48135</v>
      </c>
      <c r="F48" s="410"/>
      <c r="G48" s="411">
        <v>25.4</v>
      </c>
      <c r="H48" s="412">
        <v>1222629</v>
      </c>
    </row>
    <row r="49" spans="1:8">
      <c r="A49" s="407" t="s">
        <v>328</v>
      </c>
      <c r="B49" s="408" t="s">
        <v>22</v>
      </c>
      <c r="C49" s="408"/>
      <c r="D49" s="408"/>
      <c r="E49" s="409">
        <v>32700</v>
      </c>
      <c r="F49" s="410"/>
      <c r="G49" s="411">
        <v>244</v>
      </c>
      <c r="H49" s="412">
        <v>7978800</v>
      </c>
    </row>
    <row r="50" spans="1:8">
      <c r="A50" s="407" t="s">
        <v>287</v>
      </c>
      <c r="B50" s="408" t="s">
        <v>288</v>
      </c>
      <c r="C50" s="408"/>
      <c r="D50" s="408"/>
      <c r="E50" s="409">
        <v>850</v>
      </c>
      <c r="F50" s="410"/>
      <c r="G50" s="411">
        <v>20</v>
      </c>
      <c r="H50" s="412">
        <v>17000</v>
      </c>
    </row>
    <row r="51" spans="1:8">
      <c r="A51" s="407" t="s">
        <v>304</v>
      </c>
      <c r="B51" s="408" t="s">
        <v>288</v>
      </c>
      <c r="C51" s="408"/>
      <c r="D51" s="408"/>
      <c r="E51" s="409">
        <v>900</v>
      </c>
      <c r="F51" s="410"/>
      <c r="G51" s="411">
        <v>255.5</v>
      </c>
      <c r="H51" s="412">
        <v>229950</v>
      </c>
    </row>
    <row r="52" spans="1:8">
      <c r="A52" s="407" t="s">
        <v>343</v>
      </c>
      <c r="B52" s="408" t="s">
        <v>288</v>
      </c>
      <c r="C52" s="408"/>
      <c r="D52" s="408"/>
      <c r="E52" s="409">
        <v>900</v>
      </c>
      <c r="F52" s="410"/>
      <c r="G52" s="411">
        <v>118.2</v>
      </c>
      <c r="H52" s="412">
        <v>106380</v>
      </c>
    </row>
    <row r="53" spans="1:8">
      <c r="A53" s="407" t="s">
        <v>249</v>
      </c>
      <c r="B53" s="408" t="s">
        <v>22</v>
      </c>
      <c r="C53" s="408"/>
      <c r="D53" s="408"/>
      <c r="E53" s="409">
        <v>15500</v>
      </c>
      <c r="F53" s="410"/>
      <c r="G53" s="411">
        <v>32</v>
      </c>
      <c r="H53" s="412">
        <v>496000</v>
      </c>
    </row>
    <row r="54" spans="1:8">
      <c r="A54" s="407" t="s">
        <v>271</v>
      </c>
      <c r="B54" s="408" t="s">
        <v>22</v>
      </c>
      <c r="C54" s="408"/>
      <c r="D54" s="408"/>
      <c r="E54" s="409">
        <v>1572</v>
      </c>
      <c r="F54" s="410"/>
      <c r="G54" s="411">
        <v>60.300000000000004</v>
      </c>
      <c r="H54" s="412">
        <v>94791.6</v>
      </c>
    </row>
    <row r="55" spans="1:8">
      <c r="A55" s="407" t="s">
        <v>254</v>
      </c>
      <c r="B55" s="408" t="s">
        <v>22</v>
      </c>
      <c r="C55" s="408"/>
      <c r="D55" s="408"/>
      <c r="E55" s="409">
        <v>4600</v>
      </c>
      <c r="F55" s="410"/>
      <c r="G55" s="411">
        <v>286</v>
      </c>
      <c r="H55" s="412">
        <v>1315600</v>
      </c>
    </row>
    <row r="56" spans="1:8">
      <c r="A56" s="407" t="s">
        <v>255</v>
      </c>
      <c r="B56" s="408" t="s">
        <v>142</v>
      </c>
      <c r="C56" s="408"/>
      <c r="D56" s="408"/>
      <c r="E56" s="409">
        <v>2450</v>
      </c>
      <c r="F56" s="410"/>
      <c r="G56" s="411">
        <v>195</v>
      </c>
      <c r="H56" s="412">
        <v>477750</v>
      </c>
    </row>
    <row r="57" spans="1:8">
      <c r="A57" s="407" t="s">
        <v>289</v>
      </c>
      <c r="B57" s="408" t="s">
        <v>56</v>
      </c>
      <c r="C57" s="408"/>
      <c r="D57" s="408"/>
      <c r="E57" s="409">
        <v>11800</v>
      </c>
      <c r="F57" s="410"/>
      <c r="G57" s="411">
        <v>2123.1</v>
      </c>
      <c r="H57" s="412">
        <v>25052580</v>
      </c>
    </row>
    <row r="58" spans="1:8">
      <c r="A58" s="407" t="s">
        <v>292</v>
      </c>
      <c r="B58" s="408" t="s">
        <v>293</v>
      </c>
      <c r="C58" s="408"/>
      <c r="D58" s="408"/>
      <c r="E58" s="409">
        <v>37500</v>
      </c>
      <c r="F58" s="410"/>
      <c r="G58" s="411">
        <v>4.8950000000000005</v>
      </c>
      <c r="H58" s="412">
        <v>183562.50000000003</v>
      </c>
    </row>
    <row r="59" spans="1:8">
      <c r="A59" s="407" t="s">
        <v>331</v>
      </c>
      <c r="B59" s="408" t="s">
        <v>22</v>
      </c>
      <c r="C59" s="408"/>
      <c r="D59" s="408"/>
      <c r="E59" s="409">
        <v>17000</v>
      </c>
      <c r="F59" s="410"/>
      <c r="G59" s="411">
        <v>158.78500000000003</v>
      </c>
      <c r="H59" s="412">
        <v>2699345.0000000005</v>
      </c>
    </row>
    <row r="60" spans="1:8">
      <c r="A60" s="407" t="s">
        <v>263</v>
      </c>
      <c r="B60" s="408" t="s">
        <v>142</v>
      </c>
      <c r="C60" s="408"/>
      <c r="D60" s="408"/>
      <c r="E60" s="409">
        <v>1120</v>
      </c>
      <c r="F60" s="410"/>
      <c r="G60" s="411">
        <v>654.13080000000002</v>
      </c>
      <c r="H60" s="412">
        <v>732626.49600000004</v>
      </c>
    </row>
    <row r="61" spans="1:8">
      <c r="A61" s="407" t="s">
        <v>329</v>
      </c>
      <c r="B61" s="408" t="s">
        <v>170</v>
      </c>
      <c r="C61" s="408"/>
      <c r="D61" s="408"/>
      <c r="E61" s="409">
        <v>34607</v>
      </c>
      <c r="F61" s="410"/>
      <c r="G61" s="411">
        <v>31.950000000000003</v>
      </c>
      <c r="H61" s="412">
        <v>1105693.6500000001</v>
      </c>
    </row>
    <row r="62" spans="1:8">
      <c r="A62" s="407" t="s">
        <v>274</v>
      </c>
      <c r="B62" s="408" t="s">
        <v>142</v>
      </c>
      <c r="C62" s="408"/>
      <c r="D62" s="408"/>
      <c r="E62" s="409">
        <v>1120</v>
      </c>
      <c r="F62" s="410"/>
      <c r="G62" s="411">
        <v>300</v>
      </c>
      <c r="H62" s="412">
        <v>336000</v>
      </c>
    </row>
    <row r="63" spans="1:8">
      <c r="A63" s="407" t="s">
        <v>184</v>
      </c>
      <c r="B63" s="408" t="s">
        <v>185</v>
      </c>
      <c r="C63" s="408"/>
      <c r="D63" s="408"/>
      <c r="E63" s="409">
        <v>2500</v>
      </c>
      <c r="F63" s="410"/>
      <c r="G63" s="411">
        <v>2.6</v>
      </c>
      <c r="H63" s="412">
        <v>6500</v>
      </c>
    </row>
    <row r="64" spans="1:8">
      <c r="A64" s="407" t="s">
        <v>330</v>
      </c>
      <c r="B64" s="408" t="s">
        <v>183</v>
      </c>
      <c r="C64" s="408"/>
      <c r="D64" s="408"/>
      <c r="E64" s="409">
        <v>2200</v>
      </c>
      <c r="F64" s="410"/>
      <c r="G64" s="411">
        <v>121</v>
      </c>
      <c r="H64" s="412">
        <v>266200</v>
      </c>
    </row>
    <row r="65" spans="1:8">
      <c r="A65" s="407" t="s">
        <v>272</v>
      </c>
      <c r="B65" s="408" t="s">
        <v>183</v>
      </c>
      <c r="C65" s="408"/>
      <c r="D65" s="408"/>
      <c r="E65" s="409">
        <v>2000</v>
      </c>
      <c r="F65" s="410"/>
      <c r="G65" s="411">
        <v>9</v>
      </c>
      <c r="H65" s="412">
        <v>18000</v>
      </c>
    </row>
    <row r="66" spans="1:8">
      <c r="A66" s="407" t="s">
        <v>182</v>
      </c>
      <c r="B66" s="408" t="s">
        <v>183</v>
      </c>
      <c r="C66" s="408"/>
      <c r="D66" s="408"/>
      <c r="E66" s="409">
        <v>2000</v>
      </c>
      <c r="F66" s="410"/>
      <c r="G66" s="411">
        <v>306.45999999999998</v>
      </c>
      <c r="H66" s="412">
        <v>612920</v>
      </c>
    </row>
    <row r="67" spans="1:8">
      <c r="A67" s="407" t="s">
        <v>218</v>
      </c>
      <c r="B67" s="408" t="s">
        <v>183</v>
      </c>
      <c r="C67" s="408"/>
      <c r="D67" s="408"/>
      <c r="E67" s="409">
        <v>2000</v>
      </c>
      <c r="F67" s="410"/>
      <c r="G67" s="411">
        <v>1.3680000000000001</v>
      </c>
      <c r="H67" s="412">
        <v>2736</v>
      </c>
    </row>
    <row r="68" spans="1:8">
      <c r="A68" s="407" t="s">
        <v>237</v>
      </c>
      <c r="B68" s="408" t="s">
        <v>22</v>
      </c>
      <c r="C68" s="408"/>
      <c r="D68" s="408"/>
      <c r="E68" s="409">
        <v>2552</v>
      </c>
      <c r="F68" s="410"/>
      <c r="G68" s="411">
        <v>189.35678999999999</v>
      </c>
      <c r="H68" s="412">
        <v>483238.52807999996</v>
      </c>
    </row>
    <row r="69" spans="1:8">
      <c r="A69" s="407" t="s">
        <v>308</v>
      </c>
      <c r="B69" s="408" t="s">
        <v>22</v>
      </c>
      <c r="C69" s="408"/>
      <c r="D69" s="408"/>
      <c r="E69" s="409">
        <v>8950</v>
      </c>
      <c r="F69" s="410"/>
      <c r="G69" s="411">
        <v>99.75</v>
      </c>
      <c r="H69" s="412">
        <v>892762.5</v>
      </c>
    </row>
    <row r="70" spans="1:8">
      <c r="A70" s="407" t="s">
        <v>307</v>
      </c>
      <c r="B70" s="408" t="s">
        <v>142</v>
      </c>
      <c r="C70" s="408"/>
      <c r="D70" s="408"/>
      <c r="E70" s="409">
        <v>6199</v>
      </c>
      <c r="F70" s="410"/>
      <c r="G70" s="411">
        <v>143.94999999999999</v>
      </c>
      <c r="H70" s="412">
        <v>892346.04999999993</v>
      </c>
    </row>
    <row r="71" spans="1:8">
      <c r="A71" s="407" t="s">
        <v>294</v>
      </c>
      <c r="B71" s="408" t="s">
        <v>142</v>
      </c>
      <c r="C71" s="408"/>
      <c r="D71" s="408"/>
      <c r="E71" s="409">
        <v>6200</v>
      </c>
      <c r="F71" s="410"/>
      <c r="G71" s="411">
        <v>69.400900000000007</v>
      </c>
      <c r="H71" s="412">
        <v>430285.58</v>
      </c>
    </row>
    <row r="72" spans="1:8">
      <c r="A72" s="407" t="s">
        <v>253</v>
      </c>
      <c r="B72" s="408" t="s">
        <v>142</v>
      </c>
      <c r="C72" s="408"/>
      <c r="D72" s="408"/>
      <c r="E72" s="409">
        <v>5876</v>
      </c>
      <c r="F72" s="410"/>
      <c r="G72" s="411">
        <v>52</v>
      </c>
      <c r="H72" s="412">
        <v>305552</v>
      </c>
    </row>
    <row r="73" spans="1:8">
      <c r="A73" s="407" t="s">
        <v>219</v>
      </c>
      <c r="B73" s="408" t="s">
        <v>22</v>
      </c>
      <c r="C73" s="408"/>
      <c r="D73" s="408"/>
      <c r="E73" s="409">
        <v>8000</v>
      </c>
      <c r="F73" s="410"/>
      <c r="G73" s="411">
        <v>979.58660000000009</v>
      </c>
      <c r="H73" s="412">
        <v>7836692.8000000007</v>
      </c>
    </row>
    <row r="74" spans="1:8">
      <c r="A74" s="407" t="s">
        <v>276</v>
      </c>
      <c r="B74" s="408" t="s">
        <v>56</v>
      </c>
      <c r="C74" s="408"/>
      <c r="D74" s="408"/>
      <c r="E74" s="409">
        <v>15300</v>
      </c>
      <c r="F74" s="410"/>
      <c r="G74" s="411">
        <v>63</v>
      </c>
      <c r="H74" s="412">
        <v>963900</v>
      </c>
    </row>
    <row r="75" spans="1:8">
      <c r="A75" s="407" t="s">
        <v>245</v>
      </c>
      <c r="B75" s="408" t="s">
        <v>22</v>
      </c>
      <c r="C75" s="408"/>
      <c r="D75" s="408"/>
      <c r="E75" s="409">
        <v>730</v>
      </c>
      <c r="F75" s="410"/>
      <c r="G75" s="411">
        <v>8320</v>
      </c>
      <c r="H75" s="412">
        <v>6073600</v>
      </c>
    </row>
    <row r="76" spans="1:8">
      <c r="A76" s="407" t="s">
        <v>290</v>
      </c>
      <c r="B76" s="408" t="s">
        <v>170</v>
      </c>
      <c r="C76" s="408"/>
      <c r="D76" s="408"/>
      <c r="E76" s="409">
        <v>16500</v>
      </c>
      <c r="F76" s="410"/>
      <c r="G76" s="411">
        <v>27.65</v>
      </c>
      <c r="H76" s="412">
        <v>456225</v>
      </c>
    </row>
    <row r="77" spans="1:8">
      <c r="A77" s="407" t="s">
        <v>286</v>
      </c>
      <c r="B77" s="408" t="s">
        <v>22</v>
      </c>
      <c r="C77" s="408"/>
      <c r="D77" s="408"/>
      <c r="E77" s="409">
        <v>38060</v>
      </c>
      <c r="F77" s="410"/>
      <c r="G77" s="411">
        <v>0.6</v>
      </c>
      <c r="H77" s="412">
        <v>22836</v>
      </c>
    </row>
    <row r="78" spans="1:8">
      <c r="A78" s="407" t="s">
        <v>312</v>
      </c>
      <c r="B78" s="408" t="s">
        <v>313</v>
      </c>
      <c r="C78" s="408"/>
      <c r="D78" s="408"/>
      <c r="E78" s="409">
        <v>6364</v>
      </c>
      <c r="F78" s="410"/>
      <c r="G78" s="411">
        <v>183.5</v>
      </c>
      <c r="H78" s="412">
        <v>1167794</v>
      </c>
    </row>
    <row r="79" spans="1:8">
      <c r="A79" s="407" t="s">
        <v>225</v>
      </c>
      <c r="B79" s="408" t="s">
        <v>22</v>
      </c>
      <c r="C79" s="408"/>
      <c r="D79" s="408"/>
      <c r="E79" s="409">
        <v>2400</v>
      </c>
      <c r="F79" s="410"/>
      <c r="G79" s="411">
        <v>631.03440000000001</v>
      </c>
      <c r="H79" s="412">
        <v>1514482.56</v>
      </c>
    </row>
    <row r="80" spans="1:8">
      <c r="A80" s="407" t="s">
        <v>306</v>
      </c>
      <c r="B80" s="408" t="s">
        <v>56</v>
      </c>
      <c r="C80" s="408"/>
      <c r="D80" s="408"/>
      <c r="E80" s="409">
        <v>24917</v>
      </c>
      <c r="F80" s="410"/>
      <c r="G80" s="411">
        <v>195.5</v>
      </c>
      <c r="H80" s="412">
        <v>4871273.5</v>
      </c>
    </row>
    <row r="81" spans="1:8">
      <c r="A81" s="407" t="s">
        <v>337</v>
      </c>
      <c r="B81" s="408" t="s">
        <v>170</v>
      </c>
      <c r="C81" s="408"/>
      <c r="D81" s="408"/>
      <c r="E81" s="409">
        <v>42900</v>
      </c>
      <c r="F81" s="410"/>
      <c r="G81" s="411">
        <v>22.927000000000003</v>
      </c>
      <c r="H81" s="412">
        <v>983568.30000000016</v>
      </c>
    </row>
    <row r="82" spans="1:8">
      <c r="A82" s="407" t="s">
        <v>264</v>
      </c>
      <c r="B82" s="408" t="s">
        <v>142</v>
      </c>
      <c r="C82" s="408"/>
      <c r="D82" s="408"/>
      <c r="E82" s="409">
        <v>4400</v>
      </c>
      <c r="F82" s="410"/>
      <c r="G82" s="411">
        <v>43.6</v>
      </c>
      <c r="H82" s="412">
        <v>191840</v>
      </c>
    </row>
    <row r="83" spans="1:8">
      <c r="A83" s="407" t="s">
        <v>228</v>
      </c>
      <c r="B83" s="408" t="s">
        <v>142</v>
      </c>
      <c r="C83" s="408"/>
      <c r="D83" s="408"/>
      <c r="E83" s="409">
        <v>11800</v>
      </c>
      <c r="F83" s="410"/>
      <c r="G83" s="411">
        <v>27.36</v>
      </c>
      <c r="H83" s="412">
        <v>322848</v>
      </c>
    </row>
    <row r="84" spans="1:8">
      <c r="A84" s="407" t="s">
        <v>229</v>
      </c>
      <c r="B84" s="408" t="s">
        <v>142</v>
      </c>
      <c r="C84" s="408"/>
      <c r="D84" s="408"/>
      <c r="E84" s="409">
        <v>6300</v>
      </c>
      <c r="F84" s="410"/>
      <c r="G84" s="411">
        <v>2.7360000000000002</v>
      </c>
      <c r="H84" s="412">
        <v>17236.800000000003</v>
      </c>
    </row>
    <row r="85" spans="1:8">
      <c r="A85" s="407" t="s">
        <v>353</v>
      </c>
      <c r="B85" s="408" t="s">
        <v>22</v>
      </c>
      <c r="C85" s="408"/>
      <c r="D85" s="408"/>
      <c r="E85" s="409">
        <v>89500</v>
      </c>
      <c r="F85" s="410"/>
      <c r="G85" s="411">
        <v>195.50000000000003</v>
      </c>
      <c r="H85" s="412">
        <v>17497250.000000004</v>
      </c>
    </row>
    <row r="86" spans="1:8">
      <c r="A86" s="407" t="s">
        <v>296</v>
      </c>
      <c r="B86" s="408" t="s">
        <v>170</v>
      </c>
      <c r="C86" s="408"/>
      <c r="D86" s="408"/>
      <c r="E86" s="409">
        <v>62320</v>
      </c>
      <c r="F86" s="410"/>
      <c r="G86" s="411">
        <v>62.08</v>
      </c>
      <c r="H86" s="412">
        <v>3868825.6000000001</v>
      </c>
    </row>
    <row r="87" spans="1:8">
      <c r="A87" s="407" t="s">
        <v>359</v>
      </c>
      <c r="B87" s="408" t="s">
        <v>22</v>
      </c>
      <c r="C87" s="408"/>
      <c r="D87" s="408"/>
      <c r="E87" s="409">
        <v>93000</v>
      </c>
      <c r="F87" s="410"/>
      <c r="G87" s="411">
        <v>2.09</v>
      </c>
      <c r="H87" s="412">
        <v>194370</v>
      </c>
    </row>
    <row r="88" spans="1:8">
      <c r="A88" s="407" t="s">
        <v>297</v>
      </c>
      <c r="B88" s="408" t="s">
        <v>22</v>
      </c>
      <c r="C88" s="408"/>
      <c r="D88" s="408"/>
      <c r="E88" s="409">
        <v>50500</v>
      </c>
      <c r="F88" s="410"/>
      <c r="G88" s="411">
        <v>7.59</v>
      </c>
      <c r="H88" s="412">
        <v>383295</v>
      </c>
    </row>
    <row r="89" spans="1:8">
      <c r="A89" s="407" t="s">
        <v>341</v>
      </c>
      <c r="B89" s="408" t="s">
        <v>170</v>
      </c>
      <c r="C89" s="408"/>
      <c r="D89" s="408"/>
      <c r="E89" s="409">
        <v>23000</v>
      </c>
      <c r="F89" s="410"/>
      <c r="G89" s="411">
        <v>22.700000000000003</v>
      </c>
      <c r="H89" s="412">
        <v>522100.00000000006</v>
      </c>
    </row>
    <row r="90" spans="1:8">
      <c r="A90" s="407" t="s">
        <v>299</v>
      </c>
      <c r="B90" s="408" t="s">
        <v>22</v>
      </c>
      <c r="C90" s="408"/>
      <c r="D90" s="408"/>
      <c r="E90" s="409">
        <v>5499</v>
      </c>
      <c r="F90" s="410"/>
      <c r="G90" s="411">
        <v>12</v>
      </c>
      <c r="H90" s="412">
        <v>65988</v>
      </c>
    </row>
    <row r="91" spans="1:8">
      <c r="A91" s="407" t="s">
        <v>298</v>
      </c>
      <c r="B91" s="408" t="s">
        <v>22</v>
      </c>
      <c r="C91" s="408"/>
      <c r="D91" s="408"/>
      <c r="E91" s="409">
        <v>7500</v>
      </c>
      <c r="F91" s="410"/>
      <c r="G91" s="411">
        <v>23.1</v>
      </c>
      <c r="H91" s="412">
        <v>173250</v>
      </c>
    </row>
    <row r="92" spans="1:8">
      <c r="A92" s="407" t="s">
        <v>207</v>
      </c>
      <c r="B92" s="408" t="s">
        <v>22</v>
      </c>
      <c r="C92" s="408"/>
      <c r="D92" s="408"/>
      <c r="E92" s="409">
        <v>300</v>
      </c>
      <c r="F92" s="410"/>
      <c r="G92" s="411">
        <v>26786</v>
      </c>
      <c r="H92" s="412">
        <v>8035800</v>
      </c>
    </row>
    <row r="93" spans="1:8">
      <c r="A93" s="407" t="s">
        <v>208</v>
      </c>
      <c r="B93" s="408" t="s">
        <v>142</v>
      </c>
      <c r="C93" s="408"/>
      <c r="D93" s="408"/>
      <c r="E93" s="409">
        <v>590</v>
      </c>
      <c r="F93" s="410"/>
      <c r="G93" s="411">
        <v>1135</v>
      </c>
      <c r="H93" s="412">
        <v>669650</v>
      </c>
    </row>
    <row r="94" spans="1:8">
      <c r="A94" s="407" t="s">
        <v>180</v>
      </c>
      <c r="B94" s="408" t="s">
        <v>22</v>
      </c>
      <c r="C94" s="408"/>
      <c r="D94" s="408"/>
      <c r="E94" s="409">
        <v>3500</v>
      </c>
      <c r="F94" s="410"/>
      <c r="G94" s="411">
        <v>183.8</v>
      </c>
      <c r="H94" s="412">
        <v>643300</v>
      </c>
    </row>
    <row r="95" spans="1:8">
      <c r="A95" s="407" t="s">
        <v>281</v>
      </c>
      <c r="B95" s="408" t="s">
        <v>22</v>
      </c>
      <c r="C95" s="408"/>
      <c r="D95" s="408"/>
      <c r="E95" s="409">
        <v>600</v>
      </c>
      <c r="F95" s="410"/>
      <c r="G95" s="411">
        <v>3.33</v>
      </c>
      <c r="H95" s="412">
        <v>1998</v>
      </c>
    </row>
    <row r="96" spans="1:8">
      <c r="A96" s="413"/>
      <c r="B96" s="414"/>
      <c r="C96" s="414"/>
      <c r="D96" s="414"/>
      <c r="E96" s="415"/>
      <c r="F96" s="416"/>
      <c r="G96" s="417"/>
      <c r="H96" s="418"/>
    </row>
    <row r="97" spans="1:8">
      <c r="A97" s="419"/>
      <c r="B97" s="420"/>
      <c r="C97" s="420"/>
      <c r="D97" s="420"/>
      <c r="E97" s="421"/>
      <c r="F97" s="422"/>
      <c r="G97" s="423"/>
      <c r="H97" s="424"/>
    </row>
    <row r="98" spans="1:8">
      <c r="A98" s="419"/>
      <c r="B98" s="420"/>
      <c r="C98" s="420"/>
      <c r="D98" s="420"/>
      <c r="E98" s="421"/>
      <c r="F98" s="422"/>
      <c r="G98" s="423"/>
      <c r="H98" s="424"/>
    </row>
    <row r="99" spans="1:8">
      <c r="A99" s="419"/>
      <c r="B99" s="420"/>
      <c r="C99" s="420"/>
      <c r="D99" s="420"/>
      <c r="E99" s="421"/>
      <c r="F99" s="422"/>
      <c r="G99" s="423"/>
      <c r="H99" s="424"/>
    </row>
    <row r="100" spans="1:8" ht="16.5">
      <c r="A100" s="403" t="s">
        <v>146</v>
      </c>
      <c r="H100" s="404">
        <v>94933443.524073601</v>
      </c>
    </row>
    <row r="101" spans="1:8">
      <c r="A101" s="405" t="s">
        <v>21</v>
      </c>
      <c r="B101" s="405" t="s">
        <v>22</v>
      </c>
      <c r="C101" s="406" t="s">
        <v>362</v>
      </c>
      <c r="D101" s="406" t="s">
        <v>362</v>
      </c>
      <c r="E101" s="405" t="s">
        <v>363</v>
      </c>
      <c r="F101" s="406" t="s">
        <v>362</v>
      </c>
      <c r="G101" s="405" t="s">
        <v>23</v>
      </c>
      <c r="H101" s="405" t="s">
        <v>25</v>
      </c>
    </row>
    <row r="102" spans="1:8">
      <c r="A102" s="407" t="s">
        <v>239</v>
      </c>
      <c r="B102" s="408" t="s">
        <v>364</v>
      </c>
      <c r="C102" s="408"/>
      <c r="D102" s="408"/>
      <c r="E102" s="409">
        <v>49504</v>
      </c>
      <c r="F102" s="410"/>
      <c r="G102" s="411">
        <v>30.760980841417638</v>
      </c>
      <c r="H102" s="412">
        <v>1522791.5955735387</v>
      </c>
    </row>
    <row r="103" spans="1:8">
      <c r="A103" s="407" t="s">
        <v>152</v>
      </c>
      <c r="B103" s="408" t="s">
        <v>364</v>
      </c>
      <c r="C103" s="408"/>
      <c r="D103" s="408"/>
      <c r="E103" s="409">
        <v>99000</v>
      </c>
      <c r="F103" s="410"/>
      <c r="G103" s="411">
        <v>20.183234795361841</v>
      </c>
      <c r="H103" s="412">
        <v>1998140.2447408224</v>
      </c>
    </row>
    <row r="104" spans="1:8">
      <c r="A104" s="407" t="s">
        <v>212</v>
      </c>
      <c r="B104" s="408" t="s">
        <v>364</v>
      </c>
      <c r="C104" s="408"/>
      <c r="D104" s="408"/>
      <c r="E104" s="409">
        <v>131912</v>
      </c>
      <c r="F104" s="410"/>
      <c r="G104" s="411">
        <v>200.50860885879979</v>
      </c>
      <c r="H104" s="412">
        <v>26449491.611781999</v>
      </c>
    </row>
    <row r="105" spans="1:8">
      <c r="A105" s="407" t="s">
        <v>335</v>
      </c>
      <c r="B105" s="408" t="s">
        <v>364</v>
      </c>
      <c r="C105" s="408"/>
      <c r="D105" s="408"/>
      <c r="E105" s="409">
        <v>140159</v>
      </c>
      <c r="F105" s="410"/>
      <c r="G105" s="411">
        <v>110.89098307988863</v>
      </c>
      <c r="H105" s="412">
        <v>15542369.29749411</v>
      </c>
    </row>
    <row r="106" spans="1:8">
      <c r="A106" s="407" t="s">
        <v>301</v>
      </c>
      <c r="B106" s="408" t="s">
        <v>364</v>
      </c>
      <c r="C106" s="408"/>
      <c r="D106" s="408"/>
      <c r="E106" s="409">
        <v>140159</v>
      </c>
      <c r="F106" s="410"/>
      <c r="G106" s="411">
        <v>43.227276425702811</v>
      </c>
      <c r="H106" s="412">
        <v>6058691.8365500802</v>
      </c>
    </row>
    <row r="107" spans="1:8">
      <c r="A107" s="407" t="s">
        <v>278</v>
      </c>
      <c r="B107" s="408" t="s">
        <v>364</v>
      </c>
      <c r="C107" s="408"/>
      <c r="D107" s="408"/>
      <c r="E107" s="409">
        <v>148399</v>
      </c>
      <c r="F107" s="410"/>
      <c r="G107" s="411">
        <v>20.1875</v>
      </c>
      <c r="H107" s="412">
        <v>2995804.8125</v>
      </c>
    </row>
    <row r="108" spans="1:8">
      <c r="A108" s="407" t="s">
        <v>334</v>
      </c>
      <c r="B108" s="408" t="s">
        <v>364</v>
      </c>
      <c r="C108" s="408"/>
      <c r="D108" s="408"/>
      <c r="E108" s="409">
        <v>148399</v>
      </c>
      <c r="F108" s="410"/>
      <c r="G108" s="411">
        <v>50.624765654293213</v>
      </c>
      <c r="H108" s="412">
        <v>7512664.5983314589</v>
      </c>
    </row>
    <row r="109" spans="1:8">
      <c r="A109" s="407" t="s">
        <v>300</v>
      </c>
      <c r="B109" s="408" t="s">
        <v>364</v>
      </c>
      <c r="C109" s="408"/>
      <c r="D109" s="408"/>
      <c r="E109" s="409">
        <v>158295</v>
      </c>
      <c r="F109" s="410"/>
      <c r="G109" s="411">
        <v>105.59076605151392</v>
      </c>
      <c r="H109" s="412">
        <v>16714490.312124396</v>
      </c>
    </row>
    <row r="110" spans="1:8">
      <c r="A110" s="407" t="s">
        <v>186</v>
      </c>
      <c r="B110" s="408" t="s">
        <v>364</v>
      </c>
      <c r="C110" s="408"/>
      <c r="D110" s="408"/>
      <c r="E110" s="409">
        <v>181416</v>
      </c>
      <c r="F110" s="410"/>
      <c r="G110" s="411">
        <v>20.784195374957026</v>
      </c>
      <c r="H110" s="412">
        <v>3770585.5881432039</v>
      </c>
    </row>
    <row r="111" spans="1:8">
      <c r="A111" s="407" t="s">
        <v>350</v>
      </c>
      <c r="B111" s="408" t="s">
        <v>364</v>
      </c>
      <c r="C111" s="408"/>
      <c r="D111" s="408"/>
      <c r="E111" s="409">
        <v>226767</v>
      </c>
      <c r="F111" s="410"/>
      <c r="G111" s="411">
        <v>37.500234376464853</v>
      </c>
      <c r="H111" s="412">
        <v>8503815.6488478053</v>
      </c>
    </row>
    <row r="112" spans="1:8">
      <c r="A112" s="407" t="s">
        <v>230</v>
      </c>
      <c r="B112" s="408" t="s">
        <v>364</v>
      </c>
      <c r="C112" s="408"/>
      <c r="D112" s="408"/>
      <c r="E112" s="409">
        <v>230911</v>
      </c>
      <c r="F112" s="410"/>
      <c r="G112" s="411">
        <v>12.991452991452991</v>
      </c>
      <c r="H112" s="412">
        <v>2999869.4017094015</v>
      </c>
    </row>
    <row r="113" spans="1:8">
      <c r="A113" s="407" t="s">
        <v>187</v>
      </c>
      <c r="B113" s="408" t="s">
        <v>364</v>
      </c>
      <c r="C113" s="408"/>
      <c r="D113" s="408"/>
      <c r="E113" s="409">
        <v>367136</v>
      </c>
      <c r="F113" s="410"/>
      <c r="G113" s="411">
        <v>0.48749939062576175</v>
      </c>
      <c r="H113" s="412">
        <v>178978.57627677967</v>
      </c>
    </row>
    <row r="114" spans="1:8">
      <c r="A114" s="407" t="s">
        <v>323</v>
      </c>
      <c r="B114" s="408" t="s">
        <v>199</v>
      </c>
      <c r="C114" s="408"/>
      <c r="D114" s="408"/>
      <c r="E114" s="409">
        <v>10000</v>
      </c>
      <c r="F114" s="410"/>
      <c r="G114" s="411">
        <v>5.7549999999999999</v>
      </c>
      <c r="H114" s="412">
        <v>57550</v>
      </c>
    </row>
    <row r="115" spans="1:8">
      <c r="A115" s="407" t="s">
        <v>315</v>
      </c>
      <c r="B115" s="408" t="s">
        <v>199</v>
      </c>
      <c r="C115" s="408"/>
      <c r="D115" s="408"/>
      <c r="E115" s="409">
        <v>10000</v>
      </c>
      <c r="F115" s="410"/>
      <c r="G115" s="411">
        <v>62.820000000000007</v>
      </c>
      <c r="H115" s="412">
        <v>628200.00000000012</v>
      </c>
    </row>
    <row r="116" spans="1:8">
      <c r="A116" s="413"/>
      <c r="B116" s="414"/>
      <c r="C116" s="414"/>
      <c r="D116" s="414"/>
      <c r="E116" s="415"/>
      <c r="F116" s="416"/>
      <c r="G116" s="417"/>
      <c r="H116" s="418"/>
    </row>
    <row r="117" spans="1:8">
      <c r="A117" s="419"/>
      <c r="B117" s="420"/>
      <c r="C117" s="420"/>
      <c r="D117" s="420"/>
      <c r="E117" s="421"/>
      <c r="F117" s="422"/>
      <c r="G117" s="423"/>
      <c r="H117" s="424"/>
    </row>
    <row r="118" spans="1:8">
      <c r="A118" s="419"/>
      <c r="B118" s="420"/>
      <c r="C118" s="420"/>
      <c r="D118" s="420"/>
      <c r="E118" s="421"/>
      <c r="F118" s="422"/>
      <c r="G118" s="423"/>
      <c r="H118" s="424"/>
    </row>
    <row r="119" spans="1:8">
      <c r="A119" s="419"/>
      <c r="B119" s="420"/>
      <c r="C119" s="420"/>
      <c r="D119" s="420"/>
      <c r="E119" s="421"/>
      <c r="F119" s="422"/>
      <c r="G119" s="423"/>
      <c r="H119" s="424"/>
    </row>
    <row r="120" spans="1:8" ht="16.5">
      <c r="A120" s="403" t="s">
        <v>156</v>
      </c>
      <c r="H120" s="404">
        <v>7748709.526180001</v>
      </c>
    </row>
    <row r="121" spans="1:8">
      <c r="A121" s="405" t="s">
        <v>21</v>
      </c>
      <c r="B121" s="405" t="s">
        <v>22</v>
      </c>
      <c r="C121" s="406" t="s">
        <v>362</v>
      </c>
      <c r="D121" s="406" t="s">
        <v>362</v>
      </c>
      <c r="E121" s="405" t="s">
        <v>363</v>
      </c>
      <c r="F121" s="406" t="s">
        <v>362</v>
      </c>
      <c r="G121" s="405" t="s">
        <v>23</v>
      </c>
      <c r="H121" s="405" t="s">
        <v>25</v>
      </c>
    </row>
    <row r="122" spans="1:8">
      <c r="A122" s="407" t="s">
        <v>213</v>
      </c>
      <c r="B122" s="408" t="s">
        <v>214</v>
      </c>
      <c r="C122" s="408"/>
      <c r="D122" s="408"/>
      <c r="E122" s="409">
        <v>714</v>
      </c>
      <c r="F122" s="410"/>
      <c r="G122" s="411">
        <v>515.52</v>
      </c>
      <c r="H122" s="412">
        <v>368081.27999999997</v>
      </c>
    </row>
    <row r="123" spans="1:8">
      <c r="A123" s="407" t="s">
        <v>258</v>
      </c>
      <c r="B123" s="408" t="s">
        <v>173</v>
      </c>
      <c r="C123" s="408"/>
      <c r="D123" s="408"/>
      <c r="E123" s="409">
        <v>100</v>
      </c>
      <c r="F123" s="410"/>
      <c r="G123" s="411">
        <v>52</v>
      </c>
      <c r="H123" s="412">
        <v>5200</v>
      </c>
    </row>
    <row r="124" spans="1:8">
      <c r="A124" s="407" t="s">
        <v>157</v>
      </c>
      <c r="B124" s="408" t="s">
        <v>199</v>
      </c>
      <c r="C124" s="408"/>
      <c r="D124" s="408"/>
      <c r="E124" s="409"/>
      <c r="F124" s="410"/>
      <c r="G124" s="411"/>
      <c r="H124" s="412">
        <v>4683229.7117799995</v>
      </c>
    </row>
    <row r="125" spans="1:8">
      <c r="A125" s="407" t="s">
        <v>279</v>
      </c>
      <c r="B125" s="408" t="s">
        <v>173</v>
      </c>
      <c r="C125" s="408"/>
      <c r="D125" s="408"/>
      <c r="E125" s="409">
        <v>26000</v>
      </c>
      <c r="F125" s="410"/>
      <c r="G125" s="411">
        <v>0.3</v>
      </c>
      <c r="H125" s="412">
        <v>7800</v>
      </c>
    </row>
    <row r="126" spans="1:8">
      <c r="A126" s="407" t="s">
        <v>324</v>
      </c>
      <c r="B126" s="408" t="s">
        <v>173</v>
      </c>
      <c r="C126" s="408"/>
      <c r="D126" s="408"/>
      <c r="E126" s="409">
        <v>24000</v>
      </c>
      <c r="F126" s="410"/>
      <c r="G126" s="411">
        <v>0.4</v>
      </c>
      <c r="H126" s="412">
        <v>9600</v>
      </c>
    </row>
    <row r="127" spans="1:8">
      <c r="A127" s="407" t="s">
        <v>197</v>
      </c>
      <c r="B127" s="408" t="s">
        <v>198</v>
      </c>
      <c r="C127" s="408"/>
      <c r="D127" s="408"/>
      <c r="E127" s="409">
        <v>85000</v>
      </c>
      <c r="F127" s="410"/>
      <c r="G127" s="411">
        <v>0.52</v>
      </c>
      <c r="H127" s="412">
        <v>44200</v>
      </c>
    </row>
    <row r="128" spans="1:8">
      <c r="A128" s="407" t="s">
        <v>202</v>
      </c>
      <c r="B128" s="408" t="s">
        <v>198</v>
      </c>
      <c r="C128" s="408"/>
      <c r="D128" s="408"/>
      <c r="E128" s="409">
        <v>87000</v>
      </c>
      <c r="F128" s="410"/>
      <c r="G128" s="411">
        <v>5.6999999999999993</v>
      </c>
      <c r="H128" s="412">
        <v>495899.99999999994</v>
      </c>
    </row>
    <row r="129" spans="1:8">
      <c r="A129" s="407" t="s">
        <v>325</v>
      </c>
      <c r="B129" s="408" t="s">
        <v>173</v>
      </c>
      <c r="C129" s="408"/>
      <c r="D129" s="408"/>
      <c r="E129" s="409">
        <v>27000</v>
      </c>
      <c r="F129" s="410"/>
      <c r="G129" s="411">
        <v>30.7</v>
      </c>
      <c r="H129" s="412">
        <v>828900</v>
      </c>
    </row>
    <row r="130" spans="1:8">
      <c r="A130" s="407" t="s">
        <v>232</v>
      </c>
      <c r="B130" s="408" t="s">
        <v>173</v>
      </c>
      <c r="C130" s="408"/>
      <c r="D130" s="408"/>
      <c r="E130" s="409">
        <v>170</v>
      </c>
      <c r="F130" s="410"/>
      <c r="G130" s="411">
        <v>328.32</v>
      </c>
      <c r="H130" s="412">
        <v>55814.400000000001</v>
      </c>
    </row>
    <row r="131" spans="1:8">
      <c r="A131" s="407" t="s">
        <v>231</v>
      </c>
      <c r="B131" s="408" t="s">
        <v>173</v>
      </c>
      <c r="C131" s="408"/>
      <c r="D131" s="408"/>
      <c r="E131" s="409">
        <v>32800</v>
      </c>
      <c r="F131" s="410"/>
      <c r="G131" s="411">
        <v>1.488</v>
      </c>
      <c r="H131" s="412">
        <v>48806.400000000001</v>
      </c>
    </row>
    <row r="132" spans="1:8">
      <c r="A132" s="407" t="s">
        <v>195</v>
      </c>
      <c r="B132" s="408" t="s">
        <v>196</v>
      </c>
      <c r="C132" s="408"/>
      <c r="D132" s="408"/>
      <c r="E132" s="409">
        <v>43500</v>
      </c>
      <c r="F132" s="410"/>
      <c r="G132" s="411">
        <v>6.76</v>
      </c>
      <c r="H132" s="412">
        <v>294060</v>
      </c>
    </row>
    <row r="133" spans="1:8">
      <c r="A133" s="407" t="s">
        <v>222</v>
      </c>
      <c r="B133" s="408" t="s">
        <v>139</v>
      </c>
      <c r="C133" s="408"/>
      <c r="D133" s="408"/>
      <c r="E133" s="409">
        <v>7000</v>
      </c>
      <c r="F133" s="410"/>
      <c r="G133" s="411">
        <v>106.96000000000001</v>
      </c>
      <c r="H133" s="412">
        <v>748720</v>
      </c>
    </row>
    <row r="134" spans="1:8">
      <c r="A134" s="407" t="s">
        <v>172</v>
      </c>
      <c r="B134" s="408" t="s">
        <v>173</v>
      </c>
      <c r="C134" s="408"/>
      <c r="D134" s="408"/>
      <c r="E134" s="409">
        <v>32320</v>
      </c>
      <c r="F134" s="410"/>
      <c r="G134" s="411">
        <v>4.9009200000000002</v>
      </c>
      <c r="H134" s="412">
        <v>158397.73440000002</v>
      </c>
    </row>
    <row r="135" spans="1:8">
      <c r="A135" s="413"/>
      <c r="B135" s="414"/>
      <c r="C135" s="414"/>
      <c r="D135" s="414"/>
      <c r="E135" s="415"/>
      <c r="F135" s="416"/>
      <c r="G135" s="417"/>
      <c r="H135" s="418"/>
    </row>
    <row r="136" spans="1:8">
      <c r="A136" s="419"/>
      <c r="B136" s="420"/>
      <c r="C136" s="420"/>
      <c r="D136" s="420"/>
      <c r="E136" s="421"/>
      <c r="F136" s="422"/>
      <c r="G136" s="423"/>
      <c r="H136" s="424"/>
    </row>
    <row r="137" spans="1:8">
      <c r="A137" s="419"/>
      <c r="B137" s="420"/>
      <c r="C137" s="420"/>
      <c r="D137" s="420"/>
      <c r="E137" s="421"/>
      <c r="F137" s="422"/>
      <c r="G137" s="423"/>
      <c r="H137" s="424"/>
    </row>
    <row r="138" spans="1:8">
      <c r="A138" s="419"/>
      <c r="B138" s="425"/>
      <c r="C138" s="426"/>
      <c r="D138" s="426"/>
      <c r="E138" s="427"/>
      <c r="F138" s="428"/>
      <c r="G138" s="429" t="s">
        <v>365</v>
      </c>
      <c r="H138" s="430">
        <v>307708606.37433368</v>
      </c>
    </row>
  </sheetData>
  <mergeCells count="5">
    <mergeCell ref="A1:B1"/>
    <mergeCell ref="E1:H2"/>
    <mergeCell ref="A2:B2"/>
    <mergeCell ref="A3:F4"/>
    <mergeCell ref="G4:H4"/>
  </mergeCells>
  <conditionalFormatting sqref="H3">
    <cfRule type="cellIs" dxfId="349" priority="1" stopIfTrue="1" operator="equal">
      <formula>0</formula>
    </cfRule>
  </conditionalFormatting>
  <conditionalFormatting sqref="A3">
    <cfRule type="cellIs" dxfId="348" priority="2" stopIfTrue="1" operator="equal">
      <formula>"ESCRIBA AQUÍ EL NOMBRE DE LA OBRA"</formula>
    </cfRule>
  </conditionalFormatting>
  <conditionalFormatting sqref="G3">
    <cfRule type="expression" dxfId="347" priority="3" stopIfTrue="1">
      <formula>$J$7=0</formula>
    </cfRule>
  </conditionalFormatting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3"/>
  <sheetViews>
    <sheetView topLeftCell="K1" workbookViewId="0">
      <pane xSplit="18420" topLeftCell="Q1"/>
      <selection activeCell="R160" sqref="R160"/>
      <selection pane="topRight" activeCell="P1" sqref="P1"/>
    </sheetView>
  </sheetViews>
  <sheetFormatPr baseColWidth="10" defaultRowHeight="12.75"/>
  <cols>
    <col min="1" max="1" width="7" style="721" customWidth="1"/>
    <col min="2" max="2" width="53.5703125" style="722" bestFit="1" customWidth="1"/>
    <col min="3" max="3" width="4.85546875" style="722" bestFit="1" customWidth="1"/>
    <col min="4" max="4" width="9.140625" style="723" bestFit="1" customWidth="1"/>
    <col min="5" max="5" width="9.140625" style="724" bestFit="1" customWidth="1"/>
    <col min="6" max="6" width="12.140625" style="724" customWidth="1"/>
    <col min="7" max="256" width="11.42578125" style="649"/>
    <col min="257" max="257" width="7" style="649" customWidth="1"/>
    <col min="258" max="258" width="53.5703125" style="649" bestFit="1" customWidth="1"/>
    <col min="259" max="259" width="4.85546875" style="649" bestFit="1" customWidth="1"/>
    <col min="260" max="260" width="7.140625" style="649" bestFit="1" customWidth="1"/>
    <col min="261" max="261" width="9.140625" style="649" bestFit="1" customWidth="1"/>
    <col min="262" max="262" width="13.7109375" style="649" bestFit="1" customWidth="1"/>
    <col min="263" max="512" width="11.42578125" style="649"/>
    <col min="513" max="513" width="7" style="649" customWidth="1"/>
    <col min="514" max="514" width="53.5703125" style="649" bestFit="1" customWidth="1"/>
    <col min="515" max="515" width="4.85546875" style="649" bestFit="1" customWidth="1"/>
    <col min="516" max="516" width="7.140625" style="649" bestFit="1" customWidth="1"/>
    <col min="517" max="517" width="9.140625" style="649" bestFit="1" customWidth="1"/>
    <col min="518" max="518" width="13.7109375" style="649" bestFit="1" customWidth="1"/>
    <col min="519" max="768" width="11.42578125" style="649"/>
    <col min="769" max="769" width="7" style="649" customWidth="1"/>
    <col min="770" max="770" width="53.5703125" style="649" bestFit="1" customWidth="1"/>
    <col min="771" max="771" width="4.85546875" style="649" bestFit="1" customWidth="1"/>
    <col min="772" max="772" width="7.140625" style="649" bestFit="1" customWidth="1"/>
    <col min="773" max="773" width="9.140625" style="649" bestFit="1" customWidth="1"/>
    <col min="774" max="774" width="13.7109375" style="649" bestFit="1" customWidth="1"/>
    <col min="775" max="1024" width="11.42578125" style="649"/>
    <col min="1025" max="1025" width="7" style="649" customWidth="1"/>
    <col min="1026" max="1026" width="53.5703125" style="649" bestFit="1" customWidth="1"/>
    <col min="1027" max="1027" width="4.85546875" style="649" bestFit="1" customWidth="1"/>
    <col min="1028" max="1028" width="7.140625" style="649" bestFit="1" customWidth="1"/>
    <col min="1029" max="1029" width="9.140625" style="649" bestFit="1" customWidth="1"/>
    <col min="1030" max="1030" width="13.7109375" style="649" bestFit="1" customWidth="1"/>
    <col min="1031" max="1280" width="11.42578125" style="649"/>
    <col min="1281" max="1281" width="7" style="649" customWidth="1"/>
    <col min="1282" max="1282" width="53.5703125" style="649" bestFit="1" customWidth="1"/>
    <col min="1283" max="1283" width="4.85546875" style="649" bestFit="1" customWidth="1"/>
    <col min="1284" max="1284" width="7.140625" style="649" bestFit="1" customWidth="1"/>
    <col min="1285" max="1285" width="9.140625" style="649" bestFit="1" customWidth="1"/>
    <col min="1286" max="1286" width="13.7109375" style="649" bestFit="1" customWidth="1"/>
    <col min="1287" max="1536" width="11.42578125" style="649"/>
    <col min="1537" max="1537" width="7" style="649" customWidth="1"/>
    <col min="1538" max="1538" width="53.5703125" style="649" bestFit="1" customWidth="1"/>
    <col min="1539" max="1539" width="4.85546875" style="649" bestFit="1" customWidth="1"/>
    <col min="1540" max="1540" width="7.140625" style="649" bestFit="1" customWidth="1"/>
    <col min="1541" max="1541" width="9.140625" style="649" bestFit="1" customWidth="1"/>
    <col min="1542" max="1542" width="13.7109375" style="649" bestFit="1" customWidth="1"/>
    <col min="1543" max="1792" width="11.42578125" style="649"/>
    <col min="1793" max="1793" width="7" style="649" customWidth="1"/>
    <col min="1794" max="1794" width="53.5703125" style="649" bestFit="1" customWidth="1"/>
    <col min="1795" max="1795" width="4.85546875" style="649" bestFit="1" customWidth="1"/>
    <col min="1796" max="1796" width="7.140625" style="649" bestFit="1" customWidth="1"/>
    <col min="1797" max="1797" width="9.140625" style="649" bestFit="1" customWidth="1"/>
    <col min="1798" max="1798" width="13.7109375" style="649" bestFit="1" customWidth="1"/>
    <col min="1799" max="2048" width="11.42578125" style="649"/>
    <col min="2049" max="2049" width="7" style="649" customWidth="1"/>
    <col min="2050" max="2050" width="53.5703125" style="649" bestFit="1" customWidth="1"/>
    <col min="2051" max="2051" width="4.85546875" style="649" bestFit="1" customWidth="1"/>
    <col min="2052" max="2052" width="7.140625" style="649" bestFit="1" customWidth="1"/>
    <col min="2053" max="2053" width="9.140625" style="649" bestFit="1" customWidth="1"/>
    <col min="2054" max="2054" width="13.7109375" style="649" bestFit="1" customWidth="1"/>
    <col min="2055" max="2304" width="11.42578125" style="649"/>
    <col min="2305" max="2305" width="7" style="649" customWidth="1"/>
    <col min="2306" max="2306" width="53.5703125" style="649" bestFit="1" customWidth="1"/>
    <col min="2307" max="2307" width="4.85546875" style="649" bestFit="1" customWidth="1"/>
    <col min="2308" max="2308" width="7.140625" style="649" bestFit="1" customWidth="1"/>
    <col min="2309" max="2309" width="9.140625" style="649" bestFit="1" customWidth="1"/>
    <col min="2310" max="2310" width="13.7109375" style="649" bestFit="1" customWidth="1"/>
    <col min="2311" max="2560" width="11.42578125" style="649"/>
    <col min="2561" max="2561" width="7" style="649" customWidth="1"/>
    <col min="2562" max="2562" width="53.5703125" style="649" bestFit="1" customWidth="1"/>
    <col min="2563" max="2563" width="4.85546875" style="649" bestFit="1" customWidth="1"/>
    <col min="2564" max="2564" width="7.140625" style="649" bestFit="1" customWidth="1"/>
    <col min="2565" max="2565" width="9.140625" style="649" bestFit="1" customWidth="1"/>
    <col min="2566" max="2566" width="13.7109375" style="649" bestFit="1" customWidth="1"/>
    <col min="2567" max="2816" width="11.42578125" style="649"/>
    <col min="2817" max="2817" width="7" style="649" customWidth="1"/>
    <col min="2818" max="2818" width="53.5703125" style="649" bestFit="1" customWidth="1"/>
    <col min="2819" max="2819" width="4.85546875" style="649" bestFit="1" customWidth="1"/>
    <col min="2820" max="2820" width="7.140625" style="649" bestFit="1" customWidth="1"/>
    <col min="2821" max="2821" width="9.140625" style="649" bestFit="1" customWidth="1"/>
    <col min="2822" max="2822" width="13.7109375" style="649" bestFit="1" customWidth="1"/>
    <col min="2823" max="3072" width="11.42578125" style="649"/>
    <col min="3073" max="3073" width="7" style="649" customWidth="1"/>
    <col min="3074" max="3074" width="53.5703125" style="649" bestFit="1" customWidth="1"/>
    <col min="3075" max="3075" width="4.85546875" style="649" bestFit="1" customWidth="1"/>
    <col min="3076" max="3076" width="7.140625" style="649" bestFit="1" customWidth="1"/>
    <col min="3077" max="3077" width="9.140625" style="649" bestFit="1" customWidth="1"/>
    <col min="3078" max="3078" width="13.7109375" style="649" bestFit="1" customWidth="1"/>
    <col min="3079" max="3328" width="11.42578125" style="649"/>
    <col min="3329" max="3329" width="7" style="649" customWidth="1"/>
    <col min="3330" max="3330" width="53.5703125" style="649" bestFit="1" customWidth="1"/>
    <col min="3331" max="3331" width="4.85546875" style="649" bestFit="1" customWidth="1"/>
    <col min="3332" max="3332" width="7.140625" style="649" bestFit="1" customWidth="1"/>
    <col min="3333" max="3333" width="9.140625" style="649" bestFit="1" customWidth="1"/>
    <col min="3334" max="3334" width="13.7109375" style="649" bestFit="1" customWidth="1"/>
    <col min="3335" max="3584" width="11.42578125" style="649"/>
    <col min="3585" max="3585" width="7" style="649" customWidth="1"/>
    <col min="3586" max="3586" width="53.5703125" style="649" bestFit="1" customWidth="1"/>
    <col min="3587" max="3587" width="4.85546875" style="649" bestFit="1" customWidth="1"/>
    <col min="3588" max="3588" width="7.140625" style="649" bestFit="1" customWidth="1"/>
    <col min="3589" max="3589" width="9.140625" style="649" bestFit="1" customWidth="1"/>
    <col min="3590" max="3590" width="13.7109375" style="649" bestFit="1" customWidth="1"/>
    <col min="3591" max="3840" width="11.42578125" style="649"/>
    <col min="3841" max="3841" width="7" style="649" customWidth="1"/>
    <col min="3842" max="3842" width="53.5703125" style="649" bestFit="1" customWidth="1"/>
    <col min="3843" max="3843" width="4.85546875" style="649" bestFit="1" customWidth="1"/>
    <col min="3844" max="3844" width="7.140625" style="649" bestFit="1" customWidth="1"/>
    <col min="3845" max="3845" width="9.140625" style="649" bestFit="1" customWidth="1"/>
    <col min="3846" max="3846" width="13.7109375" style="649" bestFit="1" customWidth="1"/>
    <col min="3847" max="4096" width="11.42578125" style="649"/>
    <col min="4097" max="4097" width="7" style="649" customWidth="1"/>
    <col min="4098" max="4098" width="53.5703125" style="649" bestFit="1" customWidth="1"/>
    <col min="4099" max="4099" width="4.85546875" style="649" bestFit="1" customWidth="1"/>
    <col min="4100" max="4100" width="7.140625" style="649" bestFit="1" customWidth="1"/>
    <col min="4101" max="4101" width="9.140625" style="649" bestFit="1" customWidth="1"/>
    <col min="4102" max="4102" width="13.7109375" style="649" bestFit="1" customWidth="1"/>
    <col min="4103" max="4352" width="11.42578125" style="649"/>
    <col min="4353" max="4353" width="7" style="649" customWidth="1"/>
    <col min="4354" max="4354" width="53.5703125" style="649" bestFit="1" customWidth="1"/>
    <col min="4355" max="4355" width="4.85546875" style="649" bestFit="1" customWidth="1"/>
    <col min="4356" max="4356" width="7.140625" style="649" bestFit="1" customWidth="1"/>
    <col min="4357" max="4357" width="9.140625" style="649" bestFit="1" customWidth="1"/>
    <col min="4358" max="4358" width="13.7109375" style="649" bestFit="1" customWidth="1"/>
    <col min="4359" max="4608" width="11.42578125" style="649"/>
    <col min="4609" max="4609" width="7" style="649" customWidth="1"/>
    <col min="4610" max="4610" width="53.5703125" style="649" bestFit="1" customWidth="1"/>
    <col min="4611" max="4611" width="4.85546875" style="649" bestFit="1" customWidth="1"/>
    <col min="4612" max="4612" width="7.140625" style="649" bestFit="1" customWidth="1"/>
    <col min="4613" max="4613" width="9.140625" style="649" bestFit="1" customWidth="1"/>
    <col min="4614" max="4614" width="13.7109375" style="649" bestFit="1" customWidth="1"/>
    <col min="4615" max="4864" width="11.42578125" style="649"/>
    <col min="4865" max="4865" width="7" style="649" customWidth="1"/>
    <col min="4866" max="4866" width="53.5703125" style="649" bestFit="1" customWidth="1"/>
    <col min="4867" max="4867" width="4.85546875" style="649" bestFit="1" customWidth="1"/>
    <col min="4868" max="4868" width="7.140625" style="649" bestFit="1" customWidth="1"/>
    <col min="4869" max="4869" width="9.140625" style="649" bestFit="1" customWidth="1"/>
    <col min="4870" max="4870" width="13.7109375" style="649" bestFit="1" customWidth="1"/>
    <col min="4871" max="5120" width="11.42578125" style="649"/>
    <col min="5121" max="5121" width="7" style="649" customWidth="1"/>
    <col min="5122" max="5122" width="53.5703125" style="649" bestFit="1" customWidth="1"/>
    <col min="5123" max="5123" width="4.85546875" style="649" bestFit="1" customWidth="1"/>
    <col min="5124" max="5124" width="7.140625" style="649" bestFit="1" customWidth="1"/>
    <col min="5125" max="5125" width="9.140625" style="649" bestFit="1" customWidth="1"/>
    <col min="5126" max="5126" width="13.7109375" style="649" bestFit="1" customWidth="1"/>
    <col min="5127" max="5376" width="11.42578125" style="649"/>
    <col min="5377" max="5377" width="7" style="649" customWidth="1"/>
    <col min="5378" max="5378" width="53.5703125" style="649" bestFit="1" customWidth="1"/>
    <col min="5379" max="5379" width="4.85546875" style="649" bestFit="1" customWidth="1"/>
    <col min="5380" max="5380" width="7.140625" style="649" bestFit="1" customWidth="1"/>
    <col min="5381" max="5381" width="9.140625" style="649" bestFit="1" customWidth="1"/>
    <col min="5382" max="5382" width="13.7109375" style="649" bestFit="1" customWidth="1"/>
    <col min="5383" max="5632" width="11.42578125" style="649"/>
    <col min="5633" max="5633" width="7" style="649" customWidth="1"/>
    <col min="5634" max="5634" width="53.5703125" style="649" bestFit="1" customWidth="1"/>
    <col min="5635" max="5635" width="4.85546875" style="649" bestFit="1" customWidth="1"/>
    <col min="5636" max="5636" width="7.140625" style="649" bestFit="1" customWidth="1"/>
    <col min="5637" max="5637" width="9.140625" style="649" bestFit="1" customWidth="1"/>
    <col min="5638" max="5638" width="13.7109375" style="649" bestFit="1" customWidth="1"/>
    <col min="5639" max="5888" width="11.42578125" style="649"/>
    <col min="5889" max="5889" width="7" style="649" customWidth="1"/>
    <col min="5890" max="5890" width="53.5703125" style="649" bestFit="1" customWidth="1"/>
    <col min="5891" max="5891" width="4.85546875" style="649" bestFit="1" customWidth="1"/>
    <col min="5892" max="5892" width="7.140625" style="649" bestFit="1" customWidth="1"/>
    <col min="5893" max="5893" width="9.140625" style="649" bestFit="1" customWidth="1"/>
    <col min="5894" max="5894" width="13.7109375" style="649" bestFit="1" customWidth="1"/>
    <col min="5895" max="6144" width="11.42578125" style="649"/>
    <col min="6145" max="6145" width="7" style="649" customWidth="1"/>
    <col min="6146" max="6146" width="53.5703125" style="649" bestFit="1" customWidth="1"/>
    <col min="6147" max="6147" width="4.85546875" style="649" bestFit="1" customWidth="1"/>
    <col min="6148" max="6148" width="7.140625" style="649" bestFit="1" customWidth="1"/>
    <col min="6149" max="6149" width="9.140625" style="649" bestFit="1" customWidth="1"/>
    <col min="6150" max="6150" width="13.7109375" style="649" bestFit="1" customWidth="1"/>
    <col min="6151" max="6400" width="11.42578125" style="649"/>
    <col min="6401" max="6401" width="7" style="649" customWidth="1"/>
    <col min="6402" max="6402" width="53.5703125" style="649" bestFit="1" customWidth="1"/>
    <col min="6403" max="6403" width="4.85546875" style="649" bestFit="1" customWidth="1"/>
    <col min="6404" max="6404" width="7.140625" style="649" bestFit="1" customWidth="1"/>
    <col min="6405" max="6405" width="9.140625" style="649" bestFit="1" customWidth="1"/>
    <col min="6406" max="6406" width="13.7109375" style="649" bestFit="1" customWidth="1"/>
    <col min="6407" max="6656" width="11.42578125" style="649"/>
    <col min="6657" max="6657" width="7" style="649" customWidth="1"/>
    <col min="6658" max="6658" width="53.5703125" style="649" bestFit="1" customWidth="1"/>
    <col min="6659" max="6659" width="4.85546875" style="649" bestFit="1" customWidth="1"/>
    <col min="6660" max="6660" width="7.140625" style="649" bestFit="1" customWidth="1"/>
    <col min="6661" max="6661" width="9.140625" style="649" bestFit="1" customWidth="1"/>
    <col min="6662" max="6662" width="13.7109375" style="649" bestFit="1" customWidth="1"/>
    <col min="6663" max="6912" width="11.42578125" style="649"/>
    <col min="6913" max="6913" width="7" style="649" customWidth="1"/>
    <col min="6914" max="6914" width="53.5703125" style="649" bestFit="1" customWidth="1"/>
    <col min="6915" max="6915" width="4.85546875" style="649" bestFit="1" customWidth="1"/>
    <col min="6916" max="6916" width="7.140625" style="649" bestFit="1" customWidth="1"/>
    <col min="6917" max="6917" width="9.140625" style="649" bestFit="1" customWidth="1"/>
    <col min="6918" max="6918" width="13.7109375" style="649" bestFit="1" customWidth="1"/>
    <col min="6919" max="7168" width="11.42578125" style="649"/>
    <col min="7169" max="7169" width="7" style="649" customWidth="1"/>
    <col min="7170" max="7170" width="53.5703125" style="649" bestFit="1" customWidth="1"/>
    <col min="7171" max="7171" width="4.85546875" style="649" bestFit="1" customWidth="1"/>
    <col min="7172" max="7172" width="7.140625" style="649" bestFit="1" customWidth="1"/>
    <col min="7173" max="7173" width="9.140625" style="649" bestFit="1" customWidth="1"/>
    <col min="7174" max="7174" width="13.7109375" style="649" bestFit="1" customWidth="1"/>
    <col min="7175" max="7424" width="11.42578125" style="649"/>
    <col min="7425" max="7425" width="7" style="649" customWidth="1"/>
    <col min="7426" max="7426" width="53.5703125" style="649" bestFit="1" customWidth="1"/>
    <col min="7427" max="7427" width="4.85546875" style="649" bestFit="1" customWidth="1"/>
    <col min="7428" max="7428" width="7.140625" style="649" bestFit="1" customWidth="1"/>
    <col min="7429" max="7429" width="9.140625" style="649" bestFit="1" customWidth="1"/>
    <col min="7430" max="7430" width="13.7109375" style="649" bestFit="1" customWidth="1"/>
    <col min="7431" max="7680" width="11.42578125" style="649"/>
    <col min="7681" max="7681" width="7" style="649" customWidth="1"/>
    <col min="7682" max="7682" width="53.5703125" style="649" bestFit="1" customWidth="1"/>
    <col min="7683" max="7683" width="4.85546875" style="649" bestFit="1" customWidth="1"/>
    <col min="7684" max="7684" width="7.140625" style="649" bestFit="1" customWidth="1"/>
    <col min="7685" max="7685" width="9.140625" style="649" bestFit="1" customWidth="1"/>
    <col min="7686" max="7686" width="13.7109375" style="649" bestFit="1" customWidth="1"/>
    <col min="7687" max="7936" width="11.42578125" style="649"/>
    <col min="7937" max="7937" width="7" style="649" customWidth="1"/>
    <col min="7938" max="7938" width="53.5703125" style="649" bestFit="1" customWidth="1"/>
    <col min="7939" max="7939" width="4.85546875" style="649" bestFit="1" customWidth="1"/>
    <col min="7940" max="7940" width="7.140625" style="649" bestFit="1" customWidth="1"/>
    <col min="7941" max="7941" width="9.140625" style="649" bestFit="1" customWidth="1"/>
    <col min="7942" max="7942" width="13.7109375" style="649" bestFit="1" customWidth="1"/>
    <col min="7943" max="8192" width="11.42578125" style="649"/>
    <col min="8193" max="8193" width="7" style="649" customWidth="1"/>
    <col min="8194" max="8194" width="53.5703125" style="649" bestFit="1" customWidth="1"/>
    <col min="8195" max="8195" width="4.85546875" style="649" bestFit="1" customWidth="1"/>
    <col min="8196" max="8196" width="7.140625" style="649" bestFit="1" customWidth="1"/>
    <col min="8197" max="8197" width="9.140625" style="649" bestFit="1" customWidth="1"/>
    <col min="8198" max="8198" width="13.7109375" style="649" bestFit="1" customWidth="1"/>
    <col min="8199" max="8448" width="11.42578125" style="649"/>
    <col min="8449" max="8449" width="7" style="649" customWidth="1"/>
    <col min="8450" max="8450" width="53.5703125" style="649" bestFit="1" customWidth="1"/>
    <col min="8451" max="8451" width="4.85546875" style="649" bestFit="1" customWidth="1"/>
    <col min="8452" max="8452" width="7.140625" style="649" bestFit="1" customWidth="1"/>
    <col min="8453" max="8453" width="9.140625" style="649" bestFit="1" customWidth="1"/>
    <col min="8454" max="8454" width="13.7109375" style="649" bestFit="1" customWidth="1"/>
    <col min="8455" max="8704" width="11.42578125" style="649"/>
    <col min="8705" max="8705" width="7" style="649" customWidth="1"/>
    <col min="8706" max="8706" width="53.5703125" style="649" bestFit="1" customWidth="1"/>
    <col min="8707" max="8707" width="4.85546875" style="649" bestFit="1" customWidth="1"/>
    <col min="8708" max="8708" width="7.140625" style="649" bestFit="1" customWidth="1"/>
    <col min="8709" max="8709" width="9.140625" style="649" bestFit="1" customWidth="1"/>
    <col min="8710" max="8710" width="13.7109375" style="649" bestFit="1" customWidth="1"/>
    <col min="8711" max="8960" width="11.42578125" style="649"/>
    <col min="8961" max="8961" width="7" style="649" customWidth="1"/>
    <col min="8962" max="8962" width="53.5703125" style="649" bestFit="1" customWidth="1"/>
    <col min="8963" max="8963" width="4.85546875" style="649" bestFit="1" customWidth="1"/>
    <col min="8964" max="8964" width="7.140625" style="649" bestFit="1" customWidth="1"/>
    <col min="8965" max="8965" width="9.140625" style="649" bestFit="1" customWidth="1"/>
    <col min="8966" max="8966" width="13.7109375" style="649" bestFit="1" customWidth="1"/>
    <col min="8967" max="9216" width="11.42578125" style="649"/>
    <col min="9217" max="9217" width="7" style="649" customWidth="1"/>
    <col min="9218" max="9218" width="53.5703125" style="649" bestFit="1" customWidth="1"/>
    <col min="9219" max="9219" width="4.85546875" style="649" bestFit="1" customWidth="1"/>
    <col min="9220" max="9220" width="7.140625" style="649" bestFit="1" customWidth="1"/>
    <col min="9221" max="9221" width="9.140625" style="649" bestFit="1" customWidth="1"/>
    <col min="9222" max="9222" width="13.7109375" style="649" bestFit="1" customWidth="1"/>
    <col min="9223" max="9472" width="11.42578125" style="649"/>
    <col min="9473" max="9473" width="7" style="649" customWidth="1"/>
    <col min="9474" max="9474" width="53.5703125" style="649" bestFit="1" customWidth="1"/>
    <col min="9475" max="9475" width="4.85546875" style="649" bestFit="1" customWidth="1"/>
    <col min="9476" max="9476" width="7.140625" style="649" bestFit="1" customWidth="1"/>
    <col min="9477" max="9477" width="9.140625" style="649" bestFit="1" customWidth="1"/>
    <col min="9478" max="9478" width="13.7109375" style="649" bestFit="1" customWidth="1"/>
    <col min="9479" max="9728" width="11.42578125" style="649"/>
    <col min="9729" max="9729" width="7" style="649" customWidth="1"/>
    <col min="9730" max="9730" width="53.5703125" style="649" bestFit="1" customWidth="1"/>
    <col min="9731" max="9731" width="4.85546875" style="649" bestFit="1" customWidth="1"/>
    <col min="9732" max="9732" width="7.140625" style="649" bestFit="1" customWidth="1"/>
    <col min="9733" max="9733" width="9.140625" style="649" bestFit="1" customWidth="1"/>
    <col min="9734" max="9734" width="13.7109375" style="649" bestFit="1" customWidth="1"/>
    <col min="9735" max="9984" width="11.42578125" style="649"/>
    <col min="9985" max="9985" width="7" style="649" customWidth="1"/>
    <col min="9986" max="9986" width="53.5703125" style="649" bestFit="1" customWidth="1"/>
    <col min="9987" max="9987" width="4.85546875" style="649" bestFit="1" customWidth="1"/>
    <col min="9988" max="9988" width="7.140625" style="649" bestFit="1" customWidth="1"/>
    <col min="9989" max="9989" width="9.140625" style="649" bestFit="1" customWidth="1"/>
    <col min="9990" max="9990" width="13.7109375" style="649" bestFit="1" customWidth="1"/>
    <col min="9991" max="10240" width="11.42578125" style="649"/>
    <col min="10241" max="10241" width="7" style="649" customWidth="1"/>
    <col min="10242" max="10242" width="53.5703125" style="649" bestFit="1" customWidth="1"/>
    <col min="10243" max="10243" width="4.85546875" style="649" bestFit="1" customWidth="1"/>
    <col min="10244" max="10244" width="7.140625" style="649" bestFit="1" customWidth="1"/>
    <col min="10245" max="10245" width="9.140625" style="649" bestFit="1" customWidth="1"/>
    <col min="10246" max="10246" width="13.7109375" style="649" bestFit="1" customWidth="1"/>
    <col min="10247" max="10496" width="11.42578125" style="649"/>
    <col min="10497" max="10497" width="7" style="649" customWidth="1"/>
    <col min="10498" max="10498" width="53.5703125" style="649" bestFit="1" customWidth="1"/>
    <col min="10499" max="10499" width="4.85546875" style="649" bestFit="1" customWidth="1"/>
    <col min="10500" max="10500" width="7.140625" style="649" bestFit="1" customWidth="1"/>
    <col min="10501" max="10501" width="9.140625" style="649" bestFit="1" customWidth="1"/>
    <col min="10502" max="10502" width="13.7109375" style="649" bestFit="1" customWidth="1"/>
    <col min="10503" max="10752" width="11.42578125" style="649"/>
    <col min="10753" max="10753" width="7" style="649" customWidth="1"/>
    <col min="10754" max="10754" width="53.5703125" style="649" bestFit="1" customWidth="1"/>
    <col min="10755" max="10755" width="4.85546875" style="649" bestFit="1" customWidth="1"/>
    <col min="10756" max="10756" width="7.140625" style="649" bestFit="1" customWidth="1"/>
    <col min="10757" max="10757" width="9.140625" style="649" bestFit="1" customWidth="1"/>
    <col min="10758" max="10758" width="13.7109375" style="649" bestFit="1" customWidth="1"/>
    <col min="10759" max="11008" width="11.42578125" style="649"/>
    <col min="11009" max="11009" width="7" style="649" customWidth="1"/>
    <col min="11010" max="11010" width="53.5703125" style="649" bestFit="1" customWidth="1"/>
    <col min="11011" max="11011" width="4.85546875" style="649" bestFit="1" customWidth="1"/>
    <col min="11012" max="11012" width="7.140625" style="649" bestFit="1" customWidth="1"/>
    <col min="11013" max="11013" width="9.140625" style="649" bestFit="1" customWidth="1"/>
    <col min="11014" max="11014" width="13.7109375" style="649" bestFit="1" customWidth="1"/>
    <col min="11015" max="11264" width="11.42578125" style="649"/>
    <col min="11265" max="11265" width="7" style="649" customWidth="1"/>
    <col min="11266" max="11266" width="53.5703125" style="649" bestFit="1" customWidth="1"/>
    <col min="11267" max="11267" width="4.85546875" style="649" bestFit="1" customWidth="1"/>
    <col min="11268" max="11268" width="7.140625" style="649" bestFit="1" customWidth="1"/>
    <col min="11269" max="11269" width="9.140625" style="649" bestFit="1" customWidth="1"/>
    <col min="11270" max="11270" width="13.7109375" style="649" bestFit="1" customWidth="1"/>
    <col min="11271" max="11520" width="11.42578125" style="649"/>
    <col min="11521" max="11521" width="7" style="649" customWidth="1"/>
    <col min="11522" max="11522" width="53.5703125" style="649" bestFit="1" customWidth="1"/>
    <col min="11523" max="11523" width="4.85546875" style="649" bestFit="1" customWidth="1"/>
    <col min="11524" max="11524" width="7.140625" style="649" bestFit="1" customWidth="1"/>
    <col min="11525" max="11525" width="9.140625" style="649" bestFit="1" customWidth="1"/>
    <col min="11526" max="11526" width="13.7109375" style="649" bestFit="1" customWidth="1"/>
    <col min="11527" max="11776" width="11.42578125" style="649"/>
    <col min="11777" max="11777" width="7" style="649" customWidth="1"/>
    <col min="11778" max="11778" width="53.5703125" style="649" bestFit="1" customWidth="1"/>
    <col min="11779" max="11779" width="4.85546875" style="649" bestFit="1" customWidth="1"/>
    <col min="11780" max="11780" width="7.140625" style="649" bestFit="1" customWidth="1"/>
    <col min="11781" max="11781" width="9.140625" style="649" bestFit="1" customWidth="1"/>
    <col min="11782" max="11782" width="13.7109375" style="649" bestFit="1" customWidth="1"/>
    <col min="11783" max="12032" width="11.42578125" style="649"/>
    <col min="12033" max="12033" width="7" style="649" customWidth="1"/>
    <col min="12034" max="12034" width="53.5703125" style="649" bestFit="1" customWidth="1"/>
    <col min="12035" max="12035" width="4.85546875" style="649" bestFit="1" customWidth="1"/>
    <col min="12036" max="12036" width="7.140625" style="649" bestFit="1" customWidth="1"/>
    <col min="12037" max="12037" width="9.140625" style="649" bestFit="1" customWidth="1"/>
    <col min="12038" max="12038" width="13.7109375" style="649" bestFit="1" customWidth="1"/>
    <col min="12039" max="12288" width="11.42578125" style="649"/>
    <col min="12289" max="12289" width="7" style="649" customWidth="1"/>
    <col min="12290" max="12290" width="53.5703125" style="649" bestFit="1" customWidth="1"/>
    <col min="12291" max="12291" width="4.85546875" style="649" bestFit="1" customWidth="1"/>
    <col min="12292" max="12292" width="7.140625" style="649" bestFit="1" customWidth="1"/>
    <col min="12293" max="12293" width="9.140625" style="649" bestFit="1" customWidth="1"/>
    <col min="12294" max="12294" width="13.7109375" style="649" bestFit="1" customWidth="1"/>
    <col min="12295" max="12544" width="11.42578125" style="649"/>
    <col min="12545" max="12545" width="7" style="649" customWidth="1"/>
    <col min="12546" max="12546" width="53.5703125" style="649" bestFit="1" customWidth="1"/>
    <col min="12547" max="12547" width="4.85546875" style="649" bestFit="1" customWidth="1"/>
    <col min="12548" max="12548" width="7.140625" style="649" bestFit="1" customWidth="1"/>
    <col min="12549" max="12549" width="9.140625" style="649" bestFit="1" customWidth="1"/>
    <col min="12550" max="12550" width="13.7109375" style="649" bestFit="1" customWidth="1"/>
    <col min="12551" max="12800" width="11.42578125" style="649"/>
    <col min="12801" max="12801" width="7" style="649" customWidth="1"/>
    <col min="12802" max="12802" width="53.5703125" style="649" bestFit="1" customWidth="1"/>
    <col min="12803" max="12803" width="4.85546875" style="649" bestFit="1" customWidth="1"/>
    <col min="12804" max="12804" width="7.140625" style="649" bestFit="1" customWidth="1"/>
    <col min="12805" max="12805" width="9.140625" style="649" bestFit="1" customWidth="1"/>
    <col min="12806" max="12806" width="13.7109375" style="649" bestFit="1" customWidth="1"/>
    <col min="12807" max="13056" width="11.42578125" style="649"/>
    <col min="13057" max="13057" width="7" style="649" customWidth="1"/>
    <col min="13058" max="13058" width="53.5703125" style="649" bestFit="1" customWidth="1"/>
    <col min="13059" max="13059" width="4.85546875" style="649" bestFit="1" customWidth="1"/>
    <col min="13060" max="13060" width="7.140625" style="649" bestFit="1" customWidth="1"/>
    <col min="13061" max="13061" width="9.140625" style="649" bestFit="1" customWidth="1"/>
    <col min="13062" max="13062" width="13.7109375" style="649" bestFit="1" customWidth="1"/>
    <col min="13063" max="13312" width="11.42578125" style="649"/>
    <col min="13313" max="13313" width="7" style="649" customWidth="1"/>
    <col min="13314" max="13314" width="53.5703125" style="649" bestFit="1" customWidth="1"/>
    <col min="13315" max="13315" width="4.85546875" style="649" bestFit="1" customWidth="1"/>
    <col min="13316" max="13316" width="7.140625" style="649" bestFit="1" customWidth="1"/>
    <col min="13317" max="13317" width="9.140625" style="649" bestFit="1" customWidth="1"/>
    <col min="13318" max="13318" width="13.7109375" style="649" bestFit="1" customWidth="1"/>
    <col min="13319" max="13568" width="11.42578125" style="649"/>
    <col min="13569" max="13569" width="7" style="649" customWidth="1"/>
    <col min="13570" max="13570" width="53.5703125" style="649" bestFit="1" customWidth="1"/>
    <col min="13571" max="13571" width="4.85546875" style="649" bestFit="1" customWidth="1"/>
    <col min="13572" max="13572" width="7.140625" style="649" bestFit="1" customWidth="1"/>
    <col min="13573" max="13573" width="9.140625" style="649" bestFit="1" customWidth="1"/>
    <col min="13574" max="13574" width="13.7109375" style="649" bestFit="1" customWidth="1"/>
    <col min="13575" max="13824" width="11.42578125" style="649"/>
    <col min="13825" max="13825" width="7" style="649" customWidth="1"/>
    <col min="13826" max="13826" width="53.5703125" style="649" bestFit="1" customWidth="1"/>
    <col min="13827" max="13827" width="4.85546875" style="649" bestFit="1" customWidth="1"/>
    <col min="13828" max="13828" width="7.140625" style="649" bestFit="1" customWidth="1"/>
    <col min="13829" max="13829" width="9.140625" style="649" bestFit="1" customWidth="1"/>
    <col min="13830" max="13830" width="13.7109375" style="649" bestFit="1" customWidth="1"/>
    <col min="13831" max="14080" width="11.42578125" style="649"/>
    <col min="14081" max="14081" width="7" style="649" customWidth="1"/>
    <col min="14082" max="14082" width="53.5703125" style="649" bestFit="1" customWidth="1"/>
    <col min="14083" max="14083" width="4.85546875" style="649" bestFit="1" customWidth="1"/>
    <col min="14084" max="14084" width="7.140625" style="649" bestFit="1" customWidth="1"/>
    <col min="14085" max="14085" width="9.140625" style="649" bestFit="1" customWidth="1"/>
    <col min="14086" max="14086" width="13.7109375" style="649" bestFit="1" customWidth="1"/>
    <col min="14087" max="14336" width="11.42578125" style="649"/>
    <col min="14337" max="14337" width="7" style="649" customWidth="1"/>
    <col min="14338" max="14338" width="53.5703125" style="649" bestFit="1" customWidth="1"/>
    <col min="14339" max="14339" width="4.85546875" style="649" bestFit="1" customWidth="1"/>
    <col min="14340" max="14340" width="7.140625" style="649" bestFit="1" customWidth="1"/>
    <col min="14341" max="14341" width="9.140625" style="649" bestFit="1" customWidth="1"/>
    <col min="14342" max="14342" width="13.7109375" style="649" bestFit="1" customWidth="1"/>
    <col min="14343" max="14592" width="11.42578125" style="649"/>
    <col min="14593" max="14593" width="7" style="649" customWidth="1"/>
    <col min="14594" max="14594" width="53.5703125" style="649" bestFit="1" customWidth="1"/>
    <col min="14595" max="14595" width="4.85546875" style="649" bestFit="1" customWidth="1"/>
    <col min="14596" max="14596" width="7.140625" style="649" bestFit="1" customWidth="1"/>
    <col min="14597" max="14597" width="9.140625" style="649" bestFit="1" customWidth="1"/>
    <col min="14598" max="14598" width="13.7109375" style="649" bestFit="1" customWidth="1"/>
    <col min="14599" max="14848" width="11.42578125" style="649"/>
    <col min="14849" max="14849" width="7" style="649" customWidth="1"/>
    <col min="14850" max="14850" width="53.5703125" style="649" bestFit="1" customWidth="1"/>
    <col min="14851" max="14851" width="4.85546875" style="649" bestFit="1" customWidth="1"/>
    <col min="14852" max="14852" width="7.140625" style="649" bestFit="1" customWidth="1"/>
    <col min="14853" max="14853" width="9.140625" style="649" bestFit="1" customWidth="1"/>
    <col min="14854" max="14854" width="13.7109375" style="649" bestFit="1" customWidth="1"/>
    <col min="14855" max="15104" width="11.42578125" style="649"/>
    <col min="15105" max="15105" width="7" style="649" customWidth="1"/>
    <col min="15106" max="15106" width="53.5703125" style="649" bestFit="1" customWidth="1"/>
    <col min="15107" max="15107" width="4.85546875" style="649" bestFit="1" customWidth="1"/>
    <col min="15108" max="15108" width="7.140625" style="649" bestFit="1" customWidth="1"/>
    <col min="15109" max="15109" width="9.140625" style="649" bestFit="1" customWidth="1"/>
    <col min="15110" max="15110" width="13.7109375" style="649" bestFit="1" customWidth="1"/>
    <col min="15111" max="15360" width="11.42578125" style="649"/>
    <col min="15361" max="15361" width="7" style="649" customWidth="1"/>
    <col min="15362" max="15362" width="53.5703125" style="649" bestFit="1" customWidth="1"/>
    <col min="15363" max="15363" width="4.85546875" style="649" bestFit="1" customWidth="1"/>
    <col min="15364" max="15364" width="7.140625" style="649" bestFit="1" customWidth="1"/>
    <col min="15365" max="15365" width="9.140625" style="649" bestFit="1" customWidth="1"/>
    <col min="15366" max="15366" width="13.7109375" style="649" bestFit="1" customWidth="1"/>
    <col min="15367" max="15616" width="11.42578125" style="649"/>
    <col min="15617" max="15617" width="7" style="649" customWidth="1"/>
    <col min="15618" max="15618" width="53.5703125" style="649" bestFit="1" customWidth="1"/>
    <col min="15619" max="15619" width="4.85546875" style="649" bestFit="1" customWidth="1"/>
    <col min="15620" max="15620" width="7.140625" style="649" bestFit="1" customWidth="1"/>
    <col min="15621" max="15621" width="9.140625" style="649" bestFit="1" customWidth="1"/>
    <col min="15622" max="15622" width="13.7109375" style="649" bestFit="1" customWidth="1"/>
    <col min="15623" max="15872" width="11.42578125" style="649"/>
    <col min="15873" max="15873" width="7" style="649" customWidth="1"/>
    <col min="15874" max="15874" width="53.5703125" style="649" bestFit="1" customWidth="1"/>
    <col min="15875" max="15875" width="4.85546875" style="649" bestFit="1" customWidth="1"/>
    <col min="15876" max="15876" width="7.140625" style="649" bestFit="1" customWidth="1"/>
    <col min="15877" max="15877" width="9.140625" style="649" bestFit="1" customWidth="1"/>
    <col min="15878" max="15878" width="13.7109375" style="649" bestFit="1" customWidth="1"/>
    <col min="15879" max="16128" width="11.42578125" style="649"/>
    <col min="16129" max="16129" width="7" style="649" customWidth="1"/>
    <col min="16130" max="16130" width="53.5703125" style="649" bestFit="1" customWidth="1"/>
    <col min="16131" max="16131" width="4.85546875" style="649" bestFit="1" customWidth="1"/>
    <col min="16132" max="16132" width="7.140625" style="649" bestFit="1" customWidth="1"/>
    <col min="16133" max="16133" width="9.140625" style="649" bestFit="1" customWidth="1"/>
    <col min="16134" max="16134" width="13.7109375" style="649" bestFit="1" customWidth="1"/>
    <col min="16135" max="16384" width="11.42578125" style="649"/>
  </cols>
  <sheetData>
    <row r="1" spans="1:8" s="725" customFormat="1">
      <c r="A1" s="1931" t="s">
        <v>485</v>
      </c>
      <c r="B1" s="1931"/>
      <c r="C1" s="1931"/>
      <c r="D1" s="1931"/>
      <c r="E1" s="1931"/>
      <c r="F1" s="1931"/>
    </row>
    <row r="2" spans="1:8" s="725" customFormat="1">
      <c r="A2" s="1931" t="s">
        <v>486</v>
      </c>
      <c r="B2" s="1931"/>
      <c r="C2" s="1931"/>
      <c r="D2" s="1931"/>
      <c r="E2" s="1931"/>
      <c r="F2" s="1931"/>
    </row>
    <row r="3" spans="1:8" s="725" customFormat="1">
      <c r="A3" s="1931" t="str">
        <f>[1]Resumen!$A$11</f>
        <v>MUNICIPIO DE SANTANDER DE QUILICHAO - CAUCA</v>
      </c>
      <c r="B3" s="1931"/>
      <c r="C3" s="1931"/>
      <c r="D3" s="1931"/>
      <c r="E3" s="1931"/>
      <c r="F3" s="1931"/>
    </row>
    <row r="4" spans="1:8" s="725" customFormat="1">
      <c r="A4" s="1930" t="s">
        <v>498</v>
      </c>
      <c r="B4" s="1930"/>
      <c r="C4" s="1930"/>
      <c r="D4" s="1930"/>
      <c r="E4" s="1930"/>
      <c r="F4" s="1930"/>
    </row>
    <row r="5" spans="1:8" s="725" customFormat="1" ht="13.5" thickBot="1"/>
    <row r="6" spans="1:8" ht="17.25" customHeight="1" thickTop="1" thickBot="1">
      <c r="A6" s="650" t="s">
        <v>561</v>
      </c>
      <c r="B6" s="651" t="s">
        <v>562</v>
      </c>
      <c r="C6" s="651" t="s">
        <v>22</v>
      </c>
      <c r="D6" s="652" t="s">
        <v>563</v>
      </c>
      <c r="E6" s="653" t="s">
        <v>564</v>
      </c>
      <c r="F6" s="654" t="s">
        <v>565</v>
      </c>
    </row>
    <row r="7" spans="1:8" ht="13.5" thickTop="1">
      <c r="A7" s="655">
        <v>1</v>
      </c>
      <c r="B7" s="656" t="s">
        <v>566</v>
      </c>
      <c r="C7" s="657"/>
      <c r="D7" s="658"/>
      <c r="E7" s="659"/>
      <c r="F7" s="660"/>
    </row>
    <row r="8" spans="1:8">
      <c r="A8" s="661">
        <v>1.1000000000000001</v>
      </c>
      <c r="B8" s="662" t="s">
        <v>567</v>
      </c>
      <c r="C8" s="663" t="s">
        <v>56</v>
      </c>
      <c r="D8" s="664"/>
      <c r="E8" s="665"/>
      <c r="F8" s="666">
        <f>E8*D8</f>
        <v>0</v>
      </c>
    </row>
    <row r="9" spans="1:8">
      <c r="A9" s="661">
        <v>1.2</v>
      </c>
      <c r="B9" s="662" t="s">
        <v>568</v>
      </c>
      <c r="C9" s="663" t="s">
        <v>906</v>
      </c>
      <c r="D9" s="664"/>
      <c r="E9" s="667"/>
      <c r="F9" s="666">
        <f>E9*D9</f>
        <v>0</v>
      </c>
      <c r="H9" s="668"/>
    </row>
    <row r="10" spans="1:8">
      <c r="A10" s="661"/>
      <c r="B10" s="669" t="s">
        <v>570</v>
      </c>
      <c r="C10" s="663"/>
      <c r="D10" s="664"/>
      <c r="E10" s="667"/>
      <c r="F10" s="670">
        <f>SUM(F8:F9)</f>
        <v>0</v>
      </c>
      <c r="H10" s="668"/>
    </row>
    <row r="11" spans="1:8">
      <c r="A11" s="661"/>
      <c r="B11" s="669"/>
      <c r="C11" s="663"/>
      <c r="D11" s="664"/>
      <c r="E11" s="667"/>
      <c r="F11" s="670"/>
      <c r="H11" s="668"/>
    </row>
    <row r="12" spans="1:8">
      <c r="A12" s="671">
        <v>2</v>
      </c>
      <c r="B12" s="669" t="s">
        <v>571</v>
      </c>
      <c r="C12" s="663"/>
      <c r="D12" s="664"/>
      <c r="E12" s="667"/>
      <c r="F12" s="666"/>
    </row>
    <row r="13" spans="1:8">
      <c r="A13" s="661">
        <v>2.1</v>
      </c>
      <c r="B13" s="672" t="s">
        <v>539</v>
      </c>
      <c r="C13" s="673" t="s">
        <v>500</v>
      </c>
      <c r="D13" s="664">
        <v>2</v>
      </c>
      <c r="E13" s="667"/>
      <c r="F13" s="666">
        <f>E13*D13</f>
        <v>0</v>
      </c>
    </row>
    <row r="14" spans="1:8">
      <c r="A14" s="661">
        <v>2.2000000000000002</v>
      </c>
      <c r="B14" s="674" t="s">
        <v>907</v>
      </c>
      <c r="C14" s="673"/>
      <c r="D14" s="664"/>
      <c r="E14" s="667"/>
      <c r="F14" s="666">
        <f t="shared" ref="F14:F33" si="0">E14*D14</f>
        <v>0</v>
      </c>
    </row>
    <row r="15" spans="1:8">
      <c r="A15" s="661">
        <v>2.2999999999999998</v>
      </c>
      <c r="B15" s="672" t="s">
        <v>908</v>
      </c>
      <c r="C15" s="673" t="s">
        <v>540</v>
      </c>
      <c r="D15" s="664">
        <v>12</v>
      </c>
      <c r="E15" s="667"/>
      <c r="F15" s="666">
        <f t="shared" si="0"/>
        <v>0</v>
      </c>
    </row>
    <row r="16" spans="1:8">
      <c r="A16" s="661">
        <v>2.4</v>
      </c>
      <c r="B16" s="674" t="s">
        <v>909</v>
      </c>
      <c r="C16" s="673">
        <v>78</v>
      </c>
      <c r="D16" s="664" t="s">
        <v>500</v>
      </c>
      <c r="E16" s="667"/>
      <c r="F16" s="666" t="e">
        <f t="shared" si="0"/>
        <v>#VALUE!</v>
      </c>
    </row>
    <row r="17" spans="1:6" ht="18" customHeight="1">
      <c r="A17" s="661">
        <f>+A16+0.1</f>
        <v>2.5</v>
      </c>
      <c r="B17" s="674" t="s">
        <v>910</v>
      </c>
      <c r="C17" s="673" t="s">
        <v>500</v>
      </c>
      <c r="D17" s="664">
        <v>41</v>
      </c>
      <c r="E17" s="667"/>
      <c r="F17" s="666">
        <f t="shared" si="0"/>
        <v>0</v>
      </c>
    </row>
    <row r="18" spans="1:6">
      <c r="A18" s="661">
        <f t="shared" ref="A18:A33" si="1">+A17+0.1</f>
        <v>2.6</v>
      </c>
      <c r="B18" s="674" t="s">
        <v>911</v>
      </c>
      <c r="C18" s="673" t="s">
        <v>512</v>
      </c>
      <c r="D18" s="664">
        <v>3</v>
      </c>
      <c r="E18" s="667"/>
      <c r="F18" s="666">
        <f t="shared" si="0"/>
        <v>0</v>
      </c>
    </row>
    <row r="19" spans="1:6">
      <c r="A19" s="661">
        <f t="shared" si="1"/>
        <v>2.7</v>
      </c>
      <c r="B19" s="674" t="s">
        <v>915</v>
      </c>
      <c r="C19" s="673" t="s">
        <v>512</v>
      </c>
      <c r="D19" s="664">
        <v>1</v>
      </c>
      <c r="E19" s="667"/>
      <c r="F19" s="666">
        <f t="shared" si="0"/>
        <v>0</v>
      </c>
    </row>
    <row r="20" spans="1:6">
      <c r="A20" s="661">
        <f t="shared" si="1"/>
        <v>2.8000000000000003</v>
      </c>
      <c r="B20" s="674" t="s">
        <v>916</v>
      </c>
      <c r="C20" s="673" t="s">
        <v>512</v>
      </c>
      <c r="D20" s="664">
        <v>1</v>
      </c>
      <c r="E20" s="667"/>
      <c r="F20" s="666">
        <f t="shared" si="0"/>
        <v>0</v>
      </c>
    </row>
    <row r="21" spans="1:6">
      <c r="A21" s="661">
        <f t="shared" si="1"/>
        <v>2.9000000000000004</v>
      </c>
      <c r="B21" s="674" t="s">
        <v>917</v>
      </c>
      <c r="C21" s="673" t="s">
        <v>512</v>
      </c>
      <c r="D21" s="664">
        <v>3</v>
      </c>
      <c r="E21" s="667"/>
      <c r="F21" s="666">
        <f t="shared" si="0"/>
        <v>0</v>
      </c>
    </row>
    <row r="22" spans="1:6">
      <c r="A22" s="661">
        <f>+A21+0.1</f>
        <v>3.0000000000000004</v>
      </c>
      <c r="B22" s="674" t="s">
        <v>912</v>
      </c>
      <c r="C22" s="673" t="s">
        <v>512</v>
      </c>
      <c r="D22" s="664">
        <v>6</v>
      </c>
      <c r="E22" s="667"/>
      <c r="F22" s="666">
        <f>E22*D22</f>
        <v>0</v>
      </c>
    </row>
    <row r="23" spans="1:6">
      <c r="A23" s="661">
        <f t="shared" si="1"/>
        <v>3.1000000000000005</v>
      </c>
      <c r="B23" s="674" t="s">
        <v>913</v>
      </c>
      <c r="C23" s="673" t="s">
        <v>512</v>
      </c>
      <c r="D23" s="664">
        <v>6</v>
      </c>
      <c r="E23" s="667"/>
      <c r="F23" s="666">
        <f t="shared" si="0"/>
        <v>0</v>
      </c>
    </row>
    <row r="24" spans="1:6">
      <c r="A24" s="661">
        <f t="shared" si="1"/>
        <v>3.2000000000000006</v>
      </c>
      <c r="B24" s="674" t="s">
        <v>914</v>
      </c>
      <c r="C24" s="673" t="s">
        <v>500</v>
      </c>
      <c r="D24" s="664">
        <v>24</v>
      </c>
      <c r="E24" s="667"/>
      <c r="F24" s="666">
        <f t="shared" si="0"/>
        <v>0</v>
      </c>
    </row>
    <row r="25" spans="1:6">
      <c r="A25" s="661">
        <f t="shared" si="1"/>
        <v>3.3000000000000007</v>
      </c>
      <c r="B25" s="674" t="s">
        <v>918</v>
      </c>
      <c r="C25" s="673" t="s">
        <v>512</v>
      </c>
      <c r="D25" s="664">
        <v>6</v>
      </c>
      <c r="E25" s="667"/>
      <c r="F25" s="666">
        <f t="shared" si="0"/>
        <v>0</v>
      </c>
    </row>
    <row r="26" spans="1:6">
      <c r="A26" s="661">
        <f t="shared" si="1"/>
        <v>3.4000000000000008</v>
      </c>
      <c r="B26" s="649" t="s">
        <v>919</v>
      </c>
      <c r="C26" s="649" t="s">
        <v>512</v>
      </c>
      <c r="D26" s="649"/>
      <c r="E26" s="667"/>
      <c r="F26" s="666">
        <f>E26*D27</f>
        <v>0</v>
      </c>
    </row>
    <row r="27" spans="1:6" ht="12.75" customHeight="1">
      <c r="A27" s="661">
        <f t="shared" si="1"/>
        <v>3.5000000000000009</v>
      </c>
      <c r="B27" s="674" t="s">
        <v>920</v>
      </c>
      <c r="C27" s="673">
        <v>6</v>
      </c>
      <c r="D27" s="664">
        <v>2</v>
      </c>
      <c r="E27" s="667"/>
      <c r="F27" s="666" t="e">
        <f>E27*#REF!</f>
        <v>#REF!</v>
      </c>
    </row>
    <row r="28" spans="1:6">
      <c r="A28" s="661">
        <f t="shared" si="1"/>
        <v>3.600000000000001</v>
      </c>
      <c r="B28" s="674"/>
      <c r="C28" s="673"/>
      <c r="D28" s="664"/>
      <c r="E28" s="667"/>
      <c r="F28" s="666"/>
    </row>
    <row r="29" spans="1:6">
      <c r="A29" s="661">
        <f t="shared" si="1"/>
        <v>3.7000000000000011</v>
      </c>
      <c r="B29" s="674"/>
      <c r="C29" s="673"/>
      <c r="D29" s="664"/>
      <c r="E29" s="667"/>
      <c r="F29" s="666">
        <f t="shared" si="0"/>
        <v>0</v>
      </c>
    </row>
    <row r="30" spans="1:6">
      <c r="A30" s="661">
        <f t="shared" si="1"/>
        <v>3.8000000000000012</v>
      </c>
      <c r="B30" s="674"/>
      <c r="C30" s="673"/>
      <c r="D30" s="664"/>
      <c r="E30" s="667"/>
      <c r="F30" s="666">
        <f t="shared" si="0"/>
        <v>0</v>
      </c>
    </row>
    <row r="31" spans="1:6">
      <c r="A31" s="661">
        <f t="shared" si="1"/>
        <v>3.9000000000000012</v>
      </c>
      <c r="B31" s="674"/>
      <c r="C31" s="673"/>
      <c r="D31" s="664"/>
      <c r="E31" s="667"/>
      <c r="F31" s="666"/>
    </row>
    <row r="32" spans="1:6">
      <c r="A32" s="661">
        <f t="shared" si="1"/>
        <v>4.0000000000000009</v>
      </c>
      <c r="B32" s="674"/>
      <c r="C32" s="673" t="s">
        <v>51</v>
      </c>
      <c r="D32" s="664"/>
      <c r="E32" s="667">
        <v>400000</v>
      </c>
      <c r="F32" s="666">
        <f t="shared" si="0"/>
        <v>0</v>
      </c>
    </row>
    <row r="33" spans="1:6">
      <c r="A33" s="661">
        <f t="shared" si="1"/>
        <v>4.1000000000000005</v>
      </c>
      <c r="B33" s="674"/>
      <c r="C33" s="673" t="s">
        <v>579</v>
      </c>
      <c r="D33" s="664"/>
      <c r="E33" s="667">
        <v>6000</v>
      </c>
      <c r="F33" s="666">
        <f t="shared" si="0"/>
        <v>0</v>
      </c>
    </row>
    <row r="34" spans="1:6">
      <c r="A34" s="661"/>
      <c r="B34" s="669" t="s">
        <v>570</v>
      </c>
      <c r="C34" s="663"/>
      <c r="D34" s="664"/>
      <c r="E34" s="667"/>
      <c r="F34" s="670" t="e">
        <f>SUM(F13:F33)</f>
        <v>#VALUE!</v>
      </c>
    </row>
    <row r="35" spans="1:6">
      <c r="A35" s="661"/>
      <c r="B35" s="669"/>
      <c r="C35" s="663"/>
      <c r="D35" s="664"/>
      <c r="E35" s="667"/>
      <c r="F35" s="670"/>
    </row>
    <row r="36" spans="1:6">
      <c r="A36" s="671">
        <v>3</v>
      </c>
      <c r="B36" s="669" t="s">
        <v>475</v>
      </c>
      <c r="C36" s="663"/>
      <c r="D36" s="664"/>
      <c r="E36" s="667"/>
      <c r="F36" s="666"/>
    </row>
    <row r="37" spans="1:6">
      <c r="A37" s="661">
        <v>3.1</v>
      </c>
      <c r="B37" s="672" t="s">
        <v>572</v>
      </c>
      <c r="C37" s="673" t="s">
        <v>51</v>
      </c>
      <c r="D37" s="664"/>
      <c r="E37" s="667">
        <v>3000</v>
      </c>
      <c r="F37" s="666">
        <f t="shared" ref="F37:F60" si="2">E37*D37</f>
        <v>0</v>
      </c>
    </row>
    <row r="38" spans="1:6">
      <c r="A38" s="661">
        <v>3.2</v>
      </c>
      <c r="B38" s="674" t="s">
        <v>573</v>
      </c>
      <c r="C38" s="673" t="s">
        <v>51</v>
      </c>
      <c r="D38" s="664"/>
      <c r="E38" s="667">
        <v>4000</v>
      </c>
      <c r="F38" s="666">
        <f t="shared" si="2"/>
        <v>0</v>
      </c>
    </row>
    <row r="39" spans="1:6">
      <c r="A39" s="661">
        <v>3.3</v>
      </c>
      <c r="B39" s="672" t="s">
        <v>574</v>
      </c>
      <c r="C39" s="673" t="s">
        <v>51</v>
      </c>
      <c r="D39" s="664"/>
      <c r="E39" s="667">
        <v>12000</v>
      </c>
      <c r="F39" s="666">
        <f t="shared" si="2"/>
        <v>0</v>
      </c>
    </row>
    <row r="40" spans="1:6" ht="25.5">
      <c r="A40" s="661">
        <v>3.4</v>
      </c>
      <c r="B40" s="674" t="s">
        <v>575</v>
      </c>
      <c r="C40" s="673" t="s">
        <v>51</v>
      </c>
      <c r="D40" s="664"/>
      <c r="E40" s="667">
        <v>400000</v>
      </c>
      <c r="F40" s="666">
        <f t="shared" si="2"/>
        <v>0</v>
      </c>
    </row>
    <row r="41" spans="1:6">
      <c r="A41" s="661">
        <v>3.5</v>
      </c>
      <c r="B41" s="674" t="s">
        <v>576</v>
      </c>
      <c r="C41" s="673" t="s">
        <v>61</v>
      </c>
      <c r="D41" s="664"/>
      <c r="E41" s="667">
        <v>2500</v>
      </c>
      <c r="F41" s="666">
        <f t="shared" si="2"/>
        <v>0</v>
      </c>
    </row>
    <row r="42" spans="1:6">
      <c r="A42" s="661">
        <v>3.6</v>
      </c>
      <c r="B42" s="674" t="s">
        <v>577</v>
      </c>
      <c r="C42" s="673" t="s">
        <v>483</v>
      </c>
      <c r="D42" s="664"/>
      <c r="E42" s="667">
        <v>15000</v>
      </c>
      <c r="F42" s="666">
        <f t="shared" si="2"/>
        <v>0</v>
      </c>
    </row>
    <row r="43" spans="1:6">
      <c r="A43" s="661">
        <v>3.7</v>
      </c>
      <c r="B43" s="674" t="s">
        <v>578</v>
      </c>
      <c r="C43" s="673"/>
      <c r="D43" s="664"/>
      <c r="E43" s="667"/>
      <c r="F43" s="666"/>
    </row>
    <row r="44" spans="1:6">
      <c r="A44" s="661" t="s">
        <v>582</v>
      </c>
      <c r="B44" s="674" t="s">
        <v>583</v>
      </c>
      <c r="C44" s="673" t="s">
        <v>579</v>
      </c>
      <c r="D44" s="664"/>
      <c r="E44" s="667">
        <v>258912</v>
      </c>
      <c r="F44" s="666">
        <f t="shared" si="2"/>
        <v>0</v>
      </c>
    </row>
    <row r="45" spans="1:6">
      <c r="A45" s="661" t="s">
        <v>584</v>
      </c>
      <c r="B45" s="674" t="s">
        <v>585</v>
      </c>
      <c r="C45" s="673" t="s">
        <v>579</v>
      </c>
      <c r="D45" s="664"/>
      <c r="E45" s="667">
        <v>92568</v>
      </c>
      <c r="F45" s="666">
        <f t="shared" si="2"/>
        <v>0</v>
      </c>
    </row>
    <row r="46" spans="1:6">
      <c r="A46" s="661" t="s">
        <v>586</v>
      </c>
      <c r="B46" s="674" t="s">
        <v>587</v>
      </c>
      <c r="C46" s="673" t="s">
        <v>579</v>
      </c>
      <c r="D46" s="664"/>
      <c r="E46" s="667">
        <v>358092</v>
      </c>
      <c r="F46" s="666">
        <f t="shared" si="2"/>
        <v>0</v>
      </c>
    </row>
    <row r="47" spans="1:6">
      <c r="A47" s="661" t="s">
        <v>588</v>
      </c>
      <c r="B47" s="674" t="s">
        <v>589</v>
      </c>
      <c r="C47" s="673" t="s">
        <v>579</v>
      </c>
      <c r="D47" s="664"/>
      <c r="E47" s="667">
        <v>1603375</v>
      </c>
      <c r="F47" s="666">
        <f t="shared" si="2"/>
        <v>0</v>
      </c>
    </row>
    <row r="48" spans="1:6">
      <c r="A48" s="661" t="s">
        <v>590</v>
      </c>
      <c r="B48" s="674" t="s">
        <v>591</v>
      </c>
      <c r="C48" s="673" t="s">
        <v>579</v>
      </c>
      <c r="D48" s="664"/>
      <c r="E48" s="667">
        <v>3030384</v>
      </c>
      <c r="F48" s="666">
        <f t="shared" si="2"/>
        <v>0</v>
      </c>
    </row>
    <row r="49" spans="1:6">
      <c r="A49" s="661" t="s">
        <v>592</v>
      </c>
      <c r="B49" s="674" t="s">
        <v>593</v>
      </c>
      <c r="C49" s="673" t="s">
        <v>579</v>
      </c>
      <c r="D49" s="664"/>
      <c r="E49" s="667">
        <v>5684650</v>
      </c>
      <c r="F49" s="666">
        <f t="shared" si="2"/>
        <v>0</v>
      </c>
    </row>
    <row r="50" spans="1:6">
      <c r="A50" s="661" t="s">
        <v>594</v>
      </c>
      <c r="B50" s="674" t="s">
        <v>595</v>
      </c>
      <c r="C50" s="673" t="s">
        <v>579</v>
      </c>
      <c r="D50" s="664"/>
      <c r="E50" s="667">
        <v>3068970</v>
      </c>
      <c r="F50" s="666">
        <f t="shared" si="2"/>
        <v>0</v>
      </c>
    </row>
    <row r="51" spans="1:6">
      <c r="A51" s="661" t="s">
        <v>596</v>
      </c>
      <c r="B51" s="674" t="s">
        <v>597</v>
      </c>
      <c r="C51" s="673" t="s">
        <v>579</v>
      </c>
      <c r="D51" s="664"/>
      <c r="E51" s="667">
        <v>7584924</v>
      </c>
      <c r="F51" s="666">
        <f t="shared" si="2"/>
        <v>0</v>
      </c>
    </row>
    <row r="52" spans="1:6">
      <c r="A52" s="661" t="s">
        <v>598</v>
      </c>
      <c r="B52" s="674" t="s">
        <v>599</v>
      </c>
      <c r="C52" s="673" t="s">
        <v>579</v>
      </c>
      <c r="D52" s="664"/>
      <c r="E52" s="667">
        <v>890880</v>
      </c>
      <c r="F52" s="666">
        <f t="shared" si="2"/>
        <v>0</v>
      </c>
    </row>
    <row r="53" spans="1:6">
      <c r="A53" s="661" t="s">
        <v>600</v>
      </c>
      <c r="B53" s="674" t="s">
        <v>601</v>
      </c>
      <c r="C53" s="673" t="s">
        <v>579</v>
      </c>
      <c r="D53" s="664"/>
      <c r="E53" s="667">
        <v>3016464</v>
      </c>
      <c r="F53" s="666">
        <f t="shared" si="2"/>
        <v>0</v>
      </c>
    </row>
    <row r="54" spans="1:6">
      <c r="A54" s="661">
        <v>3.9</v>
      </c>
      <c r="B54" s="674" t="s">
        <v>580</v>
      </c>
      <c r="C54" s="673" t="s">
        <v>579</v>
      </c>
      <c r="D54" s="664"/>
      <c r="E54" s="667"/>
      <c r="F54" s="666">
        <f t="shared" si="2"/>
        <v>0</v>
      </c>
    </row>
    <row r="55" spans="1:6" ht="38.25">
      <c r="A55" s="661" t="s">
        <v>602</v>
      </c>
      <c r="B55" s="674" t="s">
        <v>603</v>
      </c>
      <c r="C55" s="673" t="s">
        <v>579</v>
      </c>
      <c r="D55" s="664"/>
      <c r="E55" s="667">
        <v>4056343</v>
      </c>
      <c r="F55" s="666">
        <f t="shared" si="2"/>
        <v>0</v>
      </c>
    </row>
    <row r="56" spans="1:6" ht="38.25">
      <c r="A56" s="661" t="s">
        <v>604</v>
      </c>
      <c r="B56" s="674" t="s">
        <v>605</v>
      </c>
      <c r="C56" s="673" t="s">
        <v>579</v>
      </c>
      <c r="D56" s="664"/>
      <c r="E56" s="667">
        <v>5049620</v>
      </c>
      <c r="F56" s="666">
        <f t="shared" si="2"/>
        <v>0</v>
      </c>
    </row>
    <row r="57" spans="1:6">
      <c r="A57" s="675">
        <v>3.1</v>
      </c>
      <c r="B57" s="674" t="s">
        <v>581</v>
      </c>
      <c r="C57" s="673"/>
      <c r="D57" s="664"/>
      <c r="E57" s="667"/>
      <c r="F57" s="666"/>
    </row>
    <row r="58" spans="1:6">
      <c r="A58" s="661" t="s">
        <v>606</v>
      </c>
      <c r="B58" s="674" t="s">
        <v>607</v>
      </c>
      <c r="C58" s="673" t="s">
        <v>579</v>
      </c>
      <c r="D58" s="664"/>
      <c r="E58" s="667">
        <v>61033</v>
      </c>
      <c r="F58" s="666">
        <f t="shared" si="2"/>
        <v>0</v>
      </c>
    </row>
    <row r="59" spans="1:6">
      <c r="A59" s="661" t="s">
        <v>608</v>
      </c>
      <c r="B59" s="674" t="s">
        <v>609</v>
      </c>
      <c r="C59" s="673" t="s">
        <v>579</v>
      </c>
      <c r="D59" s="664"/>
      <c r="E59" s="667">
        <v>8000</v>
      </c>
      <c r="F59" s="666">
        <f t="shared" si="2"/>
        <v>0</v>
      </c>
    </row>
    <row r="60" spans="1:6">
      <c r="A60" s="661" t="s">
        <v>610</v>
      </c>
      <c r="B60" s="672" t="s">
        <v>611</v>
      </c>
      <c r="C60" s="663" t="s">
        <v>483</v>
      </c>
      <c r="D60" s="664"/>
      <c r="E60" s="667">
        <v>38000</v>
      </c>
      <c r="F60" s="666">
        <f t="shared" si="2"/>
        <v>0</v>
      </c>
    </row>
    <row r="61" spans="1:6">
      <c r="A61" s="661"/>
      <c r="B61" s="669" t="s">
        <v>570</v>
      </c>
      <c r="C61" s="663"/>
      <c r="D61" s="664"/>
      <c r="E61" s="667"/>
      <c r="F61" s="670">
        <f>SUM(F37:F60)</f>
        <v>0</v>
      </c>
    </row>
    <row r="62" spans="1:6">
      <c r="A62" s="661"/>
      <c r="B62" s="669"/>
      <c r="C62" s="663"/>
      <c r="D62" s="664"/>
      <c r="E62" s="667"/>
      <c r="F62" s="670"/>
    </row>
    <row r="63" spans="1:6">
      <c r="A63" s="671">
        <v>4</v>
      </c>
      <c r="B63" s="669" t="s">
        <v>533</v>
      </c>
      <c r="C63" s="663"/>
      <c r="D63" s="664"/>
      <c r="E63" s="667"/>
      <c r="F63" s="666"/>
    </row>
    <row r="64" spans="1:6">
      <c r="A64" s="661">
        <v>4.0999999999999996</v>
      </c>
      <c r="B64" s="672" t="s">
        <v>572</v>
      </c>
      <c r="C64" s="673" t="s">
        <v>51</v>
      </c>
      <c r="D64" s="664"/>
      <c r="E64" s="667">
        <v>3000</v>
      </c>
      <c r="F64" s="666">
        <f t="shared" ref="F64:F85" si="3">E64*D64</f>
        <v>0</v>
      </c>
    </row>
    <row r="65" spans="1:6">
      <c r="A65" s="661">
        <v>4.2</v>
      </c>
      <c r="B65" s="674" t="s">
        <v>573</v>
      </c>
      <c r="C65" s="673" t="s">
        <v>51</v>
      </c>
      <c r="D65" s="664"/>
      <c r="E65" s="667">
        <v>4000</v>
      </c>
      <c r="F65" s="666">
        <f t="shared" si="3"/>
        <v>0</v>
      </c>
    </row>
    <row r="66" spans="1:6">
      <c r="A66" s="661">
        <v>4.3</v>
      </c>
      <c r="B66" s="672" t="s">
        <v>574</v>
      </c>
      <c r="C66" s="673" t="s">
        <v>51</v>
      </c>
      <c r="D66" s="664"/>
      <c r="E66" s="667">
        <v>12000</v>
      </c>
      <c r="F66" s="666">
        <f t="shared" si="3"/>
        <v>0</v>
      </c>
    </row>
    <row r="67" spans="1:6" ht="25.5">
      <c r="A67" s="661">
        <v>4.4000000000000004</v>
      </c>
      <c r="B67" s="674" t="s">
        <v>575</v>
      </c>
      <c r="C67" s="673" t="s">
        <v>51</v>
      </c>
      <c r="D67" s="664"/>
      <c r="E67" s="667">
        <v>400000</v>
      </c>
      <c r="F67" s="666">
        <f t="shared" si="3"/>
        <v>0</v>
      </c>
    </row>
    <row r="68" spans="1:6">
      <c r="A68" s="661">
        <v>4.5</v>
      </c>
      <c r="B68" s="674" t="s">
        <v>576</v>
      </c>
      <c r="C68" s="673" t="s">
        <v>61</v>
      </c>
      <c r="D68" s="664"/>
      <c r="E68" s="667">
        <v>2500</v>
      </c>
      <c r="F68" s="666">
        <f t="shared" si="3"/>
        <v>0</v>
      </c>
    </row>
    <row r="69" spans="1:6">
      <c r="A69" s="661">
        <v>4.5999999999999996</v>
      </c>
      <c r="B69" s="674" t="s">
        <v>577</v>
      </c>
      <c r="C69" s="673" t="s">
        <v>483</v>
      </c>
      <c r="D69" s="664"/>
      <c r="E69" s="667">
        <v>15000</v>
      </c>
      <c r="F69" s="666">
        <f t="shared" si="3"/>
        <v>0</v>
      </c>
    </row>
    <row r="70" spans="1:6">
      <c r="A70" s="661">
        <v>4.7</v>
      </c>
      <c r="B70" s="674" t="s">
        <v>578</v>
      </c>
      <c r="C70" s="663"/>
      <c r="D70" s="664"/>
      <c r="E70" s="667"/>
      <c r="F70" s="666"/>
    </row>
    <row r="71" spans="1:6">
      <c r="A71" s="661" t="s">
        <v>612</v>
      </c>
      <c r="B71" s="674" t="s">
        <v>613</v>
      </c>
      <c r="C71" s="673" t="s">
        <v>579</v>
      </c>
      <c r="D71" s="664"/>
      <c r="E71" s="667">
        <v>60000</v>
      </c>
      <c r="F71" s="666">
        <f t="shared" si="3"/>
        <v>0</v>
      </c>
    </row>
    <row r="72" spans="1:6">
      <c r="A72" s="661" t="s">
        <v>614</v>
      </c>
      <c r="B72" s="674" t="s">
        <v>615</v>
      </c>
      <c r="C72" s="673" t="s">
        <v>579</v>
      </c>
      <c r="D72" s="664"/>
      <c r="E72" s="667">
        <v>212029</v>
      </c>
      <c r="F72" s="666">
        <f t="shared" si="3"/>
        <v>0</v>
      </c>
    </row>
    <row r="73" spans="1:6">
      <c r="A73" s="661" t="s">
        <v>616</v>
      </c>
      <c r="B73" s="674" t="s">
        <v>617</v>
      </c>
      <c r="C73" s="673" t="s">
        <v>579</v>
      </c>
      <c r="D73" s="664"/>
      <c r="E73" s="667">
        <v>388646</v>
      </c>
      <c r="F73" s="666">
        <f t="shared" si="3"/>
        <v>0</v>
      </c>
    </row>
    <row r="74" spans="1:6">
      <c r="A74" s="661" t="s">
        <v>618</v>
      </c>
      <c r="B74" s="674" t="s">
        <v>619</v>
      </c>
      <c r="C74" s="673" t="s">
        <v>579</v>
      </c>
      <c r="D74" s="664"/>
      <c r="E74" s="667">
        <v>540000</v>
      </c>
      <c r="F74" s="666">
        <f t="shared" si="3"/>
        <v>0</v>
      </c>
    </row>
    <row r="75" spans="1:6">
      <c r="A75" s="661" t="s">
        <v>620</v>
      </c>
      <c r="B75" s="674" t="s">
        <v>621</v>
      </c>
      <c r="C75" s="673" t="s">
        <v>579</v>
      </c>
      <c r="D75" s="664"/>
      <c r="E75" s="667">
        <v>1099318</v>
      </c>
      <c r="F75" s="666">
        <f t="shared" si="3"/>
        <v>0</v>
      </c>
    </row>
    <row r="76" spans="1:6">
      <c r="A76" s="661" t="s">
        <v>622</v>
      </c>
      <c r="B76" s="674" t="s">
        <v>623</v>
      </c>
      <c r="C76" s="673" t="s">
        <v>579</v>
      </c>
      <c r="D76" s="664"/>
      <c r="E76" s="667">
        <v>702542</v>
      </c>
      <c r="F76" s="666">
        <f t="shared" si="3"/>
        <v>0</v>
      </c>
    </row>
    <row r="77" spans="1:6">
      <c r="A77" s="661" t="s">
        <v>624</v>
      </c>
      <c r="B77" s="674" t="s">
        <v>625</v>
      </c>
      <c r="C77" s="673" t="s">
        <v>579</v>
      </c>
      <c r="D77" s="664"/>
      <c r="E77" s="667">
        <v>637536</v>
      </c>
      <c r="F77" s="666">
        <f t="shared" si="3"/>
        <v>0</v>
      </c>
    </row>
    <row r="78" spans="1:6">
      <c r="A78" s="661" t="s">
        <v>626</v>
      </c>
      <c r="B78" s="674" t="s">
        <v>627</v>
      </c>
      <c r="C78" s="673" t="s">
        <v>579</v>
      </c>
      <c r="D78" s="664"/>
      <c r="E78" s="667">
        <v>515040</v>
      </c>
      <c r="F78" s="666">
        <f t="shared" si="3"/>
        <v>0</v>
      </c>
    </row>
    <row r="79" spans="1:6">
      <c r="A79" s="661" t="s">
        <v>628</v>
      </c>
      <c r="B79" s="674" t="s">
        <v>629</v>
      </c>
      <c r="C79" s="673" t="s">
        <v>579</v>
      </c>
      <c r="D79" s="664"/>
      <c r="E79" s="667">
        <v>452400</v>
      </c>
      <c r="F79" s="666">
        <f t="shared" si="3"/>
        <v>0</v>
      </c>
    </row>
    <row r="80" spans="1:6">
      <c r="A80" s="661" t="s">
        <v>630</v>
      </c>
      <c r="B80" s="674" t="s">
        <v>631</v>
      </c>
      <c r="C80" s="673" t="s">
        <v>579</v>
      </c>
      <c r="D80" s="664"/>
      <c r="E80" s="667">
        <v>508080</v>
      </c>
      <c r="F80" s="666">
        <f t="shared" si="3"/>
        <v>0</v>
      </c>
    </row>
    <row r="81" spans="1:6">
      <c r="A81" s="661" t="s">
        <v>632</v>
      </c>
      <c r="B81" s="674" t="s">
        <v>633</v>
      </c>
      <c r="C81" s="673" t="s">
        <v>579</v>
      </c>
      <c r="D81" s="664"/>
      <c r="E81" s="667">
        <v>200448</v>
      </c>
      <c r="F81" s="666">
        <f t="shared" si="3"/>
        <v>0</v>
      </c>
    </row>
    <row r="82" spans="1:6">
      <c r="A82" s="661">
        <v>4.8</v>
      </c>
      <c r="B82" s="674" t="s">
        <v>580</v>
      </c>
      <c r="C82" s="673"/>
      <c r="D82" s="664"/>
      <c r="E82" s="667"/>
      <c r="F82" s="666"/>
    </row>
    <row r="83" spans="1:6" ht="38.25">
      <c r="A83" s="661" t="s">
        <v>634</v>
      </c>
      <c r="B83" s="674" t="s">
        <v>635</v>
      </c>
      <c r="C83" s="673" t="s">
        <v>579</v>
      </c>
      <c r="D83" s="664"/>
      <c r="E83" s="667">
        <v>2017565</v>
      </c>
      <c r="F83" s="666">
        <f t="shared" si="3"/>
        <v>0</v>
      </c>
    </row>
    <row r="84" spans="1:6" ht="38.25">
      <c r="A84" s="661" t="s">
        <v>636</v>
      </c>
      <c r="B84" s="674" t="s">
        <v>637</v>
      </c>
      <c r="C84" s="673" t="s">
        <v>579</v>
      </c>
      <c r="D84" s="664"/>
      <c r="E84" s="667">
        <v>3110841</v>
      </c>
      <c r="F84" s="666">
        <f t="shared" si="3"/>
        <v>0</v>
      </c>
    </row>
    <row r="85" spans="1:6" ht="38.25">
      <c r="A85" s="661" t="s">
        <v>638</v>
      </c>
      <c r="B85" s="674" t="s">
        <v>639</v>
      </c>
      <c r="C85" s="673" t="s">
        <v>579</v>
      </c>
      <c r="D85" s="664"/>
      <c r="E85" s="667">
        <v>2564203</v>
      </c>
      <c r="F85" s="666">
        <f t="shared" si="3"/>
        <v>0</v>
      </c>
    </row>
    <row r="86" spans="1:6">
      <c r="A86" s="661">
        <v>4.9000000000000004</v>
      </c>
      <c r="B86" s="674" t="s">
        <v>581</v>
      </c>
      <c r="C86" s="673"/>
      <c r="D86" s="664"/>
      <c r="E86" s="667"/>
      <c r="F86" s="666"/>
    </row>
    <row r="87" spans="1:6">
      <c r="A87" s="661" t="s">
        <v>640</v>
      </c>
      <c r="B87" s="674" t="s">
        <v>641</v>
      </c>
      <c r="C87" s="673" t="s">
        <v>51</v>
      </c>
      <c r="D87" s="664"/>
      <c r="E87" s="667">
        <v>350000</v>
      </c>
      <c r="F87" s="666">
        <f>+E87*D87</f>
        <v>0</v>
      </c>
    </row>
    <row r="88" spans="1:6">
      <c r="A88" s="661" t="s">
        <v>642</v>
      </c>
      <c r="B88" s="674" t="s">
        <v>643</v>
      </c>
      <c r="C88" s="673" t="s">
        <v>51</v>
      </c>
      <c r="D88" s="664"/>
      <c r="E88" s="667">
        <v>305000</v>
      </c>
      <c r="F88" s="666">
        <f>+E88*D88</f>
        <v>0</v>
      </c>
    </row>
    <row r="89" spans="1:6">
      <c r="A89" s="661" t="s">
        <v>644</v>
      </c>
      <c r="B89" s="674" t="s">
        <v>645</v>
      </c>
      <c r="C89" s="673" t="s">
        <v>51</v>
      </c>
      <c r="D89" s="664"/>
      <c r="E89" s="667">
        <v>400000</v>
      </c>
      <c r="F89" s="666">
        <f>+E89*D89</f>
        <v>0</v>
      </c>
    </row>
    <row r="90" spans="1:6">
      <c r="A90" s="661" t="s">
        <v>646</v>
      </c>
      <c r="B90" s="674" t="s">
        <v>647</v>
      </c>
      <c r="C90" s="673" t="s">
        <v>579</v>
      </c>
      <c r="D90" s="664"/>
      <c r="E90" s="667">
        <v>367500</v>
      </c>
      <c r="F90" s="666">
        <f>+E90*D90</f>
        <v>0</v>
      </c>
    </row>
    <row r="91" spans="1:6">
      <c r="A91" s="661"/>
      <c r="B91" s="669" t="s">
        <v>570</v>
      </c>
      <c r="C91" s="663"/>
      <c r="D91" s="664"/>
      <c r="E91" s="667"/>
      <c r="F91" s="670">
        <f>SUM(F64:F90)</f>
        <v>0</v>
      </c>
    </row>
    <row r="92" spans="1:6">
      <c r="A92" s="661"/>
      <c r="B92" s="674"/>
      <c r="C92" s="673"/>
      <c r="D92" s="664"/>
      <c r="E92" s="667"/>
      <c r="F92" s="666"/>
    </row>
    <row r="93" spans="1:6">
      <c r="A93" s="671">
        <v>6</v>
      </c>
      <c r="B93" s="727" t="s">
        <v>648</v>
      </c>
      <c r="C93" s="673"/>
      <c r="D93" s="664"/>
      <c r="E93" s="667"/>
      <c r="F93" s="666"/>
    </row>
    <row r="94" spans="1:6">
      <c r="A94" s="693">
        <f>+A93+0.1</f>
        <v>6.1</v>
      </c>
      <c r="B94" s="726" t="s">
        <v>875</v>
      </c>
      <c r="C94" s="673" t="s">
        <v>876</v>
      </c>
      <c r="D94" s="736">
        <v>116</v>
      </c>
      <c r="E94" s="734">
        <v>9840</v>
      </c>
      <c r="F94" s="666">
        <f t="shared" ref="F94:F96" si="4">+E94*D94</f>
        <v>1141440</v>
      </c>
    </row>
    <row r="95" spans="1:6">
      <c r="A95" s="661">
        <f>+A94+0.1</f>
        <v>6.1999999999999993</v>
      </c>
      <c r="B95" s="726" t="s">
        <v>497</v>
      </c>
      <c r="C95" s="673" t="s">
        <v>56</v>
      </c>
      <c r="D95" s="736">
        <v>52</v>
      </c>
      <c r="E95" s="734">
        <v>17220</v>
      </c>
      <c r="F95" s="666">
        <f t="shared" si="4"/>
        <v>895440</v>
      </c>
    </row>
    <row r="96" spans="1:6">
      <c r="A96" s="661">
        <f t="shared" ref="A96:A100" si="5">+A95+0.1</f>
        <v>6.2999999999999989</v>
      </c>
      <c r="B96" s="726" t="s">
        <v>507</v>
      </c>
      <c r="C96" s="673" t="s">
        <v>139</v>
      </c>
      <c r="D96" s="736">
        <v>9.1999999999999993</v>
      </c>
      <c r="E96" s="735">
        <v>461730</v>
      </c>
      <c r="F96" s="666">
        <f t="shared" si="4"/>
        <v>4247916</v>
      </c>
    </row>
    <row r="97" spans="1:6">
      <c r="A97" s="661">
        <f t="shared" si="5"/>
        <v>6.3999999999999986</v>
      </c>
      <c r="B97" s="726" t="s">
        <v>894</v>
      </c>
      <c r="C97" s="673" t="s">
        <v>139</v>
      </c>
      <c r="D97" s="736">
        <v>0.64</v>
      </c>
      <c r="E97" s="735"/>
      <c r="F97" s="666"/>
    </row>
    <row r="98" spans="1:6">
      <c r="A98" s="661">
        <f t="shared" si="5"/>
        <v>6.4999999999999982</v>
      </c>
      <c r="B98" s="726" t="s">
        <v>893</v>
      </c>
      <c r="C98" s="673" t="s">
        <v>139</v>
      </c>
      <c r="D98" s="737">
        <v>21.9</v>
      </c>
      <c r="E98" s="667">
        <v>571550</v>
      </c>
      <c r="F98" s="666">
        <f>+E98*D97</f>
        <v>365792</v>
      </c>
    </row>
    <row r="99" spans="1:6">
      <c r="A99" s="661">
        <f t="shared" si="5"/>
        <v>6.5999999999999979</v>
      </c>
      <c r="B99" s="726" t="s">
        <v>903</v>
      </c>
      <c r="C99" s="673" t="s">
        <v>139</v>
      </c>
      <c r="D99" s="736">
        <v>7.74</v>
      </c>
      <c r="E99" s="667">
        <v>571550</v>
      </c>
      <c r="F99" s="666">
        <f t="shared" ref="F99" si="6">+E99*D99</f>
        <v>4423797</v>
      </c>
    </row>
    <row r="100" spans="1:6">
      <c r="A100" s="661">
        <f t="shared" si="5"/>
        <v>6.6999999999999975</v>
      </c>
      <c r="B100" s="726" t="s">
        <v>522</v>
      </c>
      <c r="C100" s="673" t="s">
        <v>142</v>
      </c>
      <c r="D100" s="736">
        <v>2200</v>
      </c>
      <c r="E100" s="667">
        <v>2820</v>
      </c>
      <c r="F100" s="666"/>
    </row>
    <row r="101" spans="1:6">
      <c r="A101" s="661">
        <v>110109</v>
      </c>
      <c r="B101" s="728" t="s">
        <v>902</v>
      </c>
      <c r="C101" s="673" t="s">
        <v>22</v>
      </c>
      <c r="D101" s="736">
        <v>2</v>
      </c>
      <c r="E101" s="667">
        <v>315000</v>
      </c>
      <c r="F101" s="666"/>
    </row>
    <row r="102" spans="1:6">
      <c r="A102" s="661"/>
      <c r="B102" s="676"/>
      <c r="C102" s="673"/>
      <c r="D102" s="733"/>
      <c r="E102" s="667"/>
      <c r="F102" s="666"/>
    </row>
    <row r="103" spans="1:6">
      <c r="A103" s="661">
        <v>150307</v>
      </c>
      <c r="B103" s="672" t="s">
        <v>880</v>
      </c>
      <c r="C103" s="673" t="s">
        <v>540</v>
      </c>
      <c r="D103" s="664"/>
      <c r="E103" s="734">
        <v>12450</v>
      </c>
      <c r="F103" s="666">
        <f>+E103*D103</f>
        <v>0</v>
      </c>
    </row>
    <row r="104" spans="1:6">
      <c r="A104" s="661">
        <v>150314</v>
      </c>
      <c r="B104" s="674" t="s">
        <v>904</v>
      </c>
      <c r="C104" s="673" t="s">
        <v>22</v>
      </c>
      <c r="D104" s="664">
        <v>8</v>
      </c>
      <c r="E104" s="734">
        <v>10670</v>
      </c>
      <c r="F104" s="666">
        <f t="shared" ref="F104:F114" si="7">+E104*D104</f>
        <v>85360</v>
      </c>
    </row>
    <row r="105" spans="1:6">
      <c r="A105" s="661">
        <v>150111</v>
      </c>
      <c r="B105" s="672" t="s">
        <v>905</v>
      </c>
      <c r="C105" s="673" t="s">
        <v>540</v>
      </c>
      <c r="D105" s="664">
        <v>2</v>
      </c>
      <c r="E105" s="734">
        <v>16890</v>
      </c>
      <c r="F105" s="666">
        <f t="shared" si="7"/>
        <v>33780</v>
      </c>
    </row>
    <row r="106" spans="1:6">
      <c r="A106" s="661"/>
      <c r="B106" s="674" t="s">
        <v>895</v>
      </c>
      <c r="C106" s="673" t="s">
        <v>22</v>
      </c>
      <c r="D106" s="664">
        <v>4</v>
      </c>
      <c r="E106" s="667"/>
      <c r="F106" s="666">
        <f t="shared" si="7"/>
        <v>0</v>
      </c>
    </row>
    <row r="107" spans="1:6">
      <c r="A107" s="661"/>
      <c r="B107" s="674" t="s">
        <v>896</v>
      </c>
      <c r="C107" s="673" t="s">
        <v>22</v>
      </c>
      <c r="D107" s="664">
        <v>2</v>
      </c>
      <c r="E107" s="667"/>
      <c r="F107" s="666">
        <f t="shared" si="7"/>
        <v>0</v>
      </c>
    </row>
    <row r="108" spans="1:6">
      <c r="A108" s="661"/>
      <c r="B108" s="674" t="s">
        <v>897</v>
      </c>
      <c r="C108" s="673" t="s">
        <v>22</v>
      </c>
      <c r="D108" s="664">
        <v>2</v>
      </c>
      <c r="E108" s="667"/>
      <c r="F108" s="666">
        <f t="shared" si="7"/>
        <v>0</v>
      </c>
    </row>
    <row r="109" spans="1:6">
      <c r="A109" s="661"/>
      <c r="B109" s="674" t="s">
        <v>539</v>
      </c>
      <c r="C109" s="673" t="s">
        <v>540</v>
      </c>
      <c r="D109" s="664">
        <v>24</v>
      </c>
      <c r="E109" s="667"/>
      <c r="F109" s="666">
        <f t="shared" si="7"/>
        <v>0</v>
      </c>
    </row>
    <row r="110" spans="1:6">
      <c r="A110" s="661"/>
      <c r="B110" s="674" t="s">
        <v>898</v>
      </c>
      <c r="C110" s="673" t="s">
        <v>540</v>
      </c>
      <c r="D110" s="664">
        <v>7</v>
      </c>
      <c r="E110" s="667"/>
      <c r="F110" s="666">
        <f t="shared" si="7"/>
        <v>0</v>
      </c>
    </row>
    <row r="111" spans="1:6">
      <c r="A111" s="661"/>
      <c r="B111" s="674" t="s">
        <v>899</v>
      </c>
      <c r="C111" s="673" t="s">
        <v>512</v>
      </c>
      <c r="D111" s="664">
        <v>2</v>
      </c>
      <c r="E111" s="667"/>
      <c r="F111" s="666">
        <f t="shared" si="7"/>
        <v>0</v>
      </c>
    </row>
    <row r="112" spans="1:6">
      <c r="A112" s="661"/>
      <c r="B112" s="674" t="s">
        <v>900</v>
      </c>
      <c r="C112" s="673" t="s">
        <v>22</v>
      </c>
      <c r="D112" s="664">
        <v>6</v>
      </c>
      <c r="E112" s="667"/>
      <c r="F112" s="666">
        <f t="shared" si="7"/>
        <v>0</v>
      </c>
    </row>
    <row r="113" spans="1:6">
      <c r="A113" s="661"/>
      <c r="B113" s="674" t="s">
        <v>901</v>
      </c>
      <c r="C113" s="673" t="s">
        <v>22</v>
      </c>
      <c r="D113" s="664">
        <v>1</v>
      </c>
      <c r="E113" s="667"/>
      <c r="F113" s="666"/>
    </row>
    <row r="114" spans="1:6">
      <c r="A114" s="661"/>
      <c r="B114" s="674"/>
      <c r="C114" s="673"/>
      <c r="D114" s="664"/>
      <c r="E114" s="667"/>
      <c r="F114" s="666">
        <f t="shared" si="7"/>
        <v>0</v>
      </c>
    </row>
    <row r="115" spans="1:6">
      <c r="A115" s="661"/>
      <c r="B115" s="669" t="s">
        <v>570</v>
      </c>
      <c r="C115" s="663"/>
      <c r="D115" s="664"/>
      <c r="E115" s="667"/>
      <c r="F115" s="670">
        <f>SUM(F103:F114)</f>
        <v>119140</v>
      </c>
    </row>
    <row r="116" spans="1:6">
      <c r="A116" s="661"/>
      <c r="B116" s="674"/>
      <c r="C116" s="673"/>
      <c r="D116" s="664"/>
      <c r="E116" s="667"/>
      <c r="F116" s="666"/>
    </row>
    <row r="117" spans="1:6">
      <c r="A117" s="671">
        <v>6</v>
      </c>
      <c r="B117" s="727" t="s">
        <v>478</v>
      </c>
      <c r="C117" s="673"/>
      <c r="D117" s="664"/>
      <c r="E117" s="667"/>
      <c r="F117" s="666">
        <f t="shared" ref="F117:F148" si="8">+E117*D117</f>
        <v>0</v>
      </c>
    </row>
    <row r="118" spans="1:6">
      <c r="A118" s="661">
        <v>6.1</v>
      </c>
      <c r="B118" s="726" t="s">
        <v>875</v>
      </c>
      <c r="C118" s="673" t="s">
        <v>876</v>
      </c>
      <c r="D118" s="729">
        <v>2150</v>
      </c>
      <c r="E118" s="667">
        <v>9840</v>
      </c>
      <c r="F118" s="666">
        <f t="shared" si="8"/>
        <v>21156000</v>
      </c>
    </row>
    <row r="119" spans="1:6">
      <c r="A119" s="661">
        <f>+A118+0.1</f>
        <v>6.1999999999999993</v>
      </c>
      <c r="B119" s="726" t="s">
        <v>497</v>
      </c>
      <c r="C119" s="673" t="s">
        <v>56</v>
      </c>
      <c r="D119" s="731">
        <v>613</v>
      </c>
      <c r="E119" s="667">
        <v>17220</v>
      </c>
      <c r="F119" s="666">
        <f t="shared" si="8"/>
        <v>10555860</v>
      </c>
    </row>
    <row r="120" spans="1:6">
      <c r="A120" s="661">
        <f t="shared" ref="A120:A151" si="9">+A119+0.1</f>
        <v>6.2999999999999989</v>
      </c>
      <c r="B120" s="726" t="s">
        <v>877</v>
      </c>
      <c r="C120" s="673" t="s">
        <v>139</v>
      </c>
      <c r="D120" s="731">
        <v>166</v>
      </c>
      <c r="E120" s="667">
        <v>102400</v>
      </c>
      <c r="F120" s="666">
        <f t="shared" si="8"/>
        <v>16998400</v>
      </c>
    </row>
    <row r="121" spans="1:6">
      <c r="A121" s="661">
        <f t="shared" si="9"/>
        <v>6.3999999999999986</v>
      </c>
      <c r="B121" s="722" t="s">
        <v>878</v>
      </c>
      <c r="C121" s="673" t="s">
        <v>56</v>
      </c>
      <c r="D121" s="664"/>
      <c r="E121" s="667"/>
      <c r="F121" s="666"/>
    </row>
    <row r="122" spans="1:6">
      <c r="A122" s="661">
        <f t="shared" si="9"/>
        <v>6.4999999999999982</v>
      </c>
      <c r="B122" s="726" t="s">
        <v>879</v>
      </c>
      <c r="C122" s="673" t="s">
        <v>139</v>
      </c>
      <c r="D122" s="730">
        <v>121</v>
      </c>
      <c r="E122" s="667">
        <v>571550</v>
      </c>
      <c r="F122" s="666">
        <f t="shared" si="8"/>
        <v>69157550</v>
      </c>
    </row>
    <row r="123" spans="1:6">
      <c r="A123" s="661">
        <f t="shared" si="9"/>
        <v>6.5999999999999979</v>
      </c>
      <c r="B123" s="726" t="s">
        <v>522</v>
      </c>
      <c r="C123" s="673" t="s">
        <v>142</v>
      </c>
      <c r="D123" s="730">
        <v>11700</v>
      </c>
      <c r="E123" s="667">
        <v>2820</v>
      </c>
      <c r="F123" s="666">
        <f t="shared" si="8"/>
        <v>32994000</v>
      </c>
    </row>
    <row r="124" spans="1:6">
      <c r="A124" s="661">
        <f t="shared" si="9"/>
        <v>6.6999999999999975</v>
      </c>
      <c r="B124" s="728" t="s">
        <v>880</v>
      </c>
      <c r="C124" s="673" t="s">
        <v>500</v>
      </c>
      <c r="D124" s="723">
        <v>100</v>
      </c>
      <c r="E124" s="667">
        <v>12454</v>
      </c>
      <c r="F124" s="666"/>
    </row>
    <row r="125" spans="1:6">
      <c r="A125" s="661"/>
      <c r="B125" s="728" t="s">
        <v>495</v>
      </c>
      <c r="C125" s="673"/>
      <c r="D125" s="673"/>
      <c r="E125" s="667"/>
      <c r="F125" s="666"/>
    </row>
    <row r="126" spans="1:6">
      <c r="A126" s="661"/>
      <c r="B126" s="728" t="s">
        <v>882</v>
      </c>
      <c r="C126" s="673" t="s">
        <v>22</v>
      </c>
      <c r="D126" s="673">
        <v>2</v>
      </c>
      <c r="E126" s="667"/>
      <c r="F126" s="666"/>
    </row>
    <row r="127" spans="1:6">
      <c r="A127" s="661"/>
      <c r="B127" s="728" t="s">
        <v>883</v>
      </c>
      <c r="C127" s="673" t="s">
        <v>22</v>
      </c>
      <c r="D127" s="673">
        <v>4</v>
      </c>
      <c r="E127" s="667"/>
      <c r="F127" s="666"/>
    </row>
    <row r="128" spans="1:6">
      <c r="A128" s="661"/>
      <c r="B128" s="674" t="s">
        <v>881</v>
      </c>
      <c r="C128" s="673" t="s">
        <v>22</v>
      </c>
      <c r="D128" s="673">
        <v>4</v>
      </c>
      <c r="E128" s="667"/>
      <c r="F128" s="666"/>
    </row>
    <row r="129" spans="1:6">
      <c r="A129" s="661"/>
      <c r="B129" s="732" t="s">
        <v>886</v>
      </c>
      <c r="C129" s="673" t="s">
        <v>22</v>
      </c>
      <c r="D129" s="673">
        <v>2</v>
      </c>
      <c r="E129" s="667"/>
      <c r="F129" s="666"/>
    </row>
    <row r="130" spans="1:6">
      <c r="A130" s="661"/>
      <c r="B130" s="728" t="s">
        <v>891</v>
      </c>
      <c r="C130" s="673" t="s">
        <v>22</v>
      </c>
      <c r="D130" s="673">
        <v>2</v>
      </c>
      <c r="E130" s="667"/>
      <c r="F130" s="666"/>
    </row>
    <row r="131" spans="1:6">
      <c r="A131" s="661"/>
      <c r="B131" s="728" t="s">
        <v>890</v>
      </c>
      <c r="C131" s="673" t="s">
        <v>22</v>
      </c>
      <c r="D131" s="673">
        <v>2</v>
      </c>
      <c r="E131" s="667"/>
      <c r="F131" s="666"/>
    </row>
    <row r="132" spans="1:6">
      <c r="A132" s="661"/>
      <c r="B132" s="728" t="s">
        <v>884</v>
      </c>
      <c r="C132" s="673" t="s">
        <v>22</v>
      </c>
      <c r="D132" s="673">
        <v>2</v>
      </c>
      <c r="E132" s="667"/>
      <c r="F132" s="666"/>
    </row>
    <row r="133" spans="1:6">
      <c r="A133" s="661"/>
      <c r="B133" s="728" t="s">
        <v>885</v>
      </c>
      <c r="C133" s="673" t="s">
        <v>22</v>
      </c>
      <c r="D133" s="673">
        <v>2</v>
      </c>
      <c r="E133" s="667"/>
      <c r="F133" s="666"/>
    </row>
    <row r="134" spans="1:6">
      <c r="A134" s="661"/>
      <c r="B134" s="728" t="s">
        <v>887</v>
      </c>
      <c r="C134" s="673" t="s">
        <v>22</v>
      </c>
      <c r="D134" s="673">
        <v>8</v>
      </c>
      <c r="E134" s="667"/>
      <c r="F134" s="666"/>
    </row>
    <row r="135" spans="1:6">
      <c r="A135" s="661"/>
      <c r="B135" s="728" t="s">
        <v>892</v>
      </c>
      <c r="C135" s="673"/>
      <c r="D135" s="673"/>
      <c r="E135" s="667"/>
      <c r="F135" s="666"/>
    </row>
    <row r="136" spans="1:6">
      <c r="A136" s="661"/>
      <c r="B136" s="728" t="s">
        <v>888</v>
      </c>
      <c r="C136" s="673" t="s">
        <v>500</v>
      </c>
      <c r="D136" s="673">
        <v>2</v>
      </c>
      <c r="E136" s="667"/>
      <c r="F136" s="666"/>
    </row>
    <row r="137" spans="1:6">
      <c r="A137" s="661"/>
      <c r="B137" s="728" t="s">
        <v>889</v>
      </c>
      <c r="C137" s="673" t="s">
        <v>500</v>
      </c>
      <c r="D137" s="673">
        <v>24</v>
      </c>
      <c r="E137" s="667"/>
      <c r="F137" s="666"/>
    </row>
    <row r="138" spans="1:6">
      <c r="A138" s="661"/>
      <c r="B138" s="728"/>
      <c r="C138" s="673"/>
      <c r="D138" s="673"/>
      <c r="E138" s="667"/>
      <c r="F138" s="666"/>
    </row>
    <row r="139" spans="1:6">
      <c r="A139" s="661"/>
      <c r="B139" s="728"/>
      <c r="C139" s="673"/>
      <c r="D139" s="673"/>
      <c r="E139" s="667"/>
      <c r="F139" s="666"/>
    </row>
    <row r="140" spans="1:6" ht="38.25">
      <c r="A140" s="661"/>
      <c r="B140" s="102" t="s">
        <v>933</v>
      </c>
      <c r="C140" s="772" t="s">
        <v>22</v>
      </c>
      <c r="D140" s="780">
        <v>28000</v>
      </c>
      <c r="E140" s="587">
        <v>28000</v>
      </c>
      <c r="F140" s="666"/>
    </row>
    <row r="141" spans="1:6">
      <c r="A141" s="661"/>
      <c r="B141" s="728"/>
      <c r="C141" s="673"/>
      <c r="D141" s="673"/>
      <c r="E141" s="667"/>
      <c r="F141" s="666"/>
    </row>
    <row r="142" spans="1:6">
      <c r="A142" s="661"/>
      <c r="B142" s="728"/>
      <c r="C142" s="673"/>
      <c r="D142" s="673"/>
      <c r="E142" s="667"/>
      <c r="F142" s="666"/>
    </row>
    <row r="143" spans="1:6">
      <c r="A143" s="661"/>
      <c r="B143" s="728"/>
      <c r="C143" s="673"/>
      <c r="D143" s="673"/>
      <c r="E143" s="667"/>
      <c r="F143" s="666"/>
    </row>
    <row r="144" spans="1:6">
      <c r="A144" s="661"/>
      <c r="B144" s="728"/>
      <c r="C144" s="673"/>
      <c r="D144" s="673"/>
      <c r="E144" s="667"/>
      <c r="F144" s="666"/>
    </row>
    <row r="145" spans="1:18">
      <c r="A145" s="661"/>
      <c r="B145" s="728"/>
      <c r="C145" s="673"/>
      <c r="D145" s="673"/>
      <c r="E145" s="667"/>
      <c r="F145" s="666"/>
    </row>
    <row r="146" spans="1:18">
      <c r="A146" s="661">
        <f>+A122+0.1</f>
        <v>6.5999999999999979</v>
      </c>
      <c r="B146" s="672"/>
      <c r="C146" s="673"/>
      <c r="D146" s="664"/>
      <c r="E146" s="667"/>
      <c r="F146" s="666">
        <f t="shared" si="8"/>
        <v>0</v>
      </c>
    </row>
    <row r="147" spans="1:18">
      <c r="A147" s="661">
        <f t="shared" si="9"/>
        <v>6.6999999999999975</v>
      </c>
      <c r="B147" s="674" t="s">
        <v>573</v>
      </c>
      <c r="C147" s="673" t="s">
        <v>51</v>
      </c>
      <c r="D147" s="664"/>
      <c r="E147" s="667">
        <v>4000</v>
      </c>
      <c r="F147" s="666">
        <f t="shared" si="8"/>
        <v>0</v>
      </c>
    </row>
    <row r="148" spans="1:18">
      <c r="A148" s="661">
        <f t="shared" si="9"/>
        <v>6.7999999999999972</v>
      </c>
      <c r="B148" s="672" t="s">
        <v>574</v>
      </c>
      <c r="C148" s="673" t="s">
        <v>51</v>
      </c>
      <c r="D148" s="664"/>
      <c r="E148" s="667">
        <v>12000</v>
      </c>
      <c r="F148" s="666">
        <f t="shared" si="8"/>
        <v>0</v>
      </c>
    </row>
    <row r="149" spans="1:18" ht="25.5">
      <c r="A149" s="661">
        <f t="shared" si="9"/>
        <v>6.8999999999999968</v>
      </c>
      <c r="B149" s="674" t="s">
        <v>575</v>
      </c>
      <c r="C149" s="673" t="s">
        <v>51</v>
      </c>
      <c r="D149" s="664"/>
      <c r="E149" s="667">
        <v>400000</v>
      </c>
      <c r="F149" s="666">
        <f t="shared" ref="F149:F162" si="10">+E149*D149</f>
        <v>0</v>
      </c>
    </row>
    <row r="150" spans="1:18">
      <c r="A150" s="661">
        <f t="shared" si="9"/>
        <v>6.9999999999999964</v>
      </c>
      <c r="B150" s="674" t="s">
        <v>576</v>
      </c>
      <c r="C150" s="673" t="s">
        <v>61</v>
      </c>
      <c r="D150" s="664"/>
      <c r="E150" s="667">
        <v>2500</v>
      </c>
      <c r="F150" s="666">
        <f t="shared" si="10"/>
        <v>0</v>
      </c>
    </row>
    <row r="151" spans="1:18">
      <c r="A151" s="661">
        <f t="shared" si="9"/>
        <v>7.0999999999999961</v>
      </c>
      <c r="B151" s="674" t="s">
        <v>577</v>
      </c>
      <c r="C151" s="673" t="s">
        <v>483</v>
      </c>
      <c r="D151" s="664"/>
      <c r="E151" s="667">
        <v>15000</v>
      </c>
      <c r="F151" s="666">
        <f t="shared" si="10"/>
        <v>0</v>
      </c>
    </row>
    <row r="152" spans="1:18">
      <c r="A152" s="661">
        <v>6.7</v>
      </c>
      <c r="B152" s="674" t="s">
        <v>649</v>
      </c>
      <c r="C152" s="673"/>
      <c r="D152" s="664"/>
      <c r="E152" s="667"/>
      <c r="F152" s="666"/>
    </row>
    <row r="153" spans="1:18">
      <c r="A153" s="661" t="s">
        <v>650</v>
      </c>
      <c r="B153" s="674" t="s">
        <v>651</v>
      </c>
      <c r="C153" s="673" t="s">
        <v>483</v>
      </c>
      <c r="D153" s="664"/>
      <c r="E153" s="667">
        <v>25000</v>
      </c>
      <c r="F153" s="666">
        <f t="shared" si="10"/>
        <v>0</v>
      </c>
    </row>
    <row r="154" spans="1:18">
      <c r="A154" s="661" t="s">
        <v>652</v>
      </c>
      <c r="B154" s="674" t="s">
        <v>653</v>
      </c>
      <c r="C154" s="673" t="s">
        <v>483</v>
      </c>
      <c r="D154" s="664"/>
      <c r="E154" s="667">
        <v>20000</v>
      </c>
      <c r="F154" s="666">
        <f t="shared" si="10"/>
        <v>0</v>
      </c>
    </row>
    <row r="155" spans="1:18">
      <c r="A155" s="661">
        <v>6.8</v>
      </c>
      <c r="B155" s="674" t="s">
        <v>578</v>
      </c>
      <c r="C155" s="673"/>
      <c r="D155" s="664"/>
      <c r="E155" s="667"/>
      <c r="F155" s="666"/>
    </row>
    <row r="156" spans="1:18">
      <c r="A156" s="661" t="s">
        <v>654</v>
      </c>
      <c r="B156" s="674" t="s">
        <v>655</v>
      </c>
      <c r="C156" s="673" t="s">
        <v>579</v>
      </c>
      <c r="D156" s="664"/>
      <c r="E156" s="667">
        <v>580000</v>
      </c>
      <c r="F156" s="666">
        <f t="shared" si="10"/>
        <v>0</v>
      </c>
    </row>
    <row r="157" spans="1:18">
      <c r="A157" s="661" t="s">
        <v>656</v>
      </c>
      <c r="B157" s="674" t="s">
        <v>657</v>
      </c>
      <c r="C157" s="673" t="s">
        <v>579</v>
      </c>
      <c r="D157" s="664"/>
      <c r="E157" s="667">
        <v>283550</v>
      </c>
      <c r="F157" s="666">
        <f t="shared" si="10"/>
        <v>0</v>
      </c>
    </row>
    <row r="158" spans="1:18">
      <c r="A158" s="661" t="s">
        <v>658</v>
      </c>
      <c r="B158" s="674" t="s">
        <v>659</v>
      </c>
      <c r="C158" s="673" t="s">
        <v>579</v>
      </c>
      <c r="D158" s="664"/>
      <c r="E158" s="667">
        <v>1060704</v>
      </c>
      <c r="F158" s="666">
        <f t="shared" si="10"/>
        <v>0</v>
      </c>
    </row>
    <row r="159" spans="1:18">
      <c r="A159" s="661" t="s">
        <v>660</v>
      </c>
      <c r="B159" s="674" t="s">
        <v>661</v>
      </c>
      <c r="C159" s="673" t="s">
        <v>579</v>
      </c>
      <c r="D159" s="664"/>
      <c r="E159" s="667">
        <v>580644</v>
      </c>
      <c r="F159" s="666">
        <f t="shared" si="10"/>
        <v>0</v>
      </c>
    </row>
    <row r="160" spans="1:18">
      <c r="A160" s="661" t="s">
        <v>662</v>
      </c>
      <c r="B160" s="674" t="s">
        <v>663</v>
      </c>
      <c r="C160" s="673" t="s">
        <v>579</v>
      </c>
      <c r="D160" s="664"/>
      <c r="E160" s="667">
        <v>340000</v>
      </c>
      <c r="F160" s="666">
        <f t="shared" si="10"/>
        <v>0</v>
      </c>
      <c r="R160" s="649">
        <f>13000+127106+1339800</f>
        <v>1479906</v>
      </c>
    </row>
    <row r="161" spans="1:18">
      <c r="A161" s="661" t="s">
        <v>664</v>
      </c>
      <c r="B161" s="674" t="s">
        <v>665</v>
      </c>
      <c r="C161" s="673" t="s">
        <v>579</v>
      </c>
      <c r="D161" s="664"/>
      <c r="E161" s="667">
        <v>796300</v>
      </c>
      <c r="F161" s="666">
        <f t="shared" si="10"/>
        <v>0</v>
      </c>
      <c r="R161" s="649">
        <f>127106/R160</f>
        <v>8.5887887473934152E-2</v>
      </c>
    </row>
    <row r="162" spans="1:18">
      <c r="A162" s="661" t="s">
        <v>666</v>
      </c>
      <c r="B162" s="674" t="s">
        <v>667</v>
      </c>
      <c r="C162" s="673" t="s">
        <v>579</v>
      </c>
      <c r="D162" s="664"/>
      <c r="E162" s="667">
        <v>977184</v>
      </c>
      <c r="F162" s="666">
        <f t="shared" si="10"/>
        <v>0</v>
      </c>
    </row>
    <row r="163" spans="1:18">
      <c r="A163" s="661"/>
      <c r="B163" s="669" t="s">
        <v>570</v>
      </c>
      <c r="C163" s="663"/>
      <c r="D163" s="664"/>
      <c r="E163" s="667"/>
      <c r="F163" s="670">
        <f>SUM(F146:F162)</f>
        <v>0</v>
      </c>
    </row>
    <row r="164" spans="1:18">
      <c r="A164" s="661"/>
      <c r="B164" s="674"/>
      <c r="C164" s="673"/>
      <c r="D164" s="664"/>
      <c r="E164" s="667"/>
      <c r="F164" s="666"/>
    </row>
    <row r="165" spans="1:18">
      <c r="A165" s="671">
        <v>7</v>
      </c>
      <c r="B165" s="676" t="s">
        <v>874</v>
      </c>
      <c r="C165" s="673"/>
      <c r="D165" s="664"/>
      <c r="E165" s="667"/>
      <c r="F165" s="666"/>
    </row>
    <row r="166" spans="1:18">
      <c r="A166" s="661">
        <v>7.1</v>
      </c>
      <c r="B166" s="672" t="s">
        <v>572</v>
      </c>
      <c r="C166" s="673" t="s">
        <v>51</v>
      </c>
      <c r="D166" s="664"/>
      <c r="E166" s="667">
        <v>3000</v>
      </c>
      <c r="F166" s="666">
        <f t="shared" ref="F166:F171" si="11">+E166*D166</f>
        <v>0</v>
      </c>
    </row>
    <row r="167" spans="1:18">
      <c r="A167" s="661">
        <v>7.2</v>
      </c>
      <c r="B167" s="674" t="s">
        <v>573</v>
      </c>
      <c r="C167" s="673" t="s">
        <v>51</v>
      </c>
      <c r="D167" s="664"/>
      <c r="E167" s="667">
        <v>4000</v>
      </c>
      <c r="F167" s="666">
        <f t="shared" si="11"/>
        <v>0</v>
      </c>
    </row>
    <row r="168" spans="1:18">
      <c r="A168" s="661">
        <v>7.3</v>
      </c>
      <c r="B168" s="672" t="s">
        <v>574</v>
      </c>
      <c r="C168" s="673" t="s">
        <v>51</v>
      </c>
      <c r="D168" s="664"/>
      <c r="E168" s="667">
        <v>12000</v>
      </c>
      <c r="F168" s="666">
        <f t="shared" si="11"/>
        <v>0</v>
      </c>
    </row>
    <row r="169" spans="1:18" ht="25.5">
      <c r="A169" s="661">
        <v>7.4</v>
      </c>
      <c r="B169" s="674" t="s">
        <v>575</v>
      </c>
      <c r="C169" s="673" t="s">
        <v>51</v>
      </c>
      <c r="D169" s="664"/>
      <c r="E169" s="667">
        <v>400000</v>
      </c>
      <c r="F169" s="666">
        <f t="shared" si="11"/>
        <v>0</v>
      </c>
    </row>
    <row r="170" spans="1:18">
      <c r="A170" s="661">
        <v>7.5</v>
      </c>
      <c r="B170" s="674" t="s">
        <v>576</v>
      </c>
      <c r="C170" s="673" t="s">
        <v>61</v>
      </c>
      <c r="D170" s="664"/>
      <c r="E170" s="667">
        <v>2500</v>
      </c>
      <c r="F170" s="666">
        <f t="shared" si="11"/>
        <v>0</v>
      </c>
    </row>
    <row r="171" spans="1:18">
      <c r="A171" s="661">
        <v>7.6</v>
      </c>
      <c r="B171" s="674" t="s">
        <v>577</v>
      </c>
      <c r="C171" s="673" t="s">
        <v>483</v>
      </c>
      <c r="D171" s="664"/>
      <c r="E171" s="667">
        <v>15000</v>
      </c>
      <c r="F171" s="666">
        <f t="shared" si="11"/>
        <v>0</v>
      </c>
    </row>
    <row r="172" spans="1:18">
      <c r="A172" s="661">
        <v>7.7</v>
      </c>
      <c r="B172" s="674" t="s">
        <v>649</v>
      </c>
      <c r="C172" s="673"/>
      <c r="D172" s="664"/>
      <c r="E172" s="667"/>
      <c r="F172" s="666"/>
    </row>
    <row r="173" spans="1:18">
      <c r="A173" s="661" t="s">
        <v>668</v>
      </c>
      <c r="B173" s="674" t="s">
        <v>669</v>
      </c>
      <c r="C173" s="673" t="s">
        <v>483</v>
      </c>
      <c r="D173" s="664"/>
      <c r="E173" s="667">
        <v>20000</v>
      </c>
      <c r="F173" s="666">
        <f>+E173*D173</f>
        <v>0</v>
      </c>
    </row>
    <row r="174" spans="1:18">
      <c r="A174" s="661">
        <v>7.8</v>
      </c>
      <c r="B174" s="674" t="s">
        <v>578</v>
      </c>
      <c r="C174" s="673"/>
      <c r="D174" s="664"/>
      <c r="E174" s="667"/>
      <c r="F174" s="666"/>
    </row>
    <row r="175" spans="1:18">
      <c r="A175" s="661" t="s">
        <v>670</v>
      </c>
      <c r="B175" s="674" t="s">
        <v>671</v>
      </c>
      <c r="C175" s="673" t="s">
        <v>579</v>
      </c>
      <c r="D175" s="664"/>
      <c r="E175" s="667">
        <v>160229</v>
      </c>
      <c r="F175" s="666">
        <f>+E175*D175</f>
        <v>0</v>
      </c>
    </row>
    <row r="176" spans="1:18">
      <c r="A176" s="661" t="s">
        <v>672</v>
      </c>
      <c r="B176" s="674" t="s">
        <v>673</v>
      </c>
      <c r="C176" s="673" t="s">
        <v>579</v>
      </c>
      <c r="D176" s="664"/>
      <c r="E176" s="667">
        <v>131056</v>
      </c>
      <c r="F176" s="666">
        <f>+E176*D176</f>
        <v>0</v>
      </c>
    </row>
    <row r="177" spans="1:6">
      <c r="A177" s="661" t="s">
        <v>674</v>
      </c>
      <c r="B177" s="674" t="s">
        <v>675</v>
      </c>
      <c r="C177" s="673" t="s">
        <v>579</v>
      </c>
      <c r="D177" s="664"/>
      <c r="E177" s="667">
        <v>69600</v>
      </c>
      <c r="F177" s="666">
        <f>+E177*D177</f>
        <v>0</v>
      </c>
    </row>
    <row r="178" spans="1:6">
      <c r="A178" s="661" t="s">
        <v>676</v>
      </c>
      <c r="B178" s="674" t="s">
        <v>677</v>
      </c>
      <c r="C178" s="673" t="s">
        <v>579</v>
      </c>
      <c r="D178" s="664"/>
      <c r="E178" s="667">
        <v>101060</v>
      </c>
      <c r="F178" s="666">
        <f>+E178*D178</f>
        <v>0</v>
      </c>
    </row>
    <row r="179" spans="1:6">
      <c r="A179" s="661" t="s">
        <v>678</v>
      </c>
      <c r="B179" s="674" t="s">
        <v>679</v>
      </c>
      <c r="C179" s="673" t="s">
        <v>579</v>
      </c>
      <c r="D179" s="664"/>
      <c r="E179" s="667">
        <v>128620</v>
      </c>
      <c r="F179" s="666">
        <f>+E179*D179</f>
        <v>0</v>
      </c>
    </row>
    <row r="180" spans="1:6">
      <c r="A180" s="661"/>
      <c r="B180" s="676" t="s">
        <v>570</v>
      </c>
      <c r="C180" s="673"/>
      <c r="D180" s="664"/>
      <c r="E180" s="667"/>
      <c r="F180" s="670">
        <f>SUM(F166:F179)</f>
        <v>0</v>
      </c>
    </row>
    <row r="181" spans="1:6">
      <c r="A181" s="661"/>
      <c r="B181" s="674"/>
      <c r="C181" s="673"/>
      <c r="D181" s="664"/>
      <c r="E181" s="667"/>
      <c r="F181" s="666"/>
    </row>
    <row r="182" spans="1:6">
      <c r="A182" s="671">
        <v>8</v>
      </c>
      <c r="B182" s="676" t="s">
        <v>680</v>
      </c>
      <c r="C182" s="673"/>
      <c r="D182" s="664"/>
      <c r="E182" s="667"/>
      <c r="F182" s="666"/>
    </row>
    <row r="183" spans="1:6">
      <c r="A183" s="661">
        <v>8.1</v>
      </c>
      <c r="B183" s="672" t="s">
        <v>572</v>
      </c>
      <c r="C183" s="673" t="s">
        <v>51</v>
      </c>
      <c r="D183" s="664"/>
      <c r="E183" s="667">
        <v>3000</v>
      </c>
      <c r="F183" s="666">
        <f>+E183*D183</f>
        <v>0</v>
      </c>
    </row>
    <row r="184" spans="1:6">
      <c r="A184" s="661">
        <v>8.1999999999999993</v>
      </c>
      <c r="B184" s="674" t="s">
        <v>573</v>
      </c>
      <c r="C184" s="673" t="s">
        <v>51</v>
      </c>
      <c r="D184" s="664"/>
      <c r="E184" s="667">
        <v>4000</v>
      </c>
      <c r="F184" s="666">
        <f t="shared" ref="F184:F192" si="12">+E184*D184</f>
        <v>0</v>
      </c>
    </row>
    <row r="185" spans="1:6">
      <c r="A185" s="661">
        <v>8.3000000000000007</v>
      </c>
      <c r="B185" s="672" t="s">
        <v>574</v>
      </c>
      <c r="C185" s="673" t="s">
        <v>51</v>
      </c>
      <c r="D185" s="664"/>
      <c r="E185" s="667">
        <v>12000</v>
      </c>
      <c r="F185" s="666">
        <f t="shared" si="12"/>
        <v>0</v>
      </c>
    </row>
    <row r="186" spans="1:6" ht="25.5">
      <c r="A186" s="661">
        <v>8.4</v>
      </c>
      <c r="B186" s="674" t="s">
        <v>575</v>
      </c>
      <c r="C186" s="673" t="s">
        <v>51</v>
      </c>
      <c r="D186" s="664"/>
      <c r="E186" s="667">
        <v>400000</v>
      </c>
      <c r="F186" s="666">
        <f t="shared" si="12"/>
        <v>0</v>
      </c>
    </row>
    <row r="187" spans="1:6">
      <c r="A187" s="661">
        <v>8.5</v>
      </c>
      <c r="B187" s="674" t="s">
        <v>576</v>
      </c>
      <c r="C187" s="673" t="s">
        <v>61</v>
      </c>
      <c r="D187" s="664"/>
      <c r="E187" s="667">
        <v>2500</v>
      </c>
      <c r="F187" s="666">
        <f t="shared" si="12"/>
        <v>0</v>
      </c>
    </row>
    <row r="188" spans="1:6">
      <c r="A188" s="661">
        <v>8.6</v>
      </c>
      <c r="B188" s="674" t="s">
        <v>577</v>
      </c>
      <c r="C188" s="673" t="s">
        <v>483</v>
      </c>
      <c r="D188" s="664"/>
      <c r="E188" s="667">
        <v>15000</v>
      </c>
      <c r="F188" s="666">
        <f t="shared" si="12"/>
        <v>0</v>
      </c>
    </row>
    <row r="189" spans="1:6">
      <c r="A189" s="661">
        <v>8.6999999999999993</v>
      </c>
      <c r="B189" s="674" t="s">
        <v>578</v>
      </c>
      <c r="C189" s="673"/>
      <c r="D189" s="664"/>
      <c r="E189" s="667"/>
      <c r="F189" s="666"/>
    </row>
    <row r="190" spans="1:6">
      <c r="A190" s="661" t="s">
        <v>681</v>
      </c>
      <c r="B190" s="674" t="s">
        <v>682</v>
      </c>
      <c r="C190" s="673" t="s">
        <v>579</v>
      </c>
      <c r="D190" s="664"/>
      <c r="E190" s="667">
        <v>210470</v>
      </c>
      <c r="F190" s="666">
        <f t="shared" si="12"/>
        <v>0</v>
      </c>
    </row>
    <row r="191" spans="1:6">
      <c r="A191" s="661">
        <v>8.8000000000000007</v>
      </c>
      <c r="B191" s="674" t="s">
        <v>683</v>
      </c>
      <c r="C191" s="673"/>
      <c r="D191" s="664"/>
      <c r="E191" s="667"/>
      <c r="F191" s="666"/>
    </row>
    <row r="192" spans="1:6" ht="25.5">
      <c r="A192" s="661" t="s">
        <v>684</v>
      </c>
      <c r="B192" s="674" t="s">
        <v>685</v>
      </c>
      <c r="C192" s="673" t="s">
        <v>579</v>
      </c>
      <c r="D192" s="664"/>
      <c r="E192" s="667">
        <v>501120</v>
      </c>
      <c r="F192" s="666">
        <f t="shared" si="12"/>
        <v>0</v>
      </c>
    </row>
    <row r="193" spans="1:6">
      <c r="A193" s="661">
        <v>8.9</v>
      </c>
      <c r="B193" s="674" t="s">
        <v>581</v>
      </c>
      <c r="C193" s="673"/>
      <c r="D193" s="664"/>
      <c r="E193" s="667"/>
      <c r="F193" s="666"/>
    </row>
    <row r="194" spans="1:6">
      <c r="A194" s="661" t="s">
        <v>686</v>
      </c>
      <c r="B194" s="674" t="s">
        <v>687</v>
      </c>
      <c r="C194" s="673" t="s">
        <v>579</v>
      </c>
      <c r="D194" s="664"/>
      <c r="E194" s="667">
        <v>500000</v>
      </c>
      <c r="F194" s="666">
        <f>+E194*D194</f>
        <v>0</v>
      </c>
    </row>
    <row r="195" spans="1:6">
      <c r="A195" s="661" t="s">
        <v>688</v>
      </c>
      <c r="B195" s="674" t="s">
        <v>689</v>
      </c>
      <c r="C195" s="673" t="s">
        <v>579</v>
      </c>
      <c r="D195" s="664"/>
      <c r="E195" s="667">
        <v>100000</v>
      </c>
      <c r="F195" s="666">
        <f>+E195*D195</f>
        <v>0</v>
      </c>
    </row>
    <row r="196" spans="1:6" ht="13.5" customHeight="1">
      <c r="A196" s="661"/>
      <c r="B196" s="676" t="s">
        <v>570</v>
      </c>
      <c r="C196" s="677"/>
      <c r="D196" s="678"/>
      <c r="E196" s="679"/>
      <c r="F196" s="670">
        <f>SUM(F183:F195)</f>
        <v>0</v>
      </c>
    </row>
    <row r="197" spans="1:6" ht="13.5" customHeight="1">
      <c r="A197" s="661"/>
      <c r="B197" s="676"/>
      <c r="C197" s="677"/>
      <c r="D197" s="678"/>
      <c r="E197" s="679"/>
      <c r="F197" s="670"/>
    </row>
    <row r="198" spans="1:6" ht="13.5" customHeight="1">
      <c r="A198" s="671">
        <v>9</v>
      </c>
      <c r="B198" s="676" t="s">
        <v>690</v>
      </c>
      <c r="C198" s="677"/>
      <c r="D198" s="678"/>
      <c r="E198" s="679"/>
      <c r="F198" s="670"/>
    </row>
    <row r="199" spans="1:6" ht="13.5" customHeight="1">
      <c r="A199" s="661">
        <v>9.1</v>
      </c>
      <c r="B199" s="674" t="s">
        <v>691</v>
      </c>
      <c r="C199" s="677"/>
      <c r="D199" s="678"/>
      <c r="E199" s="679"/>
      <c r="F199" s="670"/>
    </row>
    <row r="200" spans="1:6" ht="13.5" customHeight="1">
      <c r="A200" s="661" t="s">
        <v>692</v>
      </c>
      <c r="B200" s="674" t="s">
        <v>693</v>
      </c>
      <c r="C200" s="673" t="s">
        <v>483</v>
      </c>
      <c r="D200" s="664"/>
      <c r="E200" s="667">
        <v>41760</v>
      </c>
      <c r="F200" s="666">
        <f>+E200*D200</f>
        <v>0</v>
      </c>
    </row>
    <row r="201" spans="1:6" ht="13.5" customHeight="1">
      <c r="A201" s="661" t="s">
        <v>694</v>
      </c>
      <c r="B201" s="674" t="s">
        <v>695</v>
      </c>
      <c r="C201" s="673" t="s">
        <v>483</v>
      </c>
      <c r="D201" s="664"/>
      <c r="E201" s="667">
        <v>69600</v>
      </c>
      <c r="F201" s="666">
        <f>+E201*D201</f>
        <v>0</v>
      </c>
    </row>
    <row r="202" spans="1:6" ht="13.5" customHeight="1">
      <c r="A202" s="661" t="s">
        <v>696</v>
      </c>
      <c r="B202" s="674" t="s">
        <v>697</v>
      </c>
      <c r="C202" s="673" t="s">
        <v>483</v>
      </c>
      <c r="D202" s="664"/>
      <c r="E202" s="667">
        <v>37709</v>
      </c>
      <c r="F202" s="666">
        <f>+E202*D202</f>
        <v>0</v>
      </c>
    </row>
    <row r="203" spans="1:6" ht="13.5" customHeight="1">
      <c r="A203" s="661" t="s">
        <v>698</v>
      </c>
      <c r="B203" s="674" t="s">
        <v>699</v>
      </c>
      <c r="C203" s="673" t="s">
        <v>483</v>
      </c>
      <c r="D203" s="664"/>
      <c r="E203" s="667">
        <v>14203</v>
      </c>
      <c r="F203" s="666">
        <f>+E203*D203</f>
        <v>0</v>
      </c>
    </row>
    <row r="204" spans="1:6" ht="13.5" customHeight="1">
      <c r="A204" s="661">
        <v>9.1999999999999993</v>
      </c>
      <c r="B204" s="674" t="s">
        <v>700</v>
      </c>
      <c r="C204" s="677"/>
      <c r="D204" s="678"/>
      <c r="E204" s="679"/>
      <c r="F204" s="670"/>
    </row>
    <row r="205" spans="1:6" ht="25.5">
      <c r="A205" s="661" t="s">
        <v>701</v>
      </c>
      <c r="B205" s="674" t="s">
        <v>702</v>
      </c>
      <c r="C205" s="673" t="s">
        <v>579</v>
      </c>
      <c r="D205" s="664"/>
      <c r="E205" s="667">
        <v>1472736</v>
      </c>
      <c r="F205" s="666">
        <f>+E205*D205</f>
        <v>0</v>
      </c>
    </row>
    <row r="206" spans="1:6" ht="25.5">
      <c r="A206" s="661" t="s">
        <v>703</v>
      </c>
      <c r="B206" s="674" t="s">
        <v>704</v>
      </c>
      <c r="C206" s="673" t="s">
        <v>579</v>
      </c>
      <c r="D206" s="664"/>
      <c r="E206" s="667">
        <v>995280</v>
      </c>
      <c r="F206" s="666">
        <f t="shared" ref="F206:F213" si="13">+E206*D206</f>
        <v>0</v>
      </c>
    </row>
    <row r="207" spans="1:6" ht="13.5" customHeight="1">
      <c r="A207" s="661">
        <v>9.3000000000000007</v>
      </c>
      <c r="B207" s="674" t="s">
        <v>705</v>
      </c>
      <c r="C207" s="673"/>
      <c r="D207" s="664"/>
      <c r="E207" s="667"/>
      <c r="F207" s="666"/>
    </row>
    <row r="208" spans="1:6" ht="13.5" customHeight="1">
      <c r="A208" s="661" t="s">
        <v>706</v>
      </c>
      <c r="B208" s="674" t="s">
        <v>707</v>
      </c>
      <c r="C208" s="673" t="s">
        <v>579</v>
      </c>
      <c r="D208" s="664"/>
      <c r="E208" s="667">
        <v>1000000</v>
      </c>
      <c r="F208" s="666">
        <f t="shared" si="13"/>
        <v>0</v>
      </c>
    </row>
    <row r="209" spans="1:6" ht="13.5" customHeight="1">
      <c r="A209" s="661" t="s">
        <v>708</v>
      </c>
      <c r="B209" s="674" t="s">
        <v>709</v>
      </c>
      <c r="C209" s="673" t="s">
        <v>579</v>
      </c>
      <c r="D209" s="664"/>
      <c r="E209" s="667">
        <v>150000</v>
      </c>
      <c r="F209" s="666">
        <f t="shared" si="13"/>
        <v>0</v>
      </c>
    </row>
    <row r="210" spans="1:6" ht="38.25">
      <c r="A210" s="661" t="s">
        <v>710</v>
      </c>
      <c r="B210" s="674" t="s">
        <v>711</v>
      </c>
      <c r="C210" s="673" t="s">
        <v>569</v>
      </c>
      <c r="D210" s="664"/>
      <c r="E210" s="667">
        <v>3000000</v>
      </c>
      <c r="F210" s="666">
        <f t="shared" si="13"/>
        <v>0</v>
      </c>
    </row>
    <row r="211" spans="1:6" ht="13.5" customHeight="1">
      <c r="A211" s="661">
        <v>9.4</v>
      </c>
      <c r="B211" s="674" t="s">
        <v>712</v>
      </c>
      <c r="C211" s="673"/>
      <c r="D211" s="664"/>
      <c r="E211" s="667"/>
      <c r="F211" s="666"/>
    </row>
    <row r="212" spans="1:6" ht="25.5">
      <c r="A212" s="661" t="s">
        <v>713</v>
      </c>
      <c r="B212" s="674" t="s">
        <v>714</v>
      </c>
      <c r="C212" s="673" t="s">
        <v>579</v>
      </c>
      <c r="D212" s="664"/>
      <c r="E212" s="667">
        <v>1000000</v>
      </c>
      <c r="F212" s="666">
        <f t="shared" si="13"/>
        <v>0</v>
      </c>
    </row>
    <row r="213" spans="1:6" ht="38.25">
      <c r="A213" s="661" t="s">
        <v>715</v>
      </c>
      <c r="B213" s="674" t="s">
        <v>716</v>
      </c>
      <c r="C213" s="673" t="s">
        <v>579</v>
      </c>
      <c r="D213" s="664"/>
      <c r="E213" s="667">
        <v>1500000</v>
      </c>
      <c r="F213" s="666">
        <f t="shared" si="13"/>
        <v>0</v>
      </c>
    </row>
    <row r="214" spans="1:6" ht="13.5" customHeight="1">
      <c r="A214" s="661"/>
      <c r="B214" s="676" t="s">
        <v>570</v>
      </c>
      <c r="C214" s="677"/>
      <c r="D214" s="678"/>
      <c r="E214" s="679"/>
      <c r="F214" s="670">
        <f>SUM(F200:F213)</f>
        <v>0</v>
      </c>
    </row>
    <row r="215" spans="1:6" ht="13.5" customHeight="1">
      <c r="A215" s="661"/>
      <c r="B215" s="676"/>
      <c r="C215" s="677"/>
      <c r="D215" s="678"/>
      <c r="E215" s="679"/>
      <c r="F215" s="670"/>
    </row>
    <row r="216" spans="1:6">
      <c r="A216" s="680">
        <v>10</v>
      </c>
      <c r="B216" s="681" t="s">
        <v>717</v>
      </c>
      <c r="C216" s="682"/>
      <c r="D216" s="664"/>
      <c r="E216" s="683"/>
      <c r="F216" s="684"/>
    </row>
    <row r="217" spans="1:6">
      <c r="A217" s="685">
        <v>10.1</v>
      </c>
      <c r="B217" s="682" t="s">
        <v>718</v>
      </c>
      <c r="C217" s="686" t="s">
        <v>569</v>
      </c>
      <c r="D217" s="664"/>
      <c r="E217" s="667">
        <v>8230280</v>
      </c>
      <c r="F217" s="687">
        <f>E217*D217</f>
        <v>0</v>
      </c>
    </row>
    <row r="218" spans="1:6" ht="25.5">
      <c r="A218" s="661">
        <v>10.199999999999999</v>
      </c>
      <c r="B218" s="688" t="s">
        <v>719</v>
      </c>
      <c r="C218" s="664" t="s">
        <v>569</v>
      </c>
      <c r="D218" s="664"/>
      <c r="E218" s="667">
        <v>3935520</v>
      </c>
      <c r="F218" s="687">
        <f>E218*D218</f>
        <v>0</v>
      </c>
    </row>
    <row r="219" spans="1:6">
      <c r="A219" s="689">
        <v>10.3</v>
      </c>
      <c r="B219" s="690" t="s">
        <v>720</v>
      </c>
      <c r="C219" s="691" t="s">
        <v>569</v>
      </c>
      <c r="D219" s="691"/>
      <c r="E219" s="692">
        <v>771830</v>
      </c>
      <c r="F219" s="687">
        <f>E219*D219</f>
        <v>0</v>
      </c>
    </row>
    <row r="220" spans="1:6" ht="38.25">
      <c r="A220" s="689">
        <v>10.4</v>
      </c>
      <c r="B220" s="690" t="s">
        <v>721</v>
      </c>
      <c r="C220" s="691" t="s">
        <v>569</v>
      </c>
      <c r="D220" s="691"/>
      <c r="E220" s="692">
        <v>5040500</v>
      </c>
      <c r="F220" s="687">
        <f>E220*D220</f>
        <v>0</v>
      </c>
    </row>
    <row r="221" spans="1:6">
      <c r="A221" s="689"/>
      <c r="B221" s="676" t="s">
        <v>570</v>
      </c>
      <c r="C221" s="677"/>
      <c r="D221" s="678"/>
      <c r="E221" s="679"/>
      <c r="F221" s="670">
        <f>SUM(F217:F220)</f>
        <v>0</v>
      </c>
    </row>
    <row r="222" spans="1:6" ht="13.5" customHeight="1">
      <c r="A222" s="661"/>
      <c r="B222" s="676"/>
      <c r="C222" s="677"/>
      <c r="D222" s="678"/>
      <c r="E222" s="679"/>
      <c r="F222" s="670"/>
    </row>
    <row r="223" spans="1:6" ht="13.5" customHeight="1">
      <c r="A223" s="671">
        <v>11</v>
      </c>
      <c r="B223" s="676" t="s">
        <v>722</v>
      </c>
      <c r="C223" s="677"/>
      <c r="D223" s="678"/>
      <c r="E223" s="679"/>
      <c r="F223" s="670"/>
    </row>
    <row r="224" spans="1:6" ht="13.5" customHeight="1">
      <c r="A224" s="693">
        <v>11.1</v>
      </c>
      <c r="B224" s="688" t="s">
        <v>723</v>
      </c>
      <c r="C224" s="686"/>
      <c r="D224" s="694"/>
      <c r="E224" s="667"/>
      <c r="F224" s="695"/>
    </row>
    <row r="225" spans="1:6" ht="13.5" customHeight="1">
      <c r="A225" s="661" t="s">
        <v>724</v>
      </c>
      <c r="B225" s="688" t="s">
        <v>725</v>
      </c>
      <c r="C225" s="686" t="s">
        <v>51</v>
      </c>
      <c r="D225" s="694"/>
      <c r="E225" s="667">
        <v>10000</v>
      </c>
      <c r="F225" s="695">
        <f>D225*E225</f>
        <v>0</v>
      </c>
    </row>
    <row r="226" spans="1:6" ht="13.5" customHeight="1">
      <c r="A226" s="675" t="s">
        <v>726</v>
      </c>
      <c r="B226" s="688" t="s">
        <v>727</v>
      </c>
      <c r="C226" s="686" t="s">
        <v>51</v>
      </c>
      <c r="D226" s="694"/>
      <c r="E226" s="667">
        <v>4500</v>
      </c>
      <c r="F226" s="695">
        <f>D226*E226</f>
        <v>0</v>
      </c>
    </row>
    <row r="227" spans="1:6" ht="13.5" customHeight="1">
      <c r="A227" s="693">
        <v>11.2</v>
      </c>
      <c r="B227" s="688" t="s">
        <v>728</v>
      </c>
      <c r="C227" s="686"/>
      <c r="D227" s="694"/>
      <c r="E227" s="667"/>
      <c r="F227" s="695"/>
    </row>
    <row r="228" spans="1:6" ht="13.5" customHeight="1">
      <c r="A228" s="675" t="s">
        <v>729</v>
      </c>
      <c r="B228" s="688" t="s">
        <v>730</v>
      </c>
      <c r="C228" s="686" t="s">
        <v>43</v>
      </c>
      <c r="D228" s="694"/>
      <c r="E228" s="667">
        <v>13000</v>
      </c>
      <c r="F228" s="695">
        <f t="shared" ref="F228:F235" si="14">D228*E228</f>
        <v>0</v>
      </c>
    </row>
    <row r="229" spans="1:6" ht="13.5" customHeight="1">
      <c r="A229" s="675" t="s">
        <v>731</v>
      </c>
      <c r="B229" s="688" t="s">
        <v>732</v>
      </c>
      <c r="C229" s="686" t="s">
        <v>51</v>
      </c>
      <c r="D229" s="694"/>
      <c r="E229" s="667">
        <v>450000</v>
      </c>
      <c r="F229" s="695">
        <f t="shared" si="14"/>
        <v>0</v>
      </c>
    </row>
    <row r="230" spans="1:6" ht="13.5" customHeight="1">
      <c r="A230" s="675" t="s">
        <v>733</v>
      </c>
      <c r="B230" s="688" t="s">
        <v>734</v>
      </c>
      <c r="C230" s="686" t="s">
        <v>51</v>
      </c>
      <c r="D230" s="694"/>
      <c r="E230" s="667">
        <v>450000</v>
      </c>
      <c r="F230" s="695">
        <f t="shared" si="14"/>
        <v>0</v>
      </c>
    </row>
    <row r="231" spans="1:6" ht="13.5" customHeight="1">
      <c r="A231" s="675" t="s">
        <v>735</v>
      </c>
      <c r="B231" s="688" t="s">
        <v>736</v>
      </c>
      <c r="C231" s="686" t="s">
        <v>51</v>
      </c>
      <c r="D231" s="694"/>
      <c r="E231" s="667">
        <v>450000</v>
      </c>
      <c r="F231" s="695">
        <f t="shared" si="14"/>
        <v>0</v>
      </c>
    </row>
    <row r="232" spans="1:6" ht="13.5" customHeight="1">
      <c r="A232" s="675" t="s">
        <v>737</v>
      </c>
      <c r="B232" s="688" t="s">
        <v>738</v>
      </c>
      <c r="C232" s="686" t="s">
        <v>61</v>
      </c>
      <c r="D232" s="694"/>
      <c r="E232" s="667">
        <v>2400</v>
      </c>
      <c r="F232" s="695">
        <f t="shared" si="14"/>
        <v>0</v>
      </c>
    </row>
    <row r="233" spans="1:6" ht="13.5" customHeight="1">
      <c r="A233" s="675" t="s">
        <v>739</v>
      </c>
      <c r="B233" s="688" t="s">
        <v>740</v>
      </c>
      <c r="C233" s="686" t="s">
        <v>61</v>
      </c>
      <c r="D233" s="694"/>
      <c r="E233" s="667">
        <v>2400</v>
      </c>
      <c r="F233" s="695">
        <f t="shared" si="14"/>
        <v>0</v>
      </c>
    </row>
    <row r="234" spans="1:6" ht="24.75" customHeight="1">
      <c r="A234" s="675" t="s">
        <v>741</v>
      </c>
      <c r="B234" s="688" t="s">
        <v>742</v>
      </c>
      <c r="C234" s="696" t="s">
        <v>61</v>
      </c>
      <c r="D234" s="697"/>
      <c r="E234" s="697">
        <v>12500</v>
      </c>
      <c r="F234" s="698">
        <f t="shared" si="14"/>
        <v>0</v>
      </c>
    </row>
    <row r="235" spans="1:6" ht="13.5" customHeight="1">
      <c r="A235" s="675" t="s">
        <v>743</v>
      </c>
      <c r="B235" s="688" t="s">
        <v>744</v>
      </c>
      <c r="C235" s="686" t="s">
        <v>51</v>
      </c>
      <c r="D235" s="694"/>
      <c r="E235" s="667">
        <v>445000</v>
      </c>
      <c r="F235" s="695">
        <f t="shared" si="14"/>
        <v>0</v>
      </c>
    </row>
    <row r="236" spans="1:6" ht="13.5" customHeight="1">
      <c r="A236" s="693">
        <v>11.3</v>
      </c>
      <c r="B236" s="688" t="s">
        <v>745</v>
      </c>
      <c r="C236" s="686"/>
      <c r="D236" s="694"/>
      <c r="E236" s="667"/>
      <c r="F236" s="695"/>
    </row>
    <row r="237" spans="1:6" ht="13.5" customHeight="1">
      <c r="A237" s="661" t="s">
        <v>746</v>
      </c>
      <c r="B237" s="688" t="s">
        <v>747</v>
      </c>
      <c r="C237" s="686" t="s">
        <v>483</v>
      </c>
      <c r="D237" s="694"/>
      <c r="E237" s="667">
        <v>18300</v>
      </c>
      <c r="F237" s="699">
        <f>D237*E237</f>
        <v>0</v>
      </c>
    </row>
    <row r="238" spans="1:6" ht="13.5" customHeight="1">
      <c r="A238" s="661" t="s">
        <v>748</v>
      </c>
      <c r="B238" s="688" t="s">
        <v>749</v>
      </c>
      <c r="C238" s="686" t="s">
        <v>483</v>
      </c>
      <c r="D238" s="694"/>
      <c r="E238" s="667">
        <v>10100</v>
      </c>
      <c r="F238" s="699">
        <f>D238*E238</f>
        <v>0</v>
      </c>
    </row>
    <row r="239" spans="1:6" ht="13.5" customHeight="1">
      <c r="A239" s="661" t="s">
        <v>750</v>
      </c>
      <c r="B239" s="688" t="s">
        <v>751</v>
      </c>
      <c r="C239" s="686" t="s">
        <v>579</v>
      </c>
      <c r="D239" s="694"/>
      <c r="E239" s="667">
        <v>115000</v>
      </c>
      <c r="F239" s="699">
        <f>D239*E239</f>
        <v>0</v>
      </c>
    </row>
    <row r="240" spans="1:6" ht="13.5" customHeight="1">
      <c r="A240" s="661" t="s">
        <v>752</v>
      </c>
      <c r="B240" s="688" t="s">
        <v>753</v>
      </c>
      <c r="C240" s="686" t="s">
        <v>579</v>
      </c>
      <c r="D240" s="694"/>
      <c r="E240" s="667">
        <v>51000</v>
      </c>
      <c r="F240" s="699">
        <f>D240*E240</f>
        <v>0</v>
      </c>
    </row>
    <row r="241" spans="1:13" ht="13.5" customHeight="1">
      <c r="A241" s="661" t="s">
        <v>754</v>
      </c>
      <c r="B241" s="688" t="s">
        <v>755</v>
      </c>
      <c r="C241" s="686" t="s">
        <v>579</v>
      </c>
      <c r="D241" s="694"/>
      <c r="E241" s="667">
        <v>37000</v>
      </c>
      <c r="F241" s="699">
        <f>D241*E241</f>
        <v>0</v>
      </c>
    </row>
    <row r="242" spans="1:13" ht="13.5" customHeight="1">
      <c r="A242" s="693">
        <v>11.4</v>
      </c>
      <c r="B242" s="688" t="s">
        <v>756</v>
      </c>
      <c r="C242" s="686"/>
      <c r="D242" s="700"/>
      <c r="E242" s="665"/>
      <c r="F242" s="699"/>
      <c r="H242" s="779">
        <f t="shared" ref="H242" si="15">+H241+0.01</f>
        <v>0.01</v>
      </c>
      <c r="I242" s="102" t="s">
        <v>933</v>
      </c>
      <c r="J242" s="772" t="s">
        <v>22</v>
      </c>
      <c r="K242" s="780">
        <v>28000</v>
      </c>
      <c r="L242" s="587">
        <v>28000</v>
      </c>
      <c r="M242" s="774"/>
    </row>
    <row r="243" spans="1:13" ht="13.5" customHeight="1">
      <c r="A243" s="675" t="s">
        <v>757</v>
      </c>
      <c r="B243" s="688" t="s">
        <v>758</v>
      </c>
      <c r="C243" s="686" t="s">
        <v>579</v>
      </c>
      <c r="D243" s="694"/>
      <c r="E243" s="667">
        <v>35000</v>
      </c>
      <c r="F243" s="699">
        <f t="shared" ref="F243:F257" si="16">D243*E243</f>
        <v>0</v>
      </c>
    </row>
    <row r="244" spans="1:13">
      <c r="A244" s="675" t="s">
        <v>759</v>
      </c>
      <c r="B244" s="688" t="s">
        <v>760</v>
      </c>
      <c r="C244" s="686" t="s">
        <v>579</v>
      </c>
      <c r="D244" s="694"/>
      <c r="E244" s="667">
        <v>20000</v>
      </c>
      <c r="F244" s="699">
        <f t="shared" si="16"/>
        <v>0</v>
      </c>
    </row>
    <row r="245" spans="1:13">
      <c r="A245" s="675" t="s">
        <v>761</v>
      </c>
      <c r="B245" s="688" t="s">
        <v>762</v>
      </c>
      <c r="C245" s="686" t="s">
        <v>579</v>
      </c>
      <c r="D245" s="694"/>
      <c r="E245" s="667">
        <v>37000</v>
      </c>
      <c r="F245" s="699">
        <f t="shared" si="16"/>
        <v>0</v>
      </c>
    </row>
    <row r="246" spans="1:13">
      <c r="A246" s="675" t="s">
        <v>763</v>
      </c>
      <c r="B246" s="688" t="s">
        <v>764</v>
      </c>
      <c r="C246" s="686" t="s">
        <v>579</v>
      </c>
      <c r="D246" s="694"/>
      <c r="E246" s="667">
        <v>45000</v>
      </c>
      <c r="F246" s="699">
        <f t="shared" si="16"/>
        <v>0</v>
      </c>
    </row>
    <row r="247" spans="1:13">
      <c r="A247" s="675" t="s">
        <v>765</v>
      </c>
      <c r="B247" s="688" t="s">
        <v>766</v>
      </c>
      <c r="C247" s="686" t="s">
        <v>579</v>
      </c>
      <c r="D247" s="694"/>
      <c r="E247" s="667">
        <v>350000</v>
      </c>
      <c r="F247" s="699">
        <f t="shared" si="16"/>
        <v>0</v>
      </c>
    </row>
    <row r="248" spans="1:13">
      <c r="A248" s="675" t="s">
        <v>767</v>
      </c>
      <c r="B248" s="688" t="s">
        <v>768</v>
      </c>
      <c r="C248" s="686" t="s">
        <v>483</v>
      </c>
      <c r="D248" s="694"/>
      <c r="E248" s="667">
        <v>20000</v>
      </c>
      <c r="F248" s="699">
        <f t="shared" si="16"/>
        <v>0</v>
      </c>
    </row>
    <row r="249" spans="1:13" ht="12.75" customHeight="1">
      <c r="A249" s="675" t="s">
        <v>769</v>
      </c>
      <c r="B249" s="688" t="s">
        <v>770</v>
      </c>
      <c r="C249" s="686" t="s">
        <v>483</v>
      </c>
      <c r="D249" s="694"/>
      <c r="E249" s="667">
        <v>17000</v>
      </c>
      <c r="F249" s="699">
        <f t="shared" si="16"/>
        <v>0</v>
      </c>
    </row>
    <row r="250" spans="1:13">
      <c r="A250" s="675" t="s">
        <v>771</v>
      </c>
      <c r="B250" s="688" t="s">
        <v>772</v>
      </c>
      <c r="C250" s="686" t="s">
        <v>579</v>
      </c>
      <c r="D250" s="694"/>
      <c r="E250" s="667">
        <v>45000</v>
      </c>
      <c r="F250" s="699">
        <f t="shared" si="16"/>
        <v>0</v>
      </c>
    </row>
    <row r="251" spans="1:13">
      <c r="A251" s="675" t="s">
        <v>773</v>
      </c>
      <c r="B251" s="688" t="s">
        <v>774</v>
      </c>
      <c r="C251" s="686" t="s">
        <v>579</v>
      </c>
      <c r="D251" s="694"/>
      <c r="E251" s="667">
        <v>378000</v>
      </c>
      <c r="F251" s="699">
        <f t="shared" si="16"/>
        <v>0</v>
      </c>
    </row>
    <row r="252" spans="1:13">
      <c r="A252" s="675" t="s">
        <v>775</v>
      </c>
      <c r="B252" s="688" t="s">
        <v>776</v>
      </c>
      <c r="C252" s="686" t="s">
        <v>579</v>
      </c>
      <c r="D252" s="694"/>
      <c r="E252" s="667">
        <v>15000</v>
      </c>
      <c r="F252" s="695">
        <f t="shared" si="16"/>
        <v>0</v>
      </c>
    </row>
    <row r="253" spans="1:13">
      <c r="A253" s="675" t="s">
        <v>777</v>
      </c>
      <c r="B253" s="688" t="s">
        <v>778</v>
      </c>
      <c r="C253" s="686" t="s">
        <v>579</v>
      </c>
      <c r="D253" s="694"/>
      <c r="E253" s="667">
        <v>54000</v>
      </c>
      <c r="F253" s="699">
        <f t="shared" si="16"/>
        <v>0</v>
      </c>
    </row>
    <row r="254" spans="1:13">
      <c r="A254" s="675" t="s">
        <v>779</v>
      </c>
      <c r="B254" s="688" t="s">
        <v>780</v>
      </c>
      <c r="C254" s="686" t="s">
        <v>579</v>
      </c>
      <c r="D254" s="694"/>
      <c r="E254" s="667">
        <v>40000</v>
      </c>
      <c r="F254" s="699">
        <f t="shared" si="16"/>
        <v>0</v>
      </c>
    </row>
    <row r="255" spans="1:13">
      <c r="A255" s="675" t="s">
        <v>781</v>
      </c>
      <c r="B255" s="688" t="s">
        <v>782</v>
      </c>
      <c r="C255" s="686" t="s">
        <v>483</v>
      </c>
      <c r="D255" s="694"/>
      <c r="E255" s="667">
        <v>18000</v>
      </c>
      <c r="F255" s="699">
        <f t="shared" si="16"/>
        <v>0</v>
      </c>
    </row>
    <row r="256" spans="1:13">
      <c r="A256" s="675" t="s">
        <v>783</v>
      </c>
      <c r="B256" s="688" t="s">
        <v>784</v>
      </c>
      <c r="C256" s="686" t="s">
        <v>569</v>
      </c>
      <c r="D256" s="694"/>
      <c r="E256" s="667">
        <v>110000</v>
      </c>
      <c r="F256" s="699">
        <f t="shared" si="16"/>
        <v>0</v>
      </c>
    </row>
    <row r="257" spans="1:6">
      <c r="A257" s="675" t="s">
        <v>785</v>
      </c>
      <c r="B257" s="688" t="s">
        <v>786</v>
      </c>
      <c r="C257" s="686" t="s">
        <v>483</v>
      </c>
      <c r="D257" s="694"/>
      <c r="E257" s="667">
        <v>25000</v>
      </c>
      <c r="F257" s="699">
        <f t="shared" si="16"/>
        <v>0</v>
      </c>
    </row>
    <row r="258" spans="1:6">
      <c r="A258" s="693">
        <v>11.5</v>
      </c>
      <c r="B258" s="688" t="s">
        <v>787</v>
      </c>
      <c r="C258" s="686"/>
      <c r="D258" s="694"/>
      <c r="E258" s="667"/>
      <c r="F258" s="695"/>
    </row>
    <row r="259" spans="1:6">
      <c r="A259" s="675" t="s">
        <v>788</v>
      </c>
      <c r="B259" s="688" t="s">
        <v>789</v>
      </c>
      <c r="C259" s="686" t="s">
        <v>43</v>
      </c>
      <c r="D259" s="694"/>
      <c r="E259" s="667">
        <v>26500</v>
      </c>
      <c r="F259" s="695">
        <f>D259*E259</f>
        <v>0</v>
      </c>
    </row>
    <row r="260" spans="1:6">
      <c r="A260" s="675" t="s">
        <v>790</v>
      </c>
      <c r="B260" s="688" t="s">
        <v>791</v>
      </c>
      <c r="C260" s="686" t="s">
        <v>483</v>
      </c>
      <c r="D260" s="694"/>
      <c r="E260" s="667">
        <v>10200</v>
      </c>
      <c r="F260" s="695">
        <f>D260*E260</f>
        <v>0</v>
      </c>
    </row>
    <row r="261" spans="1:6">
      <c r="A261" s="675" t="s">
        <v>792</v>
      </c>
      <c r="B261" s="688" t="s">
        <v>793</v>
      </c>
      <c r="C261" s="686" t="s">
        <v>483</v>
      </c>
      <c r="D261" s="694"/>
      <c r="E261" s="667">
        <v>14500</v>
      </c>
      <c r="F261" s="695">
        <f>D261*E261</f>
        <v>0</v>
      </c>
    </row>
    <row r="262" spans="1:6">
      <c r="A262" s="675" t="s">
        <v>794</v>
      </c>
      <c r="B262" s="688" t="s">
        <v>795</v>
      </c>
      <c r="C262" s="686" t="s">
        <v>483</v>
      </c>
      <c r="D262" s="694"/>
      <c r="E262" s="667">
        <v>42000</v>
      </c>
      <c r="F262" s="695">
        <f>D262*E262</f>
        <v>0</v>
      </c>
    </row>
    <row r="263" spans="1:6">
      <c r="A263" s="693">
        <v>11.6</v>
      </c>
      <c r="B263" s="688" t="s">
        <v>796</v>
      </c>
      <c r="C263" s="686"/>
      <c r="D263" s="694"/>
      <c r="E263" s="667"/>
      <c r="F263" s="695"/>
    </row>
    <row r="264" spans="1:6" ht="25.5">
      <c r="A264" s="675" t="s">
        <v>797</v>
      </c>
      <c r="B264" s="688" t="s">
        <v>798</v>
      </c>
      <c r="C264" s="686" t="s">
        <v>43</v>
      </c>
      <c r="D264" s="694"/>
      <c r="E264" s="667">
        <v>28500</v>
      </c>
      <c r="F264" s="695">
        <f>D264*E264</f>
        <v>0</v>
      </c>
    </row>
    <row r="265" spans="1:6" ht="25.5">
      <c r="A265" s="675" t="s">
        <v>799</v>
      </c>
      <c r="B265" s="688" t="s">
        <v>800</v>
      </c>
      <c r="C265" s="686" t="s">
        <v>483</v>
      </c>
      <c r="D265" s="694"/>
      <c r="E265" s="667">
        <v>19000</v>
      </c>
      <c r="F265" s="695">
        <f>D265*E265</f>
        <v>0</v>
      </c>
    </row>
    <row r="266" spans="1:6">
      <c r="A266" s="675" t="s">
        <v>801</v>
      </c>
      <c r="B266" s="688" t="s">
        <v>802</v>
      </c>
      <c r="C266" s="686" t="s">
        <v>483</v>
      </c>
      <c r="D266" s="694"/>
      <c r="E266" s="667">
        <v>27000</v>
      </c>
      <c r="F266" s="695">
        <f>D266*E266</f>
        <v>0</v>
      </c>
    </row>
    <row r="267" spans="1:6">
      <c r="A267" s="675" t="s">
        <v>803</v>
      </c>
      <c r="B267" s="688" t="s">
        <v>804</v>
      </c>
      <c r="C267" s="686" t="s">
        <v>579</v>
      </c>
      <c r="D267" s="694"/>
      <c r="E267" s="667">
        <v>200000</v>
      </c>
      <c r="F267" s="695">
        <f>D267*E267</f>
        <v>0</v>
      </c>
    </row>
    <row r="268" spans="1:6">
      <c r="A268" s="675" t="s">
        <v>805</v>
      </c>
      <c r="B268" s="688" t="s">
        <v>806</v>
      </c>
      <c r="C268" s="686" t="s">
        <v>43</v>
      </c>
      <c r="D268" s="694"/>
      <c r="E268" s="667">
        <v>9000</v>
      </c>
      <c r="F268" s="695">
        <f>D268*E268</f>
        <v>0</v>
      </c>
    </row>
    <row r="269" spans="1:6">
      <c r="A269" s="693">
        <v>11.7</v>
      </c>
      <c r="B269" s="688" t="s">
        <v>807</v>
      </c>
      <c r="C269" s="686"/>
      <c r="D269" s="694"/>
      <c r="E269" s="667"/>
      <c r="F269" s="695"/>
    </row>
    <row r="270" spans="1:6">
      <c r="A270" s="675" t="s">
        <v>808</v>
      </c>
      <c r="B270" s="688" t="s">
        <v>809</v>
      </c>
      <c r="C270" s="686" t="s">
        <v>43</v>
      </c>
      <c r="D270" s="694"/>
      <c r="E270" s="667">
        <v>12450</v>
      </c>
      <c r="F270" s="695">
        <f t="shared" ref="F270:F276" si="17">D270*E270</f>
        <v>0</v>
      </c>
    </row>
    <row r="271" spans="1:6">
      <c r="A271" s="675" t="s">
        <v>810</v>
      </c>
      <c r="B271" s="688" t="s">
        <v>811</v>
      </c>
      <c r="C271" s="686" t="s">
        <v>43</v>
      </c>
      <c r="D271" s="694"/>
      <c r="E271" s="667">
        <v>15000</v>
      </c>
      <c r="F271" s="695">
        <f t="shared" si="17"/>
        <v>0</v>
      </c>
    </row>
    <row r="272" spans="1:6">
      <c r="A272" s="675" t="s">
        <v>812</v>
      </c>
      <c r="B272" s="688" t="s">
        <v>813</v>
      </c>
      <c r="C272" s="686" t="s">
        <v>483</v>
      </c>
      <c r="D272" s="694"/>
      <c r="E272" s="667">
        <v>23431</v>
      </c>
      <c r="F272" s="695">
        <f t="shared" si="17"/>
        <v>0</v>
      </c>
    </row>
    <row r="273" spans="1:6">
      <c r="A273" s="675" t="s">
        <v>814</v>
      </c>
      <c r="B273" s="688" t="s">
        <v>815</v>
      </c>
      <c r="C273" s="686" t="s">
        <v>483</v>
      </c>
      <c r="D273" s="694"/>
      <c r="E273" s="667">
        <v>7000</v>
      </c>
      <c r="F273" s="695">
        <f t="shared" si="17"/>
        <v>0</v>
      </c>
    </row>
    <row r="274" spans="1:6">
      <c r="A274" s="675" t="s">
        <v>816</v>
      </c>
      <c r="B274" s="688" t="s">
        <v>817</v>
      </c>
      <c r="C274" s="686" t="s">
        <v>43</v>
      </c>
      <c r="D274" s="694"/>
      <c r="E274" s="667">
        <v>10000</v>
      </c>
      <c r="F274" s="695">
        <f t="shared" si="17"/>
        <v>0</v>
      </c>
    </row>
    <row r="275" spans="1:6">
      <c r="A275" s="675" t="s">
        <v>818</v>
      </c>
      <c r="B275" s="688" t="s">
        <v>819</v>
      </c>
      <c r="C275" s="686" t="s">
        <v>43</v>
      </c>
      <c r="D275" s="694"/>
      <c r="E275" s="667">
        <v>25500</v>
      </c>
      <c r="F275" s="695">
        <f t="shared" si="17"/>
        <v>0</v>
      </c>
    </row>
    <row r="276" spans="1:6">
      <c r="A276" s="675" t="s">
        <v>820</v>
      </c>
      <c r="B276" s="688" t="s">
        <v>821</v>
      </c>
      <c r="C276" s="686" t="s">
        <v>43</v>
      </c>
      <c r="D276" s="694"/>
      <c r="E276" s="667">
        <v>13000</v>
      </c>
      <c r="F276" s="695">
        <f t="shared" si="17"/>
        <v>0</v>
      </c>
    </row>
    <row r="277" spans="1:6">
      <c r="A277" s="693">
        <v>11.8</v>
      </c>
      <c r="B277" s="688" t="s">
        <v>822</v>
      </c>
      <c r="C277" s="686"/>
      <c r="D277" s="694"/>
      <c r="E277" s="667"/>
      <c r="F277" s="695"/>
    </row>
    <row r="278" spans="1:6" ht="25.5">
      <c r="A278" s="675" t="s">
        <v>823</v>
      </c>
      <c r="B278" s="688" t="s">
        <v>824</v>
      </c>
      <c r="C278" s="686" t="s">
        <v>579</v>
      </c>
      <c r="D278" s="694"/>
      <c r="E278" s="667">
        <v>148000</v>
      </c>
      <c r="F278" s="695">
        <f t="shared" ref="F278:F286" si="18">D278*E278</f>
        <v>0</v>
      </c>
    </row>
    <row r="279" spans="1:6">
      <c r="A279" s="675" t="s">
        <v>825</v>
      </c>
      <c r="B279" s="688" t="s">
        <v>826</v>
      </c>
      <c r="C279" s="686" t="s">
        <v>579</v>
      </c>
      <c r="D279" s="694"/>
      <c r="E279" s="667">
        <v>148000</v>
      </c>
      <c r="F279" s="695">
        <f t="shared" si="18"/>
        <v>0</v>
      </c>
    </row>
    <row r="280" spans="1:6" ht="25.5">
      <c r="A280" s="675" t="s">
        <v>827</v>
      </c>
      <c r="B280" s="688" t="s">
        <v>828</v>
      </c>
      <c r="C280" s="686" t="s">
        <v>579</v>
      </c>
      <c r="D280" s="694"/>
      <c r="E280" s="667">
        <v>30000</v>
      </c>
      <c r="F280" s="695">
        <f t="shared" si="18"/>
        <v>0</v>
      </c>
    </row>
    <row r="281" spans="1:6">
      <c r="A281" s="675" t="s">
        <v>829</v>
      </c>
      <c r="B281" s="688" t="s">
        <v>830</v>
      </c>
      <c r="C281" s="686" t="s">
        <v>579</v>
      </c>
      <c r="D281" s="694"/>
      <c r="E281" s="667">
        <v>15000</v>
      </c>
      <c r="F281" s="695">
        <f t="shared" si="18"/>
        <v>0</v>
      </c>
    </row>
    <row r="282" spans="1:6" ht="25.5">
      <c r="A282" s="675" t="s">
        <v>831</v>
      </c>
      <c r="B282" s="688" t="s">
        <v>832</v>
      </c>
      <c r="C282" s="686" t="s">
        <v>579</v>
      </c>
      <c r="D282" s="694"/>
      <c r="E282" s="667">
        <v>7447</v>
      </c>
      <c r="F282" s="695">
        <f t="shared" si="18"/>
        <v>0</v>
      </c>
    </row>
    <row r="283" spans="1:6" ht="25.5">
      <c r="A283" s="675" t="s">
        <v>833</v>
      </c>
      <c r="B283" s="688" t="s">
        <v>834</v>
      </c>
      <c r="C283" s="686" t="s">
        <v>579</v>
      </c>
      <c r="D283" s="694"/>
      <c r="E283" s="667">
        <v>65000</v>
      </c>
      <c r="F283" s="695">
        <f t="shared" si="18"/>
        <v>0</v>
      </c>
    </row>
    <row r="284" spans="1:6">
      <c r="A284" s="675" t="s">
        <v>835</v>
      </c>
      <c r="B284" s="688" t="s">
        <v>836</v>
      </c>
      <c r="C284" s="686" t="s">
        <v>579</v>
      </c>
      <c r="D284" s="694"/>
      <c r="E284" s="667">
        <v>265000</v>
      </c>
      <c r="F284" s="695">
        <f t="shared" si="18"/>
        <v>0</v>
      </c>
    </row>
    <row r="285" spans="1:6">
      <c r="A285" s="675" t="s">
        <v>837</v>
      </c>
      <c r="B285" s="688" t="s">
        <v>838</v>
      </c>
      <c r="C285" s="686" t="s">
        <v>579</v>
      </c>
      <c r="D285" s="694"/>
      <c r="E285" s="667">
        <v>63000</v>
      </c>
      <c r="F285" s="695">
        <f t="shared" si="18"/>
        <v>0</v>
      </c>
    </row>
    <row r="286" spans="1:6">
      <c r="A286" s="675" t="s">
        <v>839</v>
      </c>
      <c r="B286" s="688" t="s">
        <v>840</v>
      </c>
      <c r="C286" s="686" t="s">
        <v>43</v>
      </c>
      <c r="D286" s="694"/>
      <c r="E286" s="667">
        <v>62100</v>
      </c>
      <c r="F286" s="695">
        <f t="shared" si="18"/>
        <v>0</v>
      </c>
    </row>
    <row r="287" spans="1:6">
      <c r="A287" s="693">
        <v>11.9</v>
      </c>
      <c r="B287" s="688" t="s">
        <v>841</v>
      </c>
      <c r="C287" s="686"/>
      <c r="D287" s="694"/>
      <c r="E287" s="667"/>
      <c r="F287" s="695"/>
    </row>
    <row r="288" spans="1:6">
      <c r="A288" s="675" t="s">
        <v>842</v>
      </c>
      <c r="B288" s="688" t="s">
        <v>843</v>
      </c>
      <c r="C288" s="686" t="s">
        <v>43</v>
      </c>
      <c r="D288" s="694"/>
      <c r="E288" s="667">
        <v>2800</v>
      </c>
      <c r="F288" s="695">
        <f>D288*E288</f>
        <v>0</v>
      </c>
    </row>
    <row r="289" spans="1:6">
      <c r="A289" s="675" t="s">
        <v>844</v>
      </c>
      <c r="B289" s="688" t="s">
        <v>845</v>
      </c>
      <c r="C289" s="686" t="s">
        <v>43</v>
      </c>
      <c r="D289" s="694"/>
      <c r="E289" s="667">
        <v>4000</v>
      </c>
      <c r="F289" s="695">
        <f>D289*E289</f>
        <v>0</v>
      </c>
    </row>
    <row r="290" spans="1:6">
      <c r="A290" s="675" t="s">
        <v>846</v>
      </c>
      <c r="B290" s="688" t="s">
        <v>847</v>
      </c>
      <c r="C290" s="686" t="s">
        <v>43</v>
      </c>
      <c r="D290" s="694"/>
      <c r="E290" s="667">
        <v>3300</v>
      </c>
      <c r="F290" s="695">
        <f>E290*D290</f>
        <v>0</v>
      </c>
    </row>
    <row r="291" spans="1:6">
      <c r="A291" s="675">
        <v>11.1</v>
      </c>
      <c r="B291" s="688" t="s">
        <v>848</v>
      </c>
      <c r="C291" s="686"/>
      <c r="D291" s="694"/>
      <c r="E291" s="667"/>
      <c r="F291" s="695">
        <f>D291*E291</f>
        <v>0</v>
      </c>
    </row>
    <row r="292" spans="1:6">
      <c r="A292" s="675" t="s">
        <v>849</v>
      </c>
      <c r="B292" s="688" t="s">
        <v>850</v>
      </c>
      <c r="C292" s="686" t="s">
        <v>43</v>
      </c>
      <c r="D292" s="694"/>
      <c r="E292" s="667">
        <v>125000</v>
      </c>
      <c r="F292" s="695">
        <f>D292*E292</f>
        <v>0</v>
      </c>
    </row>
    <row r="293" spans="1:6">
      <c r="A293" s="675" t="s">
        <v>851</v>
      </c>
      <c r="B293" s="688" t="s">
        <v>852</v>
      </c>
      <c r="C293" s="686" t="s">
        <v>43</v>
      </c>
      <c r="D293" s="694"/>
      <c r="E293" s="667">
        <v>80000</v>
      </c>
      <c r="F293" s="695">
        <f>D293*E293</f>
        <v>0</v>
      </c>
    </row>
    <row r="294" spans="1:6">
      <c r="A294" s="675" t="s">
        <v>853</v>
      </c>
      <c r="B294" s="688" t="s">
        <v>854</v>
      </c>
      <c r="C294" s="686" t="s">
        <v>43</v>
      </c>
      <c r="D294" s="694"/>
      <c r="E294" s="667">
        <v>120000</v>
      </c>
      <c r="F294" s="695">
        <f>D294*E294</f>
        <v>0</v>
      </c>
    </row>
    <row r="295" spans="1:6">
      <c r="A295" s="675">
        <v>11.11</v>
      </c>
      <c r="B295" s="688" t="s">
        <v>855</v>
      </c>
      <c r="C295" s="686"/>
      <c r="D295" s="694"/>
      <c r="E295" s="667"/>
      <c r="F295" s="695"/>
    </row>
    <row r="296" spans="1:6" ht="25.5">
      <c r="A296" s="675" t="s">
        <v>856</v>
      </c>
      <c r="B296" s="688" t="s">
        <v>857</v>
      </c>
      <c r="C296" s="686" t="s">
        <v>579</v>
      </c>
      <c r="D296" s="694"/>
      <c r="E296" s="667">
        <v>200000</v>
      </c>
      <c r="F296" s="695">
        <f>D296*E296</f>
        <v>0</v>
      </c>
    </row>
    <row r="297" spans="1:6">
      <c r="A297" s="675" t="s">
        <v>858</v>
      </c>
      <c r="B297" s="688" t="s">
        <v>859</v>
      </c>
      <c r="C297" s="686" t="s">
        <v>43</v>
      </c>
      <c r="D297" s="694"/>
      <c r="E297" s="667">
        <v>250000</v>
      </c>
      <c r="F297" s="695">
        <f>D297*E297</f>
        <v>0</v>
      </c>
    </row>
    <row r="298" spans="1:6">
      <c r="A298" s="675">
        <v>11.12</v>
      </c>
      <c r="B298" s="688" t="s">
        <v>860</v>
      </c>
      <c r="C298" s="686"/>
      <c r="D298" s="694"/>
      <c r="E298" s="667"/>
      <c r="F298" s="695"/>
    </row>
    <row r="299" spans="1:6">
      <c r="A299" s="675" t="s">
        <v>861</v>
      </c>
      <c r="B299" s="688" t="s">
        <v>862</v>
      </c>
      <c r="C299" s="686" t="s">
        <v>43</v>
      </c>
      <c r="D299" s="694"/>
      <c r="E299" s="667">
        <v>21500</v>
      </c>
      <c r="F299" s="695">
        <f>D299*E299</f>
        <v>0</v>
      </c>
    </row>
    <row r="300" spans="1:6">
      <c r="A300" s="675" t="s">
        <v>863</v>
      </c>
      <c r="B300" s="688" t="s">
        <v>864</v>
      </c>
      <c r="C300" s="686" t="s">
        <v>43</v>
      </c>
      <c r="D300" s="694"/>
      <c r="E300" s="667">
        <v>13500</v>
      </c>
      <c r="F300" s="695">
        <f>D300*E300</f>
        <v>0</v>
      </c>
    </row>
    <row r="301" spans="1:6">
      <c r="A301" s="675" t="s">
        <v>865</v>
      </c>
      <c r="B301" s="688" t="s">
        <v>866</v>
      </c>
      <c r="C301" s="686" t="s">
        <v>43</v>
      </c>
      <c r="D301" s="694"/>
      <c r="E301" s="667">
        <v>22000</v>
      </c>
      <c r="F301" s="695">
        <f>D301*E301</f>
        <v>0</v>
      </c>
    </row>
    <row r="302" spans="1:6">
      <c r="A302" s="675">
        <v>11.13</v>
      </c>
      <c r="B302" s="688" t="s">
        <v>867</v>
      </c>
      <c r="C302" s="686"/>
      <c r="D302" s="694"/>
      <c r="E302" s="701"/>
      <c r="F302" s="695"/>
    </row>
    <row r="303" spans="1:6">
      <c r="A303" s="675" t="s">
        <v>868</v>
      </c>
      <c r="B303" s="688" t="s">
        <v>869</v>
      </c>
      <c r="C303" s="686" t="s">
        <v>43</v>
      </c>
      <c r="D303" s="694"/>
      <c r="E303" s="667">
        <v>2200</v>
      </c>
      <c r="F303" s="695">
        <f>D303*E303</f>
        <v>0</v>
      </c>
    </row>
    <row r="304" spans="1:6">
      <c r="A304" s="685"/>
      <c r="B304" s="676" t="s">
        <v>570</v>
      </c>
      <c r="C304" s="677"/>
      <c r="D304" s="678"/>
      <c r="E304" s="679"/>
      <c r="F304" s="670">
        <f>SUM(F225:F303)</f>
        <v>0</v>
      </c>
    </row>
    <row r="305" spans="1:8">
      <c r="A305" s="685"/>
      <c r="B305" s="682"/>
      <c r="C305" s="682"/>
      <c r="D305" s="664"/>
      <c r="E305" s="683"/>
      <c r="F305" s="684"/>
    </row>
    <row r="306" spans="1:8" ht="13.5" thickBot="1">
      <c r="A306" s="702"/>
      <c r="B306" s="703"/>
      <c r="C306" s="704"/>
      <c r="D306" s="705"/>
      <c r="E306" s="706"/>
      <c r="F306" s="666"/>
    </row>
    <row r="307" spans="1:8" ht="13.5" thickTop="1">
      <c r="A307" s="707" t="s">
        <v>870</v>
      </c>
      <c r="B307" s="708"/>
      <c r="C307" s="708"/>
      <c r="D307" s="708"/>
      <c r="E307" s="708"/>
      <c r="F307" s="709" t="e">
        <f>+F221+F304+F214+F196+F180+F163+F115+F91+F61+F34+F10</f>
        <v>#VALUE!</v>
      </c>
    </row>
    <row r="308" spans="1:8">
      <c r="A308" s="710" t="s">
        <v>871</v>
      </c>
      <c r="B308" s="711"/>
      <c r="C308" s="711"/>
      <c r="D308" s="711"/>
      <c r="E308" s="712">
        <v>0.1</v>
      </c>
      <c r="F308" s="713" t="e">
        <f>F307*E308</f>
        <v>#VALUE!</v>
      </c>
      <c r="H308" s="714"/>
    </row>
    <row r="309" spans="1:8">
      <c r="A309" s="715" t="s">
        <v>102</v>
      </c>
      <c r="B309" s="711"/>
      <c r="C309" s="711"/>
      <c r="D309" s="711"/>
      <c r="E309" s="712">
        <v>0.05</v>
      </c>
      <c r="F309" s="713" t="e">
        <f>F307*E309</f>
        <v>#VALUE!</v>
      </c>
    </row>
    <row r="310" spans="1:8">
      <c r="A310" s="715" t="s">
        <v>872</v>
      </c>
      <c r="B310" s="711"/>
      <c r="C310" s="711"/>
      <c r="D310" s="711"/>
      <c r="E310" s="712">
        <v>0.05</v>
      </c>
      <c r="F310" s="713" t="e">
        <f>F307*E310</f>
        <v>#VALUE!</v>
      </c>
    </row>
    <row r="311" spans="1:8">
      <c r="A311" s="710" t="s">
        <v>873</v>
      </c>
      <c r="B311" s="711"/>
      <c r="C311" s="711"/>
      <c r="D311" s="711"/>
      <c r="E311" s="716">
        <v>0.16</v>
      </c>
      <c r="F311" s="713" t="e">
        <f>F310*E311</f>
        <v>#VALUE!</v>
      </c>
    </row>
    <row r="312" spans="1:8" ht="13.5" thickBot="1">
      <c r="A312" s="717" t="s">
        <v>131</v>
      </c>
      <c r="B312" s="718"/>
      <c r="C312" s="718"/>
      <c r="D312" s="718"/>
      <c r="E312" s="718"/>
      <c r="F312" s="719" t="e">
        <f>SUM(F307:F311)</f>
        <v>#VALUE!</v>
      </c>
    </row>
    <row r="313" spans="1:8" ht="12.75" customHeight="1" thickTop="1">
      <c r="A313" s="720"/>
      <c r="B313" s="649"/>
      <c r="C313" s="649"/>
      <c r="D313" s="649"/>
      <c r="E313" s="649"/>
      <c r="F313" s="649"/>
    </row>
  </sheetData>
  <mergeCells count="4">
    <mergeCell ref="A4:F4"/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G34"/>
  <sheetViews>
    <sheetView showGridLines="0" topLeftCell="B5" workbookViewId="0">
      <selection activeCell="B5" sqref="B5:K6"/>
    </sheetView>
  </sheetViews>
  <sheetFormatPr baseColWidth="10" defaultRowHeight="15"/>
  <cols>
    <col min="1" max="1" width="0" hidden="1" customWidth="1"/>
    <col min="2" max="2" width="5.5703125" customWidth="1"/>
    <col min="3" max="3" width="38.140625" customWidth="1"/>
    <col min="4" max="4" width="8.7109375" customWidth="1"/>
    <col min="5" max="5" width="4.28515625" customWidth="1"/>
    <col min="6" max="6" width="8.5703125" customWidth="1"/>
    <col min="7" max="7" width="0.7109375" customWidth="1"/>
    <col min="8" max="8" width="10.140625" customWidth="1"/>
    <col min="9" max="9" width="10.5703125" customWidth="1"/>
    <col min="10" max="10" width="0" hidden="1" customWidth="1"/>
    <col min="11" max="11" width="4" customWidth="1"/>
    <col min="12" max="15" width="0" hidden="1" customWidth="1"/>
    <col min="16" max="423" width="1.42578125" customWidth="1"/>
  </cols>
  <sheetData>
    <row r="1" spans="1:423" s="15" customFormat="1" ht="42" hidden="1" customHeight="1">
      <c r="A1" s="431">
        <v>173</v>
      </c>
      <c r="B1" s="432">
        <v>2</v>
      </c>
      <c r="C1" s="433"/>
      <c r="D1" s="434"/>
      <c r="E1" s="434"/>
      <c r="F1" s="435"/>
      <c r="G1" s="1879">
        <v>408578100</v>
      </c>
      <c r="H1" s="1879"/>
      <c r="I1" s="436"/>
      <c r="J1" s="437"/>
      <c r="K1" s="438"/>
      <c r="L1" s="439"/>
      <c r="M1" s="439">
        <v>0</v>
      </c>
      <c r="N1" s="439">
        <v>0</v>
      </c>
      <c r="O1" s="439">
        <v>1</v>
      </c>
      <c r="P1" s="1873" t="s">
        <v>366</v>
      </c>
      <c r="Q1" s="1874"/>
      <c r="R1" s="1874"/>
      <c r="S1" s="1874"/>
      <c r="T1" s="1874"/>
      <c r="U1" s="1874"/>
      <c r="V1" s="1875"/>
      <c r="W1" s="1873" t="s">
        <v>367</v>
      </c>
      <c r="X1" s="1874"/>
      <c r="Y1" s="1874"/>
      <c r="Z1" s="1874"/>
      <c r="AA1" s="1874"/>
      <c r="AB1" s="1874"/>
      <c r="AC1" s="1875"/>
      <c r="AD1" s="1873" t="s">
        <v>368</v>
      </c>
      <c r="AE1" s="1874"/>
      <c r="AF1" s="1874"/>
      <c r="AG1" s="1874"/>
      <c r="AH1" s="1874"/>
      <c r="AI1" s="1874"/>
      <c r="AJ1" s="1875"/>
      <c r="AK1" s="1873" t="s">
        <v>369</v>
      </c>
      <c r="AL1" s="1874"/>
      <c r="AM1" s="1874"/>
      <c r="AN1" s="1874"/>
      <c r="AO1" s="1874"/>
      <c r="AP1" s="1874"/>
      <c r="AQ1" s="1875"/>
      <c r="AR1" s="1873" t="s">
        <v>370</v>
      </c>
      <c r="AS1" s="1874"/>
      <c r="AT1" s="1874"/>
      <c r="AU1" s="1874"/>
      <c r="AV1" s="1874"/>
      <c r="AW1" s="1874"/>
      <c r="AX1" s="1875"/>
      <c r="AY1" s="1873" t="s">
        <v>371</v>
      </c>
      <c r="AZ1" s="1874"/>
      <c r="BA1" s="1874"/>
      <c r="BB1" s="1874"/>
      <c r="BC1" s="1874"/>
      <c r="BD1" s="1874"/>
      <c r="BE1" s="1875"/>
      <c r="BF1" s="1873" t="s">
        <v>372</v>
      </c>
      <c r="BG1" s="1874"/>
      <c r="BH1" s="1874"/>
      <c r="BI1" s="1874"/>
      <c r="BJ1" s="1874"/>
      <c r="BK1" s="1874"/>
      <c r="BL1" s="1875"/>
      <c r="BM1" s="1873" t="s">
        <v>373</v>
      </c>
      <c r="BN1" s="1874"/>
      <c r="BO1" s="1874"/>
      <c r="BP1" s="1874"/>
      <c r="BQ1" s="1874"/>
      <c r="BR1" s="1874"/>
      <c r="BS1" s="1875"/>
      <c r="BT1" s="1873" t="s">
        <v>374</v>
      </c>
      <c r="BU1" s="1874"/>
      <c r="BV1" s="1874"/>
      <c r="BW1" s="1874"/>
      <c r="BX1" s="1874"/>
      <c r="BY1" s="1874"/>
      <c r="BZ1" s="1875"/>
      <c r="CA1" s="1873" t="s">
        <v>375</v>
      </c>
      <c r="CB1" s="1874"/>
      <c r="CC1" s="1874"/>
      <c r="CD1" s="1874"/>
      <c r="CE1" s="1874"/>
      <c r="CF1" s="1874"/>
      <c r="CG1" s="1875"/>
      <c r="CH1" s="1873" t="s">
        <v>376</v>
      </c>
      <c r="CI1" s="1874"/>
      <c r="CJ1" s="1874"/>
      <c r="CK1" s="1874"/>
      <c r="CL1" s="1874"/>
      <c r="CM1" s="1874"/>
      <c r="CN1" s="1875"/>
      <c r="CO1" s="1873" t="s">
        <v>377</v>
      </c>
      <c r="CP1" s="1874"/>
      <c r="CQ1" s="1874"/>
      <c r="CR1" s="1874"/>
      <c r="CS1" s="1874"/>
      <c r="CT1" s="1874"/>
      <c r="CU1" s="1875"/>
      <c r="CV1" s="1873" t="s">
        <v>378</v>
      </c>
      <c r="CW1" s="1874"/>
      <c r="CX1" s="1874"/>
      <c r="CY1" s="1874"/>
      <c r="CZ1" s="1874"/>
      <c r="DA1" s="1874"/>
      <c r="DB1" s="1875"/>
      <c r="DC1" s="1873" t="s">
        <v>379</v>
      </c>
      <c r="DD1" s="1874"/>
      <c r="DE1" s="1874"/>
      <c r="DF1" s="1874"/>
      <c r="DG1" s="1874"/>
      <c r="DH1" s="1874"/>
      <c r="DI1" s="1875"/>
      <c r="DJ1" s="1873" t="s">
        <v>380</v>
      </c>
      <c r="DK1" s="1874"/>
      <c r="DL1" s="1874"/>
      <c r="DM1" s="1874"/>
      <c r="DN1" s="1874"/>
      <c r="DO1" s="1874"/>
      <c r="DP1" s="1875"/>
      <c r="DQ1" s="1873" t="s">
        <v>381</v>
      </c>
      <c r="DR1" s="1874"/>
      <c r="DS1" s="1874"/>
      <c r="DT1" s="1874"/>
      <c r="DU1" s="1874"/>
      <c r="DV1" s="1874"/>
      <c r="DW1" s="1875"/>
      <c r="DX1" s="1873" t="s">
        <v>382</v>
      </c>
      <c r="DY1" s="1874"/>
      <c r="DZ1" s="1874"/>
      <c r="EA1" s="1874"/>
      <c r="EB1" s="1874"/>
      <c r="EC1" s="1874"/>
      <c r="ED1" s="1875"/>
      <c r="EE1" s="1873" t="s">
        <v>383</v>
      </c>
      <c r="EF1" s="1874"/>
      <c r="EG1" s="1874"/>
      <c r="EH1" s="1874"/>
      <c r="EI1" s="1874"/>
      <c r="EJ1" s="1874"/>
      <c r="EK1" s="1875"/>
      <c r="EL1" s="1873" t="s">
        <v>384</v>
      </c>
      <c r="EM1" s="1874"/>
      <c r="EN1" s="1874"/>
      <c r="EO1" s="1874"/>
      <c r="EP1" s="1874"/>
      <c r="EQ1" s="1874"/>
      <c r="ER1" s="1875"/>
      <c r="ES1" s="1873" t="s">
        <v>385</v>
      </c>
      <c r="ET1" s="1874"/>
      <c r="EU1" s="1874"/>
      <c r="EV1" s="1874"/>
      <c r="EW1" s="1874"/>
      <c r="EX1" s="1874"/>
      <c r="EY1" s="1875"/>
      <c r="EZ1" s="1873" t="s">
        <v>386</v>
      </c>
      <c r="FA1" s="1874"/>
      <c r="FB1" s="1874"/>
      <c r="FC1" s="1874"/>
      <c r="FD1" s="1874"/>
      <c r="FE1" s="1874"/>
      <c r="FF1" s="1875"/>
      <c r="FG1" s="1873" t="s">
        <v>387</v>
      </c>
      <c r="FH1" s="1874"/>
      <c r="FI1" s="1874"/>
      <c r="FJ1" s="1874"/>
      <c r="FK1" s="1874"/>
      <c r="FL1" s="1874"/>
      <c r="FM1" s="1875"/>
      <c r="FN1" s="1873" t="s">
        <v>388</v>
      </c>
      <c r="FO1" s="1874"/>
      <c r="FP1" s="1874"/>
      <c r="FQ1" s="1874"/>
      <c r="FR1" s="1874"/>
      <c r="FS1" s="1874"/>
      <c r="FT1" s="1875"/>
      <c r="FU1" s="1873" t="s">
        <v>389</v>
      </c>
      <c r="FV1" s="1874"/>
      <c r="FW1" s="1874"/>
      <c r="FX1" s="1874"/>
      <c r="FY1" s="1874"/>
      <c r="FZ1" s="1874"/>
      <c r="GA1" s="1875"/>
      <c r="GB1" s="1873" t="s">
        <v>390</v>
      </c>
      <c r="GC1" s="1874"/>
      <c r="GD1" s="1874"/>
      <c r="GE1" s="1874"/>
      <c r="GF1" s="1874"/>
      <c r="GG1" s="1874"/>
      <c r="GH1" s="1875"/>
      <c r="GI1" s="1873" t="s">
        <v>391</v>
      </c>
      <c r="GJ1" s="1874"/>
      <c r="GK1" s="1874"/>
      <c r="GL1" s="1874"/>
      <c r="GM1" s="1874"/>
      <c r="GN1" s="1874"/>
      <c r="GO1" s="1875"/>
      <c r="GP1" s="1873" t="s">
        <v>392</v>
      </c>
      <c r="GQ1" s="1874"/>
      <c r="GR1" s="1874"/>
      <c r="GS1" s="1874"/>
      <c r="GT1" s="1874"/>
      <c r="GU1" s="1874"/>
      <c r="GV1" s="1875"/>
      <c r="GW1" s="1873" t="s">
        <v>393</v>
      </c>
      <c r="GX1" s="1874"/>
      <c r="GY1" s="1874"/>
      <c r="GZ1" s="1874"/>
      <c r="HA1" s="1874"/>
      <c r="HB1" s="1874"/>
      <c r="HC1" s="1875"/>
      <c r="HD1" s="1873" t="s">
        <v>394</v>
      </c>
      <c r="HE1" s="1874"/>
      <c r="HF1" s="1874"/>
      <c r="HG1" s="1874"/>
      <c r="HH1" s="1874"/>
      <c r="HI1" s="1874"/>
      <c r="HJ1" s="1875"/>
      <c r="HK1" s="1873" t="s">
        <v>395</v>
      </c>
      <c r="HL1" s="1874"/>
      <c r="HM1" s="1874"/>
      <c r="HN1" s="1874"/>
      <c r="HO1" s="1874"/>
      <c r="HP1" s="1874"/>
      <c r="HQ1" s="1875"/>
      <c r="HR1" s="1873" t="s">
        <v>396</v>
      </c>
      <c r="HS1" s="1874"/>
      <c r="HT1" s="1874"/>
      <c r="HU1" s="1874"/>
      <c r="HV1" s="1874"/>
      <c r="HW1" s="1874"/>
      <c r="HX1" s="1875"/>
      <c r="HY1" s="1873" t="s">
        <v>397</v>
      </c>
      <c r="HZ1" s="1874"/>
      <c r="IA1" s="1874"/>
      <c r="IB1" s="1874"/>
      <c r="IC1" s="1874"/>
      <c r="ID1" s="1874"/>
      <c r="IE1" s="1875"/>
      <c r="IF1" s="1873" t="s">
        <v>398</v>
      </c>
      <c r="IG1" s="1874"/>
      <c r="IH1" s="1874"/>
      <c r="II1" s="1874"/>
      <c r="IJ1" s="1874"/>
      <c r="IK1" s="1874"/>
      <c r="IL1" s="1875"/>
      <c r="IM1" s="1873" t="s">
        <v>399</v>
      </c>
      <c r="IN1" s="1874"/>
      <c r="IO1" s="1874"/>
      <c r="IP1" s="1874"/>
      <c r="IQ1" s="1874"/>
      <c r="IR1" s="1874"/>
      <c r="IS1" s="1875"/>
      <c r="IT1" s="1873" t="s">
        <v>400</v>
      </c>
      <c r="IU1" s="1874"/>
      <c r="IV1" s="1874"/>
      <c r="IW1" s="1874"/>
      <c r="IX1" s="1874"/>
      <c r="IY1" s="1874"/>
      <c r="IZ1" s="1875"/>
      <c r="JA1" s="1873" t="s">
        <v>401</v>
      </c>
      <c r="JB1" s="1874"/>
      <c r="JC1" s="1874"/>
      <c r="JD1" s="1874"/>
      <c r="JE1" s="1874"/>
      <c r="JF1" s="1874"/>
      <c r="JG1" s="1875"/>
      <c r="JH1" s="1873" t="s">
        <v>402</v>
      </c>
      <c r="JI1" s="1874"/>
      <c r="JJ1" s="1874"/>
      <c r="JK1" s="1874"/>
      <c r="JL1" s="1874"/>
      <c r="JM1" s="1874"/>
      <c r="JN1" s="1875"/>
      <c r="JO1" s="1873" t="s">
        <v>403</v>
      </c>
      <c r="JP1" s="1874"/>
      <c r="JQ1" s="1874"/>
      <c r="JR1" s="1874"/>
      <c r="JS1" s="1874"/>
      <c r="JT1" s="1874"/>
      <c r="JU1" s="1875"/>
      <c r="JV1" s="1873" t="s">
        <v>404</v>
      </c>
      <c r="JW1" s="1874"/>
      <c r="JX1" s="1874"/>
      <c r="JY1" s="1874"/>
      <c r="JZ1" s="1874"/>
      <c r="KA1" s="1874"/>
      <c r="KB1" s="1875"/>
      <c r="KC1" s="1873" t="s">
        <v>405</v>
      </c>
      <c r="KD1" s="1874"/>
      <c r="KE1" s="1874"/>
      <c r="KF1" s="1874"/>
      <c r="KG1" s="1874"/>
      <c r="KH1" s="1874"/>
      <c r="KI1" s="1875"/>
      <c r="KJ1" s="1873" t="s">
        <v>406</v>
      </c>
      <c r="KK1" s="1874"/>
      <c r="KL1" s="1874"/>
      <c r="KM1" s="1874"/>
      <c r="KN1" s="1874"/>
      <c r="KO1" s="1874"/>
      <c r="KP1" s="1875"/>
      <c r="KQ1" s="1873" t="s">
        <v>407</v>
      </c>
      <c r="KR1" s="1874"/>
      <c r="KS1" s="1874"/>
      <c r="KT1" s="1874"/>
      <c r="KU1" s="1874"/>
      <c r="KV1" s="1874"/>
      <c r="KW1" s="1875"/>
      <c r="KX1" s="1873" t="s">
        <v>408</v>
      </c>
      <c r="KY1" s="1874"/>
      <c r="KZ1" s="1874"/>
      <c r="LA1" s="1874"/>
      <c r="LB1" s="1874"/>
      <c r="LC1" s="1874"/>
      <c r="LD1" s="1875"/>
      <c r="LE1" s="1873" t="s">
        <v>409</v>
      </c>
      <c r="LF1" s="1874"/>
      <c r="LG1" s="1874"/>
      <c r="LH1" s="1874"/>
      <c r="LI1" s="1874"/>
      <c r="LJ1" s="1874"/>
      <c r="LK1" s="1875"/>
      <c r="LL1" s="1873" t="s">
        <v>410</v>
      </c>
      <c r="LM1" s="1874"/>
      <c r="LN1" s="1874"/>
      <c r="LO1" s="1874"/>
      <c r="LP1" s="1874"/>
      <c r="LQ1" s="1874"/>
      <c r="LR1" s="1875"/>
      <c r="LS1" s="1873" t="s">
        <v>411</v>
      </c>
      <c r="LT1" s="1874"/>
      <c r="LU1" s="1874"/>
      <c r="LV1" s="1874"/>
      <c r="LW1" s="1874"/>
      <c r="LX1" s="1874"/>
      <c r="LY1" s="1875"/>
      <c r="LZ1" s="1873" t="s">
        <v>412</v>
      </c>
      <c r="MA1" s="1874"/>
      <c r="MB1" s="1874"/>
      <c r="MC1" s="1874"/>
      <c r="MD1" s="1874"/>
      <c r="ME1" s="1874"/>
      <c r="MF1" s="1875"/>
      <c r="MG1" s="1873" t="s">
        <v>413</v>
      </c>
      <c r="MH1" s="1874"/>
      <c r="MI1" s="1874"/>
      <c r="MJ1" s="1874"/>
      <c r="MK1" s="1874"/>
      <c r="ML1" s="1874"/>
      <c r="MM1" s="1875"/>
      <c r="MN1" s="1873" t="s">
        <v>414</v>
      </c>
      <c r="MO1" s="1874"/>
      <c r="MP1" s="1874"/>
      <c r="MQ1" s="1874"/>
      <c r="MR1" s="1874"/>
      <c r="MS1" s="1874"/>
      <c r="MT1" s="1875"/>
      <c r="MU1" s="1873" t="s">
        <v>415</v>
      </c>
      <c r="MV1" s="1874"/>
      <c r="MW1" s="1874"/>
      <c r="MX1" s="1874"/>
      <c r="MY1" s="1874"/>
      <c r="MZ1" s="1874"/>
      <c r="NA1" s="1875"/>
      <c r="NB1" s="1873" t="s">
        <v>416</v>
      </c>
      <c r="NC1" s="1874"/>
      <c r="ND1" s="1874"/>
      <c r="NE1" s="1874"/>
      <c r="NF1" s="1874"/>
      <c r="NG1" s="1874"/>
      <c r="NH1" s="1875"/>
      <c r="NI1" s="1873" t="s">
        <v>417</v>
      </c>
      <c r="NJ1" s="1874"/>
      <c r="NK1" s="1874"/>
      <c r="NL1" s="1874"/>
      <c r="NM1" s="1874"/>
      <c r="NN1" s="1874"/>
      <c r="NO1" s="1875"/>
      <c r="NP1" s="1873" t="s">
        <v>418</v>
      </c>
      <c r="NQ1" s="1874"/>
      <c r="NR1" s="1874"/>
      <c r="NS1" s="1874"/>
      <c r="NT1" s="1874"/>
      <c r="NU1" s="1874"/>
      <c r="NV1" s="1875"/>
      <c r="NW1" s="1873" t="s">
        <v>419</v>
      </c>
      <c r="NX1" s="1874"/>
      <c r="NY1" s="1874"/>
      <c r="NZ1" s="1874"/>
      <c r="OA1" s="1874"/>
      <c r="OB1" s="1874"/>
      <c r="OC1" s="1875"/>
      <c r="OD1" s="1873" t="s">
        <v>420</v>
      </c>
      <c r="OE1" s="1874"/>
      <c r="OF1" s="1874"/>
      <c r="OG1" s="1874"/>
      <c r="OH1" s="1874"/>
      <c r="OI1" s="1874"/>
      <c r="OJ1" s="1875"/>
      <c r="OK1" s="1873" t="s">
        <v>421</v>
      </c>
      <c r="OL1" s="1874"/>
      <c r="OM1" s="1874"/>
      <c r="ON1" s="1874"/>
      <c r="OO1" s="1874"/>
      <c r="OP1" s="1874"/>
      <c r="OQ1" s="1875"/>
    </row>
    <row r="2" spans="1:423" s="15" customFormat="1" ht="19.5" hidden="1" customHeight="1">
      <c r="A2" s="431">
        <v>2</v>
      </c>
      <c r="B2" s="440"/>
      <c r="C2" s="433"/>
      <c r="D2" s="435"/>
      <c r="E2" s="435"/>
      <c r="F2" s="435"/>
      <c r="G2" s="436"/>
      <c r="H2" s="436"/>
      <c r="I2" s="436"/>
      <c r="J2" s="437"/>
      <c r="K2" s="438"/>
      <c r="L2" s="439"/>
      <c r="M2" s="439"/>
      <c r="N2" s="439"/>
      <c r="O2" s="439"/>
      <c r="P2" s="441">
        <v>1</v>
      </c>
      <c r="Q2" s="441">
        <v>2</v>
      </c>
      <c r="R2" s="441">
        <v>3</v>
      </c>
      <c r="S2" s="441">
        <v>4</v>
      </c>
      <c r="T2" s="441">
        <v>5</v>
      </c>
      <c r="U2" s="441">
        <v>6</v>
      </c>
      <c r="V2" s="441">
        <v>7</v>
      </c>
      <c r="W2" s="441">
        <v>8</v>
      </c>
      <c r="X2" s="441">
        <v>9</v>
      </c>
      <c r="Y2" s="441">
        <v>10</v>
      </c>
      <c r="Z2" s="441">
        <v>11</v>
      </c>
      <c r="AA2" s="441">
        <v>12</v>
      </c>
      <c r="AB2" s="441">
        <v>13</v>
      </c>
      <c r="AC2" s="441">
        <v>14</v>
      </c>
      <c r="AD2" s="441">
        <v>15</v>
      </c>
      <c r="AE2" s="441">
        <v>16</v>
      </c>
      <c r="AF2" s="441">
        <v>17</v>
      </c>
      <c r="AG2" s="441">
        <v>18</v>
      </c>
      <c r="AH2" s="441">
        <v>19</v>
      </c>
      <c r="AI2" s="441">
        <v>20</v>
      </c>
      <c r="AJ2" s="441">
        <v>21</v>
      </c>
      <c r="AK2" s="441">
        <v>22</v>
      </c>
      <c r="AL2" s="441">
        <v>23</v>
      </c>
      <c r="AM2" s="441">
        <v>24</v>
      </c>
      <c r="AN2" s="441">
        <v>25</v>
      </c>
      <c r="AO2" s="441">
        <v>26</v>
      </c>
      <c r="AP2" s="441">
        <v>27</v>
      </c>
      <c r="AQ2" s="441">
        <v>28</v>
      </c>
      <c r="AR2" s="441">
        <v>29</v>
      </c>
      <c r="AS2" s="441">
        <v>30</v>
      </c>
      <c r="AT2" s="441">
        <v>31</v>
      </c>
      <c r="AU2" s="441">
        <v>32</v>
      </c>
      <c r="AV2" s="441">
        <v>33</v>
      </c>
      <c r="AW2" s="441">
        <v>34</v>
      </c>
      <c r="AX2" s="441">
        <v>35</v>
      </c>
      <c r="AY2" s="441">
        <v>36</v>
      </c>
      <c r="AZ2" s="441">
        <v>37</v>
      </c>
      <c r="BA2" s="441">
        <v>38</v>
      </c>
      <c r="BB2" s="441">
        <v>39</v>
      </c>
      <c r="BC2" s="441">
        <v>40</v>
      </c>
      <c r="BD2" s="441">
        <v>41</v>
      </c>
      <c r="BE2" s="441">
        <v>42</v>
      </c>
      <c r="BF2" s="441">
        <v>43</v>
      </c>
      <c r="BG2" s="441">
        <v>44</v>
      </c>
      <c r="BH2" s="441">
        <v>45</v>
      </c>
      <c r="BI2" s="441">
        <v>46</v>
      </c>
      <c r="BJ2" s="441">
        <v>47</v>
      </c>
      <c r="BK2" s="441">
        <v>48</v>
      </c>
      <c r="BL2" s="441">
        <v>49</v>
      </c>
      <c r="BM2" s="441">
        <v>50</v>
      </c>
      <c r="BN2" s="441">
        <v>51</v>
      </c>
      <c r="BO2" s="441">
        <v>52</v>
      </c>
      <c r="BP2" s="441">
        <v>53</v>
      </c>
      <c r="BQ2" s="441">
        <v>54</v>
      </c>
      <c r="BR2" s="441">
        <v>55</v>
      </c>
      <c r="BS2" s="441">
        <v>56</v>
      </c>
      <c r="BT2" s="441">
        <v>57</v>
      </c>
      <c r="BU2" s="441">
        <v>58</v>
      </c>
      <c r="BV2" s="441">
        <v>59</v>
      </c>
      <c r="BW2" s="441">
        <v>60</v>
      </c>
      <c r="BX2" s="441">
        <v>61</v>
      </c>
      <c r="BY2" s="441">
        <v>62</v>
      </c>
      <c r="BZ2" s="441">
        <v>63</v>
      </c>
      <c r="CA2" s="441">
        <v>64</v>
      </c>
      <c r="CB2" s="441">
        <v>65</v>
      </c>
      <c r="CC2" s="441">
        <v>66</v>
      </c>
      <c r="CD2" s="441">
        <v>67</v>
      </c>
      <c r="CE2" s="441">
        <v>68</v>
      </c>
      <c r="CF2" s="441">
        <v>69</v>
      </c>
      <c r="CG2" s="441">
        <v>70</v>
      </c>
      <c r="CH2" s="441">
        <v>71</v>
      </c>
      <c r="CI2" s="441">
        <v>72</v>
      </c>
      <c r="CJ2" s="441">
        <v>73</v>
      </c>
      <c r="CK2" s="441">
        <v>74</v>
      </c>
      <c r="CL2" s="441">
        <v>75</v>
      </c>
      <c r="CM2" s="441">
        <v>76</v>
      </c>
      <c r="CN2" s="441">
        <v>77</v>
      </c>
      <c r="CO2" s="441">
        <v>78</v>
      </c>
      <c r="CP2" s="441">
        <v>79</v>
      </c>
      <c r="CQ2" s="441">
        <v>80</v>
      </c>
      <c r="CR2" s="441">
        <v>81</v>
      </c>
      <c r="CS2" s="441">
        <v>82</v>
      </c>
      <c r="CT2" s="441">
        <v>83</v>
      </c>
      <c r="CU2" s="441">
        <v>84</v>
      </c>
      <c r="CV2" s="441">
        <v>85</v>
      </c>
      <c r="CW2" s="441">
        <v>86</v>
      </c>
      <c r="CX2" s="441">
        <v>87</v>
      </c>
      <c r="CY2" s="441">
        <v>88</v>
      </c>
      <c r="CZ2" s="441">
        <v>89</v>
      </c>
      <c r="DA2" s="441">
        <v>90</v>
      </c>
      <c r="DB2" s="441">
        <v>91</v>
      </c>
      <c r="DC2" s="441">
        <v>92</v>
      </c>
      <c r="DD2" s="441">
        <v>93</v>
      </c>
      <c r="DE2" s="441">
        <v>94</v>
      </c>
      <c r="DF2" s="441">
        <v>95</v>
      </c>
      <c r="DG2" s="441">
        <v>96</v>
      </c>
      <c r="DH2" s="441">
        <v>97</v>
      </c>
      <c r="DI2" s="441">
        <v>98</v>
      </c>
      <c r="DJ2" s="441">
        <v>99</v>
      </c>
      <c r="DK2" s="441">
        <v>100</v>
      </c>
      <c r="DL2" s="441">
        <v>101</v>
      </c>
      <c r="DM2" s="441">
        <v>102</v>
      </c>
      <c r="DN2" s="441">
        <v>103</v>
      </c>
      <c r="DO2" s="441">
        <v>104</v>
      </c>
      <c r="DP2" s="441">
        <v>105</v>
      </c>
      <c r="DQ2" s="441">
        <v>106</v>
      </c>
      <c r="DR2" s="441">
        <v>107</v>
      </c>
      <c r="DS2" s="441">
        <v>108</v>
      </c>
      <c r="DT2" s="441">
        <v>109</v>
      </c>
      <c r="DU2" s="441">
        <v>110</v>
      </c>
      <c r="DV2" s="441">
        <v>111</v>
      </c>
      <c r="DW2" s="441">
        <v>112</v>
      </c>
      <c r="DX2" s="441">
        <v>113</v>
      </c>
      <c r="DY2" s="441">
        <v>114</v>
      </c>
      <c r="DZ2" s="441">
        <v>115</v>
      </c>
      <c r="EA2" s="441">
        <v>116</v>
      </c>
      <c r="EB2" s="441">
        <v>117</v>
      </c>
      <c r="EC2" s="441">
        <v>118</v>
      </c>
      <c r="ED2" s="441">
        <v>119</v>
      </c>
      <c r="EE2" s="441">
        <v>120</v>
      </c>
      <c r="EF2" s="441">
        <v>121</v>
      </c>
      <c r="EG2" s="441">
        <v>122</v>
      </c>
      <c r="EH2" s="441">
        <v>123</v>
      </c>
      <c r="EI2" s="441">
        <v>124</v>
      </c>
      <c r="EJ2" s="441">
        <v>125</v>
      </c>
      <c r="EK2" s="441">
        <v>126</v>
      </c>
      <c r="EL2" s="441">
        <v>127</v>
      </c>
      <c r="EM2" s="441">
        <v>128</v>
      </c>
      <c r="EN2" s="441">
        <v>129</v>
      </c>
      <c r="EO2" s="441">
        <v>130</v>
      </c>
      <c r="EP2" s="441">
        <v>131</v>
      </c>
      <c r="EQ2" s="441">
        <v>132</v>
      </c>
      <c r="ER2" s="441">
        <v>133</v>
      </c>
      <c r="ES2" s="441">
        <v>134</v>
      </c>
      <c r="ET2" s="441">
        <v>135</v>
      </c>
      <c r="EU2" s="441">
        <v>136</v>
      </c>
      <c r="EV2" s="441">
        <v>137</v>
      </c>
      <c r="EW2" s="441">
        <v>138</v>
      </c>
      <c r="EX2" s="441">
        <v>139</v>
      </c>
      <c r="EY2" s="441">
        <v>140</v>
      </c>
      <c r="EZ2" s="441">
        <v>141</v>
      </c>
      <c r="FA2" s="441">
        <v>142</v>
      </c>
      <c r="FB2" s="441">
        <v>143</v>
      </c>
      <c r="FC2" s="441">
        <v>144</v>
      </c>
      <c r="FD2" s="441">
        <v>145</v>
      </c>
      <c r="FE2" s="441">
        <v>146</v>
      </c>
      <c r="FF2" s="441">
        <v>147</v>
      </c>
      <c r="FG2" s="441">
        <v>148</v>
      </c>
      <c r="FH2" s="441">
        <v>149</v>
      </c>
      <c r="FI2" s="441">
        <v>150</v>
      </c>
      <c r="FJ2" s="441">
        <v>151</v>
      </c>
      <c r="FK2" s="441">
        <v>152</v>
      </c>
      <c r="FL2" s="441">
        <v>153</v>
      </c>
      <c r="FM2" s="441">
        <v>154</v>
      </c>
      <c r="FN2" s="441">
        <v>155</v>
      </c>
      <c r="FO2" s="441">
        <v>156</v>
      </c>
      <c r="FP2" s="441">
        <v>157</v>
      </c>
      <c r="FQ2" s="441">
        <v>158</v>
      </c>
      <c r="FR2" s="441">
        <v>159</v>
      </c>
      <c r="FS2" s="441">
        <v>160</v>
      </c>
      <c r="FT2" s="441">
        <v>161</v>
      </c>
      <c r="FU2" s="441">
        <v>162</v>
      </c>
      <c r="FV2" s="441">
        <v>163</v>
      </c>
      <c r="FW2" s="441">
        <v>164</v>
      </c>
      <c r="FX2" s="441">
        <v>165</v>
      </c>
      <c r="FY2" s="441">
        <v>166</v>
      </c>
      <c r="FZ2" s="441">
        <v>167</v>
      </c>
      <c r="GA2" s="441">
        <v>168</v>
      </c>
      <c r="GB2" s="441">
        <v>169</v>
      </c>
      <c r="GC2" s="441">
        <v>170</v>
      </c>
      <c r="GD2" s="441">
        <v>171</v>
      </c>
      <c r="GE2" s="441">
        <v>172</v>
      </c>
      <c r="GF2" s="441">
        <v>173</v>
      </c>
      <c r="GG2" s="441">
        <v>174</v>
      </c>
      <c r="GH2" s="441">
        <v>175</v>
      </c>
      <c r="GI2" s="441">
        <v>176</v>
      </c>
      <c r="GJ2" s="441">
        <v>177</v>
      </c>
      <c r="GK2" s="441">
        <v>178</v>
      </c>
      <c r="GL2" s="441">
        <v>179</v>
      </c>
      <c r="GM2" s="441">
        <v>180</v>
      </c>
      <c r="GN2" s="441">
        <v>181</v>
      </c>
      <c r="GO2" s="441">
        <v>182</v>
      </c>
      <c r="GP2" s="441">
        <v>183</v>
      </c>
      <c r="GQ2" s="441">
        <v>184</v>
      </c>
      <c r="GR2" s="441">
        <v>185</v>
      </c>
      <c r="GS2" s="441">
        <v>186</v>
      </c>
      <c r="GT2" s="441">
        <v>187</v>
      </c>
      <c r="GU2" s="441">
        <v>188</v>
      </c>
      <c r="GV2" s="441">
        <v>189</v>
      </c>
      <c r="GW2" s="441">
        <v>190</v>
      </c>
      <c r="GX2" s="441">
        <v>191</v>
      </c>
      <c r="GY2" s="441">
        <v>192</v>
      </c>
      <c r="GZ2" s="441">
        <v>193</v>
      </c>
      <c r="HA2" s="441">
        <v>194</v>
      </c>
      <c r="HB2" s="441">
        <v>195</v>
      </c>
      <c r="HC2" s="441">
        <v>196</v>
      </c>
      <c r="HD2" s="441">
        <v>197</v>
      </c>
      <c r="HE2" s="441">
        <v>198</v>
      </c>
      <c r="HF2" s="441">
        <v>199</v>
      </c>
      <c r="HG2" s="441">
        <v>200</v>
      </c>
      <c r="HH2" s="441">
        <v>201</v>
      </c>
      <c r="HI2" s="441">
        <v>202</v>
      </c>
      <c r="HJ2" s="441">
        <v>203</v>
      </c>
      <c r="HK2" s="441">
        <v>204</v>
      </c>
      <c r="HL2" s="441">
        <v>205</v>
      </c>
      <c r="HM2" s="441">
        <v>206</v>
      </c>
      <c r="HN2" s="441">
        <v>207</v>
      </c>
      <c r="HO2" s="441">
        <v>208</v>
      </c>
      <c r="HP2" s="441">
        <v>209</v>
      </c>
      <c r="HQ2" s="441">
        <v>210</v>
      </c>
      <c r="HR2" s="441">
        <v>211</v>
      </c>
      <c r="HS2" s="441">
        <v>212</v>
      </c>
      <c r="HT2" s="441">
        <v>213</v>
      </c>
      <c r="HU2" s="441">
        <v>214</v>
      </c>
      <c r="HV2" s="441">
        <v>215</v>
      </c>
      <c r="HW2" s="441">
        <v>216</v>
      </c>
      <c r="HX2" s="441">
        <v>217</v>
      </c>
      <c r="HY2" s="441">
        <v>218</v>
      </c>
      <c r="HZ2" s="441">
        <v>219</v>
      </c>
      <c r="IA2" s="441">
        <v>220</v>
      </c>
      <c r="IB2" s="441">
        <v>221</v>
      </c>
      <c r="IC2" s="441">
        <v>222</v>
      </c>
      <c r="ID2" s="441">
        <v>223</v>
      </c>
      <c r="IE2" s="441">
        <v>224</v>
      </c>
      <c r="IF2" s="441">
        <v>225</v>
      </c>
      <c r="IG2" s="441">
        <v>226</v>
      </c>
      <c r="IH2" s="441">
        <v>227</v>
      </c>
      <c r="II2" s="441">
        <v>228</v>
      </c>
      <c r="IJ2" s="441">
        <v>229</v>
      </c>
      <c r="IK2" s="441">
        <v>230</v>
      </c>
      <c r="IL2" s="441">
        <v>231</v>
      </c>
      <c r="IM2" s="441">
        <v>232</v>
      </c>
      <c r="IN2" s="441">
        <v>233</v>
      </c>
      <c r="IO2" s="441">
        <v>234</v>
      </c>
      <c r="IP2" s="441">
        <v>235</v>
      </c>
      <c r="IQ2" s="441">
        <v>236</v>
      </c>
      <c r="IR2" s="441">
        <v>237</v>
      </c>
      <c r="IS2" s="441">
        <v>238</v>
      </c>
      <c r="IT2" s="441">
        <v>239</v>
      </c>
      <c r="IU2" s="441">
        <v>240</v>
      </c>
      <c r="IV2" s="441">
        <v>241</v>
      </c>
      <c r="IW2" s="441">
        <v>242</v>
      </c>
      <c r="IX2" s="441">
        <v>243</v>
      </c>
      <c r="IY2" s="441">
        <v>244</v>
      </c>
      <c r="IZ2" s="441">
        <v>245</v>
      </c>
      <c r="JA2" s="441">
        <v>246</v>
      </c>
      <c r="JB2" s="441">
        <v>247</v>
      </c>
      <c r="JC2" s="441">
        <v>248</v>
      </c>
      <c r="JD2" s="441">
        <v>249</v>
      </c>
      <c r="JE2" s="441">
        <v>250</v>
      </c>
      <c r="JF2" s="441">
        <v>251</v>
      </c>
      <c r="JG2" s="441">
        <v>252</v>
      </c>
      <c r="JH2" s="441">
        <v>253</v>
      </c>
      <c r="JI2" s="441">
        <v>254</v>
      </c>
      <c r="JJ2" s="441">
        <v>255</v>
      </c>
      <c r="JK2" s="441">
        <v>256</v>
      </c>
      <c r="JL2" s="441">
        <v>257</v>
      </c>
      <c r="JM2" s="441">
        <v>258</v>
      </c>
      <c r="JN2" s="441">
        <v>259</v>
      </c>
      <c r="JO2" s="441">
        <v>260</v>
      </c>
      <c r="JP2" s="441">
        <v>261</v>
      </c>
      <c r="JQ2" s="441">
        <v>262</v>
      </c>
      <c r="JR2" s="441">
        <v>263</v>
      </c>
      <c r="JS2" s="441">
        <v>264</v>
      </c>
      <c r="JT2" s="441">
        <v>265</v>
      </c>
      <c r="JU2" s="441">
        <v>266</v>
      </c>
      <c r="JV2" s="441">
        <v>267</v>
      </c>
      <c r="JW2" s="441">
        <v>268</v>
      </c>
      <c r="JX2" s="441">
        <v>269</v>
      </c>
      <c r="JY2" s="441">
        <v>270</v>
      </c>
      <c r="JZ2" s="441">
        <v>271</v>
      </c>
      <c r="KA2" s="441">
        <v>272</v>
      </c>
      <c r="KB2" s="441">
        <v>273</v>
      </c>
      <c r="KC2" s="441">
        <v>274</v>
      </c>
      <c r="KD2" s="441">
        <v>275</v>
      </c>
      <c r="KE2" s="441">
        <v>276</v>
      </c>
      <c r="KF2" s="441">
        <v>277</v>
      </c>
      <c r="KG2" s="441">
        <v>278</v>
      </c>
      <c r="KH2" s="441">
        <v>279</v>
      </c>
      <c r="KI2" s="441">
        <v>280</v>
      </c>
      <c r="KJ2" s="441">
        <v>281</v>
      </c>
      <c r="KK2" s="441">
        <v>282</v>
      </c>
      <c r="KL2" s="441">
        <v>283</v>
      </c>
      <c r="KM2" s="441">
        <v>284</v>
      </c>
      <c r="KN2" s="441">
        <v>285</v>
      </c>
      <c r="KO2" s="441">
        <v>286</v>
      </c>
      <c r="KP2" s="441">
        <v>287</v>
      </c>
      <c r="KQ2" s="441">
        <v>288</v>
      </c>
      <c r="KR2" s="441">
        <v>289</v>
      </c>
      <c r="KS2" s="441">
        <v>290</v>
      </c>
      <c r="KT2" s="441">
        <v>291</v>
      </c>
      <c r="KU2" s="441">
        <v>292</v>
      </c>
      <c r="KV2" s="441">
        <v>293</v>
      </c>
      <c r="KW2" s="441">
        <v>294</v>
      </c>
      <c r="KX2" s="441">
        <v>295</v>
      </c>
      <c r="KY2" s="441">
        <v>296</v>
      </c>
      <c r="KZ2" s="441">
        <v>297</v>
      </c>
      <c r="LA2" s="441">
        <v>298</v>
      </c>
      <c r="LB2" s="441">
        <v>299</v>
      </c>
      <c r="LC2" s="441">
        <v>300</v>
      </c>
      <c r="LD2" s="441">
        <v>301</v>
      </c>
      <c r="LE2" s="441">
        <v>302</v>
      </c>
      <c r="LF2" s="441">
        <v>303</v>
      </c>
      <c r="LG2" s="441">
        <v>304</v>
      </c>
      <c r="LH2" s="441">
        <v>305</v>
      </c>
      <c r="LI2" s="441">
        <v>306</v>
      </c>
      <c r="LJ2" s="441">
        <v>307</v>
      </c>
      <c r="LK2" s="441">
        <v>308</v>
      </c>
      <c r="LL2" s="441">
        <v>309</v>
      </c>
      <c r="LM2" s="441">
        <v>310</v>
      </c>
      <c r="LN2" s="441">
        <v>311</v>
      </c>
      <c r="LO2" s="441">
        <v>312</v>
      </c>
      <c r="LP2" s="441">
        <v>313</v>
      </c>
      <c r="LQ2" s="441">
        <v>314</v>
      </c>
      <c r="LR2" s="441">
        <v>315</v>
      </c>
      <c r="LS2" s="441">
        <v>316</v>
      </c>
      <c r="LT2" s="441">
        <v>317</v>
      </c>
      <c r="LU2" s="441">
        <v>318</v>
      </c>
      <c r="LV2" s="441">
        <v>319</v>
      </c>
      <c r="LW2" s="441">
        <v>320</v>
      </c>
      <c r="LX2" s="441">
        <v>321</v>
      </c>
      <c r="LY2" s="441">
        <v>322</v>
      </c>
      <c r="LZ2" s="441">
        <v>323</v>
      </c>
      <c r="MA2" s="441">
        <v>324</v>
      </c>
      <c r="MB2" s="441">
        <v>325</v>
      </c>
      <c r="MC2" s="441">
        <v>326</v>
      </c>
      <c r="MD2" s="441">
        <v>327</v>
      </c>
      <c r="ME2" s="441">
        <v>328</v>
      </c>
      <c r="MF2" s="441">
        <v>329</v>
      </c>
      <c r="MG2" s="441">
        <v>330</v>
      </c>
      <c r="MH2" s="441">
        <v>331</v>
      </c>
      <c r="MI2" s="441">
        <v>332</v>
      </c>
      <c r="MJ2" s="441">
        <v>333</v>
      </c>
      <c r="MK2" s="441">
        <v>334</v>
      </c>
      <c r="ML2" s="441">
        <v>335</v>
      </c>
      <c r="MM2" s="441">
        <v>336</v>
      </c>
      <c r="MN2" s="441">
        <v>337</v>
      </c>
      <c r="MO2" s="441">
        <v>338</v>
      </c>
      <c r="MP2" s="441">
        <v>339</v>
      </c>
      <c r="MQ2" s="441">
        <v>340</v>
      </c>
      <c r="MR2" s="441">
        <v>341</v>
      </c>
      <c r="MS2" s="441">
        <v>342</v>
      </c>
      <c r="MT2" s="441">
        <v>343</v>
      </c>
      <c r="MU2" s="441">
        <v>344</v>
      </c>
      <c r="MV2" s="441">
        <v>345</v>
      </c>
      <c r="MW2" s="441">
        <v>346</v>
      </c>
      <c r="MX2" s="441">
        <v>347</v>
      </c>
      <c r="MY2" s="441">
        <v>348</v>
      </c>
      <c r="MZ2" s="441">
        <v>349</v>
      </c>
      <c r="NA2" s="441">
        <v>350</v>
      </c>
      <c r="NB2" s="441">
        <v>351</v>
      </c>
      <c r="NC2" s="441">
        <v>352</v>
      </c>
      <c r="ND2" s="441">
        <v>353</v>
      </c>
      <c r="NE2" s="441">
        <v>354</v>
      </c>
      <c r="NF2" s="441">
        <v>355</v>
      </c>
      <c r="NG2" s="441">
        <v>356</v>
      </c>
      <c r="NH2" s="441">
        <v>357</v>
      </c>
      <c r="NI2" s="441">
        <v>358</v>
      </c>
      <c r="NJ2" s="441">
        <v>359</v>
      </c>
      <c r="NK2" s="441">
        <v>360</v>
      </c>
      <c r="NL2" s="441">
        <v>361</v>
      </c>
      <c r="NM2" s="441">
        <v>362</v>
      </c>
      <c r="NN2" s="441">
        <v>363</v>
      </c>
      <c r="NO2" s="441">
        <v>364</v>
      </c>
      <c r="NP2" s="441">
        <v>365</v>
      </c>
      <c r="NQ2" s="441">
        <v>366</v>
      </c>
      <c r="NR2" s="441">
        <v>367</v>
      </c>
      <c r="NS2" s="441">
        <v>368</v>
      </c>
      <c r="NT2" s="441">
        <v>369</v>
      </c>
      <c r="NU2" s="441">
        <v>370</v>
      </c>
      <c r="NV2" s="441">
        <v>371</v>
      </c>
      <c r="NW2" s="441">
        <v>372</v>
      </c>
      <c r="NX2" s="441">
        <v>373</v>
      </c>
      <c r="NY2" s="441">
        <v>374</v>
      </c>
      <c r="NZ2" s="441">
        <v>375</v>
      </c>
      <c r="OA2" s="441">
        <v>376</v>
      </c>
      <c r="OB2" s="441">
        <v>377</v>
      </c>
      <c r="OC2" s="441">
        <v>378</v>
      </c>
      <c r="OD2" s="441">
        <v>379</v>
      </c>
      <c r="OE2" s="441">
        <v>380</v>
      </c>
      <c r="OF2" s="441">
        <v>381</v>
      </c>
      <c r="OG2" s="441">
        <v>382</v>
      </c>
      <c r="OH2" s="441">
        <v>383</v>
      </c>
      <c r="OI2" s="441">
        <v>384</v>
      </c>
      <c r="OJ2" s="441">
        <v>385</v>
      </c>
      <c r="OK2" s="441">
        <v>386</v>
      </c>
      <c r="OL2" s="441">
        <v>387</v>
      </c>
      <c r="OM2" s="441">
        <v>388</v>
      </c>
      <c r="ON2" s="441">
        <v>389</v>
      </c>
      <c r="OO2" s="441">
        <v>390</v>
      </c>
      <c r="OP2" s="441">
        <v>391</v>
      </c>
      <c r="OQ2" s="441">
        <v>392</v>
      </c>
    </row>
    <row r="3" spans="1:423" s="15" customFormat="1" ht="19.5" hidden="1" customHeight="1" thickBot="1">
      <c r="A3" s="442" t="s">
        <v>422</v>
      </c>
      <c r="B3" s="443" t="s">
        <v>423</v>
      </c>
      <c r="C3" s="444" t="s">
        <v>424</v>
      </c>
      <c r="D3" s="445" t="s">
        <v>425</v>
      </c>
      <c r="E3" s="446"/>
      <c r="F3" s="445" t="s">
        <v>23</v>
      </c>
      <c r="G3" s="1876" t="s">
        <v>426</v>
      </c>
      <c r="H3" s="1877"/>
      <c r="I3" s="447" t="s">
        <v>158</v>
      </c>
      <c r="J3" s="448"/>
      <c r="K3" s="449"/>
      <c r="L3" s="450"/>
      <c r="M3" s="450"/>
      <c r="N3" s="450"/>
      <c r="O3" s="450"/>
      <c r="P3" s="1878">
        <v>1</v>
      </c>
      <c r="Q3" s="1784"/>
      <c r="R3" s="451"/>
      <c r="S3" s="451"/>
      <c r="T3" s="451"/>
      <c r="U3" s="1785">
        <v>7</v>
      </c>
      <c r="V3" s="1786"/>
      <c r="W3" s="1783">
        <v>8</v>
      </c>
      <c r="X3" s="1784"/>
      <c r="Y3" s="451"/>
      <c r="Z3" s="451"/>
      <c r="AA3" s="452"/>
      <c r="AB3" s="1785">
        <v>14</v>
      </c>
      <c r="AC3" s="1786"/>
      <c r="AD3" s="1783">
        <v>15</v>
      </c>
      <c r="AE3" s="1784"/>
      <c r="AF3" s="451"/>
      <c r="AG3" s="451"/>
      <c r="AH3" s="451"/>
      <c r="AI3" s="1785">
        <v>21</v>
      </c>
      <c r="AJ3" s="1786"/>
      <c r="AK3" s="1783">
        <v>22</v>
      </c>
      <c r="AL3" s="1784"/>
      <c r="AM3" s="451"/>
      <c r="AN3" s="451"/>
      <c r="AO3" s="452"/>
      <c r="AP3" s="1785">
        <v>28</v>
      </c>
      <c r="AQ3" s="1786"/>
      <c r="AR3" s="1783">
        <v>29</v>
      </c>
      <c r="AS3" s="1784">
        <v>16.040540540540501</v>
      </c>
      <c r="AT3" s="451"/>
      <c r="AU3" s="451"/>
      <c r="AV3" s="451"/>
      <c r="AW3" s="1785">
        <v>35</v>
      </c>
      <c r="AX3" s="1786">
        <v>21.3783783783784</v>
      </c>
      <c r="AY3" s="1783">
        <v>36</v>
      </c>
      <c r="AZ3" s="1784">
        <v>23.513513513513502</v>
      </c>
      <c r="BA3" s="451"/>
      <c r="BB3" s="451"/>
      <c r="BC3" s="452"/>
      <c r="BD3" s="1785">
        <v>42</v>
      </c>
      <c r="BE3" s="1786"/>
      <c r="BF3" s="1783">
        <v>43</v>
      </c>
      <c r="BG3" s="1784">
        <v>29.984740358335799</v>
      </c>
      <c r="BH3" s="451"/>
      <c r="BI3" s="451"/>
      <c r="BJ3" s="451"/>
      <c r="BK3" s="1785">
        <v>49</v>
      </c>
      <c r="BL3" s="1786">
        <v>35.303218949286403</v>
      </c>
      <c r="BM3" s="1783">
        <v>50</v>
      </c>
      <c r="BN3" s="1784">
        <v>37.430610385666697</v>
      </c>
      <c r="BO3" s="451"/>
      <c r="BP3" s="451"/>
      <c r="BQ3" s="452"/>
      <c r="BR3" s="1785">
        <v>56</v>
      </c>
      <c r="BS3" s="1786"/>
      <c r="BT3" s="1783">
        <v>57</v>
      </c>
      <c r="BU3" s="1784">
        <v>43.885414498579003</v>
      </c>
      <c r="BV3" s="451"/>
      <c r="BW3" s="451"/>
      <c r="BX3" s="451"/>
      <c r="BY3" s="1785">
        <v>63</v>
      </c>
      <c r="BZ3" s="1786">
        <v>49.182531382537903</v>
      </c>
      <c r="CA3" s="1783">
        <v>64</v>
      </c>
      <c r="CB3" s="1784">
        <v>51.3013781361215</v>
      </c>
      <c r="CC3" s="451"/>
      <c r="CD3" s="451"/>
      <c r="CE3" s="452"/>
      <c r="CF3" s="1785">
        <v>70</v>
      </c>
      <c r="CG3" s="1786"/>
      <c r="CH3" s="1783">
        <v>71</v>
      </c>
      <c r="CI3" s="1784">
        <v>67.923131310633195</v>
      </c>
      <c r="CJ3" s="451"/>
      <c r="CK3" s="451"/>
      <c r="CL3" s="451"/>
      <c r="CM3" s="1785">
        <v>77</v>
      </c>
      <c r="CN3" s="1786">
        <v>74.4564020866665</v>
      </c>
      <c r="CO3" s="1783">
        <v>78</v>
      </c>
      <c r="CP3" s="1784">
        <v>77.069710397079902</v>
      </c>
      <c r="CQ3" s="451"/>
      <c r="CR3" s="451"/>
      <c r="CS3" s="452"/>
      <c r="CT3" s="1785">
        <v>84</v>
      </c>
      <c r="CU3" s="1786"/>
      <c r="CV3" s="1783">
        <v>85.035592927505903</v>
      </c>
      <c r="CW3" s="1784">
        <v>86.428292414060905</v>
      </c>
      <c r="CX3" s="451"/>
      <c r="CY3" s="451"/>
      <c r="CZ3" s="451"/>
      <c r="DA3" s="1785">
        <v>91</v>
      </c>
      <c r="DB3" s="1786">
        <v>93.391789846836105</v>
      </c>
      <c r="DC3" s="1783">
        <v>92</v>
      </c>
      <c r="DD3" s="1784">
        <v>96.177188819946196</v>
      </c>
      <c r="DE3" s="451"/>
      <c r="DF3" s="451"/>
      <c r="DG3" s="452"/>
      <c r="DH3" s="1785">
        <v>98</v>
      </c>
      <c r="DI3" s="1786"/>
      <c r="DJ3" s="1783">
        <v>99</v>
      </c>
      <c r="DK3" s="1784">
        <v>101.178561588945</v>
      </c>
      <c r="DL3" s="451"/>
      <c r="DM3" s="451"/>
      <c r="DN3" s="1867">
        <v>105</v>
      </c>
      <c r="DO3" s="1855"/>
      <c r="DP3" s="1856"/>
      <c r="DQ3" s="1783" t="s">
        <v>427</v>
      </c>
      <c r="DR3" s="1853"/>
      <c r="DS3" s="1784"/>
      <c r="DT3" s="451"/>
      <c r="DU3" s="1867">
        <v>112</v>
      </c>
      <c r="DV3" s="1855"/>
      <c r="DW3" s="1856"/>
      <c r="DX3" s="1783" t="s">
        <v>428</v>
      </c>
      <c r="DY3" s="1853"/>
      <c r="DZ3" s="1870"/>
      <c r="EA3" s="451"/>
      <c r="EB3" s="1785">
        <v>119</v>
      </c>
      <c r="EC3" s="1866"/>
      <c r="ED3" s="1786"/>
      <c r="EE3" s="1783" t="s">
        <v>429</v>
      </c>
      <c r="EF3" s="1853"/>
      <c r="EG3" s="1870"/>
      <c r="EH3" s="451"/>
      <c r="EI3" s="1785">
        <v>126</v>
      </c>
      <c r="EJ3" s="1871"/>
      <c r="EK3" s="1872"/>
      <c r="EL3" s="1783" t="s">
        <v>430</v>
      </c>
      <c r="EM3" s="1853"/>
      <c r="EN3" s="1870"/>
      <c r="EO3" s="451"/>
      <c r="EP3" s="1785">
        <v>133</v>
      </c>
      <c r="EQ3" s="1866"/>
      <c r="ER3" s="1786"/>
      <c r="ES3" s="1783" t="s">
        <v>431</v>
      </c>
      <c r="ET3" s="1853"/>
      <c r="EU3" s="1870"/>
      <c r="EV3" s="451"/>
      <c r="EW3" s="1785">
        <v>140</v>
      </c>
      <c r="EX3" s="1866"/>
      <c r="EY3" s="1786"/>
      <c r="EZ3" s="1783">
        <v>141</v>
      </c>
      <c r="FA3" s="1853"/>
      <c r="FB3" s="1870"/>
      <c r="FC3" s="451"/>
      <c r="FD3" s="1785">
        <v>147</v>
      </c>
      <c r="FE3" s="1866"/>
      <c r="FF3" s="1786"/>
      <c r="FG3" s="1783">
        <v>148</v>
      </c>
      <c r="FH3" s="1853"/>
      <c r="FI3" s="1870"/>
      <c r="FJ3" s="451"/>
      <c r="FK3" s="1785">
        <v>154</v>
      </c>
      <c r="FL3" s="1866"/>
      <c r="FM3" s="1786"/>
      <c r="FN3" s="1783">
        <v>155</v>
      </c>
      <c r="FO3" s="1853"/>
      <c r="FP3" s="1870"/>
      <c r="FQ3" s="451"/>
      <c r="FR3" s="1785">
        <v>161</v>
      </c>
      <c r="FS3" s="1866"/>
      <c r="FT3" s="1786"/>
      <c r="FU3" s="1783">
        <v>162</v>
      </c>
      <c r="FV3" s="1853"/>
      <c r="FW3" s="1870"/>
      <c r="FX3" s="451"/>
      <c r="FY3" s="1867">
        <v>168</v>
      </c>
      <c r="FZ3" s="1855"/>
      <c r="GA3" s="1856"/>
      <c r="GB3" s="1783">
        <v>169</v>
      </c>
      <c r="GC3" s="1853"/>
      <c r="GD3" s="1870"/>
      <c r="GE3" s="451"/>
      <c r="GF3" s="1785">
        <v>175</v>
      </c>
      <c r="GG3" s="1866"/>
      <c r="GH3" s="1786"/>
      <c r="GI3" s="1783">
        <v>176</v>
      </c>
      <c r="GJ3" s="1853"/>
      <c r="GK3" s="1870"/>
      <c r="GL3" s="451"/>
      <c r="GM3" s="1785">
        <v>182</v>
      </c>
      <c r="GN3" s="1866"/>
      <c r="GO3" s="1786"/>
      <c r="GP3" s="1783">
        <v>183</v>
      </c>
      <c r="GQ3" s="1853"/>
      <c r="GR3" s="1870"/>
      <c r="GS3" s="451"/>
      <c r="GT3" s="1785">
        <v>189</v>
      </c>
      <c r="GU3" s="1866"/>
      <c r="GV3" s="1786"/>
      <c r="GW3" s="1783">
        <v>190</v>
      </c>
      <c r="GX3" s="1853"/>
      <c r="GY3" s="1784"/>
      <c r="GZ3" s="451"/>
      <c r="HA3" s="1785">
        <v>196</v>
      </c>
      <c r="HB3" s="1866"/>
      <c r="HC3" s="1786"/>
      <c r="HD3" s="1783">
        <v>197</v>
      </c>
      <c r="HE3" s="1853"/>
      <c r="HF3" s="1784"/>
      <c r="HG3" s="451"/>
      <c r="HH3" s="1867">
        <v>203</v>
      </c>
      <c r="HI3" s="1855"/>
      <c r="HJ3" s="1856"/>
      <c r="HK3" s="1868">
        <v>204</v>
      </c>
      <c r="HL3" s="1855"/>
      <c r="HM3" s="1869"/>
      <c r="HN3" s="451"/>
      <c r="HO3" s="1785">
        <v>210</v>
      </c>
      <c r="HP3" s="1866"/>
      <c r="HQ3" s="1786"/>
      <c r="HR3" s="1783">
        <v>211</v>
      </c>
      <c r="HS3" s="1853"/>
      <c r="HT3" s="1784"/>
      <c r="HU3" s="451"/>
      <c r="HV3" s="1785">
        <v>217</v>
      </c>
      <c r="HW3" s="1866"/>
      <c r="HX3" s="1786"/>
      <c r="HY3" s="1783">
        <v>218</v>
      </c>
      <c r="HZ3" s="1853"/>
      <c r="IA3" s="1784"/>
      <c r="IB3" s="451"/>
      <c r="IC3" s="1785">
        <v>224</v>
      </c>
      <c r="ID3" s="1866"/>
      <c r="IE3" s="1786"/>
      <c r="IF3" s="1852">
        <v>225</v>
      </c>
      <c r="IG3" s="1853"/>
      <c r="IH3" s="1784"/>
      <c r="II3" s="451"/>
      <c r="IJ3" s="1854">
        <v>231</v>
      </c>
      <c r="IK3" s="1855"/>
      <c r="IL3" s="1856"/>
      <c r="IM3" s="1852">
        <v>232</v>
      </c>
      <c r="IN3" s="1853"/>
      <c r="IO3" s="1784"/>
      <c r="IP3" s="451"/>
      <c r="IQ3" s="1854">
        <v>238</v>
      </c>
      <c r="IR3" s="1855"/>
      <c r="IS3" s="1856"/>
      <c r="IT3" s="1852">
        <v>239</v>
      </c>
      <c r="IU3" s="1853"/>
      <c r="IV3" s="1784"/>
      <c r="IW3" s="451"/>
      <c r="IX3" s="1854">
        <v>245</v>
      </c>
      <c r="IY3" s="1855"/>
      <c r="IZ3" s="1856"/>
      <c r="JA3" s="1852">
        <v>246</v>
      </c>
      <c r="JB3" s="1853"/>
      <c r="JC3" s="1784"/>
      <c r="JD3" s="451"/>
      <c r="JE3" s="1854">
        <v>252</v>
      </c>
      <c r="JF3" s="1855"/>
      <c r="JG3" s="1856"/>
      <c r="JH3" s="1852">
        <v>253</v>
      </c>
      <c r="JI3" s="1853"/>
      <c r="JJ3" s="1784"/>
      <c r="JK3" s="451"/>
      <c r="JL3" s="1854">
        <v>259</v>
      </c>
      <c r="JM3" s="1855"/>
      <c r="JN3" s="1856"/>
      <c r="JO3" s="1852">
        <v>260</v>
      </c>
      <c r="JP3" s="1853"/>
      <c r="JQ3" s="1784"/>
      <c r="JR3" s="451"/>
      <c r="JS3" s="1854">
        <v>266</v>
      </c>
      <c r="JT3" s="1855"/>
      <c r="JU3" s="1856"/>
      <c r="JV3" s="1852">
        <v>267</v>
      </c>
      <c r="JW3" s="1853"/>
      <c r="JX3" s="1784"/>
      <c r="JY3" s="451"/>
      <c r="JZ3" s="1854">
        <v>273</v>
      </c>
      <c r="KA3" s="1855"/>
      <c r="KB3" s="1856"/>
      <c r="KC3" s="1852">
        <v>274</v>
      </c>
      <c r="KD3" s="1853"/>
      <c r="KE3" s="1784"/>
      <c r="KF3" s="451"/>
      <c r="KG3" s="1854">
        <v>280</v>
      </c>
      <c r="KH3" s="1855"/>
      <c r="KI3" s="1856"/>
      <c r="KJ3" s="1852">
        <v>281</v>
      </c>
      <c r="KK3" s="1853"/>
      <c r="KL3" s="1784"/>
      <c r="KM3" s="451"/>
      <c r="KN3" s="1854">
        <v>287</v>
      </c>
      <c r="KO3" s="1855"/>
      <c r="KP3" s="1856"/>
      <c r="KQ3" s="1852">
        <v>288</v>
      </c>
      <c r="KR3" s="1853"/>
      <c r="KS3" s="1784"/>
      <c r="KT3" s="451"/>
      <c r="KU3" s="1854">
        <v>294</v>
      </c>
      <c r="KV3" s="1855"/>
      <c r="KW3" s="1856"/>
      <c r="KX3" s="1852">
        <v>295</v>
      </c>
      <c r="KY3" s="1853"/>
      <c r="KZ3" s="1784"/>
      <c r="LA3" s="451"/>
      <c r="LB3" s="1854">
        <v>301</v>
      </c>
      <c r="LC3" s="1855"/>
      <c r="LD3" s="1856"/>
      <c r="LE3" s="1852">
        <v>302</v>
      </c>
      <c r="LF3" s="1853"/>
      <c r="LG3" s="1784"/>
      <c r="LH3" s="451"/>
      <c r="LI3" s="1854">
        <v>308</v>
      </c>
      <c r="LJ3" s="1855"/>
      <c r="LK3" s="1856"/>
      <c r="LL3" s="1852">
        <v>309</v>
      </c>
      <c r="LM3" s="1853"/>
      <c r="LN3" s="1784"/>
      <c r="LO3" s="451"/>
      <c r="LP3" s="1854">
        <v>315</v>
      </c>
      <c r="LQ3" s="1855"/>
      <c r="LR3" s="1856"/>
      <c r="LS3" s="1852">
        <v>316</v>
      </c>
      <c r="LT3" s="1853"/>
      <c r="LU3" s="1784"/>
      <c r="LV3" s="451"/>
      <c r="LW3" s="1854">
        <v>322</v>
      </c>
      <c r="LX3" s="1855"/>
      <c r="LY3" s="1856"/>
      <c r="LZ3" s="1852">
        <v>323</v>
      </c>
      <c r="MA3" s="1853"/>
      <c r="MB3" s="1784"/>
      <c r="MC3" s="451"/>
      <c r="MD3" s="1854">
        <v>329</v>
      </c>
      <c r="ME3" s="1855"/>
      <c r="MF3" s="1856"/>
      <c r="MG3" s="1852">
        <v>330</v>
      </c>
      <c r="MH3" s="1853"/>
      <c r="MI3" s="1784"/>
      <c r="MJ3" s="451"/>
      <c r="MK3" s="1854">
        <v>336</v>
      </c>
      <c r="ML3" s="1855"/>
      <c r="MM3" s="1856"/>
      <c r="MN3" s="1852">
        <v>337</v>
      </c>
      <c r="MO3" s="1853"/>
      <c r="MP3" s="1784"/>
      <c r="MQ3" s="451"/>
      <c r="MR3" s="1854">
        <v>343</v>
      </c>
      <c r="MS3" s="1855"/>
      <c r="MT3" s="1856"/>
      <c r="MU3" s="1852">
        <v>344</v>
      </c>
      <c r="MV3" s="1853"/>
      <c r="MW3" s="1784"/>
      <c r="MX3" s="451"/>
      <c r="MY3" s="1854">
        <v>350</v>
      </c>
      <c r="MZ3" s="1855"/>
      <c r="NA3" s="1856"/>
      <c r="NB3" s="1852">
        <v>351</v>
      </c>
      <c r="NC3" s="1853"/>
      <c r="ND3" s="1784"/>
      <c r="NE3" s="451"/>
      <c r="NF3" s="1854">
        <v>357</v>
      </c>
      <c r="NG3" s="1855"/>
      <c r="NH3" s="1856"/>
      <c r="NI3" s="1852">
        <v>358</v>
      </c>
      <c r="NJ3" s="1853"/>
      <c r="NK3" s="1784"/>
      <c r="NL3" s="451"/>
      <c r="NM3" s="1854">
        <v>364</v>
      </c>
      <c r="NN3" s="1855"/>
      <c r="NO3" s="1856"/>
      <c r="NP3" s="1852">
        <v>365</v>
      </c>
      <c r="NQ3" s="1853"/>
      <c r="NR3" s="1784"/>
      <c r="NS3" s="451"/>
      <c r="NT3" s="1854">
        <v>371</v>
      </c>
      <c r="NU3" s="1855"/>
      <c r="NV3" s="1856"/>
      <c r="NW3" s="1852">
        <v>372</v>
      </c>
      <c r="NX3" s="1853"/>
      <c r="NY3" s="1784"/>
      <c r="NZ3" s="451"/>
      <c r="OA3" s="1854">
        <v>378</v>
      </c>
      <c r="OB3" s="1855"/>
      <c r="OC3" s="1856"/>
      <c r="OD3" s="1852">
        <v>379</v>
      </c>
      <c r="OE3" s="1853"/>
      <c r="OF3" s="1784"/>
      <c r="OG3" s="451"/>
      <c r="OH3" s="1854">
        <v>385</v>
      </c>
      <c r="OI3" s="1855"/>
      <c r="OJ3" s="1856"/>
      <c r="OK3" s="1852">
        <v>386</v>
      </c>
      <c r="OL3" s="1853"/>
      <c r="OM3" s="1784"/>
      <c r="ON3" s="451"/>
      <c r="OO3" s="1854">
        <v>392</v>
      </c>
      <c r="OP3" s="1855"/>
      <c r="OQ3" s="1856"/>
      <c r="OR3" s="16"/>
      <c r="OS3" s="16"/>
      <c r="OT3" s="16"/>
      <c r="OU3" s="16"/>
      <c r="OV3" s="16"/>
      <c r="OW3" s="16"/>
      <c r="OX3" s="16"/>
      <c r="OY3" s="16"/>
      <c r="OZ3" s="16"/>
      <c r="PA3" s="16"/>
      <c r="PB3" s="16"/>
      <c r="PC3" s="16"/>
      <c r="PD3" s="16"/>
      <c r="PE3" s="16"/>
      <c r="PF3" s="16"/>
      <c r="PG3" s="16"/>
    </row>
    <row r="4" spans="1:423" s="15" customFormat="1" ht="20.25" hidden="1" customHeight="1">
      <c r="A4" s="453" t="s">
        <v>432</v>
      </c>
      <c r="B4" s="454"/>
      <c r="C4" s="455"/>
      <c r="D4" s="456"/>
      <c r="E4" s="456"/>
      <c r="F4" s="456"/>
      <c r="G4" s="457"/>
      <c r="H4" s="457"/>
      <c r="I4" s="457"/>
      <c r="J4" s="457"/>
      <c r="K4" s="450"/>
      <c r="L4" s="450"/>
      <c r="M4" s="450"/>
      <c r="N4" s="450"/>
      <c r="O4" s="450"/>
      <c r="P4" s="457"/>
      <c r="Q4" s="457"/>
      <c r="R4" s="457"/>
      <c r="S4" s="457"/>
      <c r="T4" s="457"/>
      <c r="U4" s="457"/>
      <c r="V4" s="457"/>
      <c r="W4" s="457"/>
      <c r="X4" s="457"/>
      <c r="Y4" s="457"/>
      <c r="Z4" s="457"/>
      <c r="AA4" s="457"/>
      <c r="AB4" s="457"/>
      <c r="AC4" s="457"/>
      <c r="AD4" s="457"/>
      <c r="AE4" s="457"/>
      <c r="AF4" s="457"/>
      <c r="AG4" s="457"/>
      <c r="AH4" s="457"/>
      <c r="AI4" s="457"/>
      <c r="AJ4" s="457"/>
      <c r="AK4" s="457"/>
      <c r="AL4" s="457"/>
      <c r="AM4" s="457"/>
      <c r="AN4" s="457"/>
      <c r="AO4" s="457"/>
      <c r="AP4" s="457"/>
      <c r="AQ4" s="457"/>
      <c r="AR4" s="457"/>
      <c r="AS4" s="457"/>
      <c r="AT4" s="457"/>
      <c r="AU4" s="457"/>
      <c r="AV4" s="457"/>
      <c r="AW4" s="457"/>
      <c r="AX4" s="457"/>
      <c r="AY4" s="457"/>
      <c r="AZ4" s="457"/>
      <c r="BA4" s="457"/>
      <c r="BB4" s="457"/>
      <c r="BC4" s="457"/>
      <c r="BD4" s="457"/>
      <c r="BE4" s="457"/>
      <c r="BF4" s="457"/>
      <c r="BG4" s="457"/>
      <c r="BH4" s="457"/>
      <c r="BI4" s="457"/>
      <c r="BJ4" s="457"/>
      <c r="BK4" s="457"/>
      <c r="BL4" s="457"/>
      <c r="BM4" s="457"/>
      <c r="BN4" s="457"/>
      <c r="BO4" s="457"/>
      <c r="BP4" s="457"/>
      <c r="BQ4" s="457"/>
      <c r="BR4" s="457"/>
      <c r="BS4" s="457"/>
      <c r="BT4" s="457"/>
      <c r="BU4" s="457"/>
      <c r="BV4" s="457"/>
      <c r="BW4" s="457"/>
      <c r="BX4" s="457"/>
      <c r="BY4" s="457"/>
      <c r="BZ4" s="457"/>
      <c r="CA4" s="457"/>
      <c r="CB4" s="457"/>
      <c r="CC4" s="457"/>
      <c r="CD4" s="457"/>
      <c r="CE4" s="457"/>
      <c r="CF4" s="457"/>
      <c r="CG4" s="457"/>
      <c r="CH4" s="457"/>
      <c r="CI4" s="457"/>
      <c r="CJ4" s="457"/>
      <c r="CK4" s="457"/>
      <c r="CL4" s="457"/>
      <c r="CM4" s="457"/>
      <c r="CN4" s="457"/>
      <c r="CO4" s="457"/>
      <c r="CP4" s="457"/>
      <c r="CQ4" s="457"/>
      <c r="CR4" s="457"/>
      <c r="CS4" s="457"/>
      <c r="CT4" s="457"/>
      <c r="CU4" s="457"/>
      <c r="CV4" s="457"/>
      <c r="CW4" s="457"/>
      <c r="CX4" s="457"/>
      <c r="CY4" s="457"/>
      <c r="CZ4" s="457"/>
      <c r="DA4" s="457"/>
    </row>
    <row r="5" spans="1:423" s="15" customFormat="1" ht="19.5" customHeight="1">
      <c r="A5" s="431"/>
      <c r="B5" s="1857" t="s">
        <v>433</v>
      </c>
      <c r="C5" s="1858"/>
      <c r="D5" s="1858"/>
      <c r="E5" s="1858"/>
      <c r="F5" s="1858"/>
      <c r="G5" s="1858"/>
      <c r="H5" s="1858"/>
      <c r="I5" s="1858"/>
      <c r="J5" s="1858"/>
      <c r="K5" s="1859"/>
      <c r="L5" s="458"/>
      <c r="M5" s="458"/>
      <c r="N5" s="458"/>
      <c r="O5" s="458"/>
      <c r="P5" s="1845" t="s">
        <v>11</v>
      </c>
      <c r="Q5" s="1846"/>
      <c r="R5" s="1846"/>
      <c r="S5" s="1846"/>
      <c r="T5" s="1846"/>
      <c r="U5" s="1846"/>
      <c r="V5" s="1846"/>
      <c r="W5" s="1846"/>
      <c r="X5" s="1846"/>
      <c r="Y5" s="1846"/>
      <c r="Z5" s="1846"/>
      <c r="AA5" s="1846"/>
      <c r="AB5" s="1846"/>
      <c r="AC5" s="1846"/>
      <c r="AD5" s="1846"/>
      <c r="AE5" s="1846"/>
      <c r="AF5" s="1846"/>
      <c r="AG5" s="1846"/>
      <c r="AH5" s="1846"/>
      <c r="AI5" s="1846"/>
      <c r="AJ5" s="1846"/>
      <c r="AK5" s="1846"/>
      <c r="AL5" s="1846"/>
      <c r="AM5" s="1846"/>
      <c r="AN5" s="1846"/>
      <c r="AO5" s="1846"/>
      <c r="AP5" s="1846"/>
      <c r="AQ5" s="1847"/>
      <c r="AR5" s="1863" t="s">
        <v>434</v>
      </c>
      <c r="AS5" s="1864"/>
      <c r="AT5" s="1864"/>
      <c r="AU5" s="1864"/>
      <c r="AV5" s="1864"/>
      <c r="AW5" s="1864"/>
      <c r="AX5" s="1864"/>
      <c r="AY5" s="1864"/>
      <c r="AZ5" s="1864"/>
      <c r="BA5" s="1864"/>
      <c r="BB5" s="1864"/>
      <c r="BC5" s="1864"/>
      <c r="BD5" s="1864"/>
      <c r="BE5" s="1864"/>
      <c r="BF5" s="1864"/>
      <c r="BG5" s="1864"/>
      <c r="BH5" s="1864"/>
      <c r="BI5" s="1864"/>
      <c r="BJ5" s="1864"/>
      <c r="BK5" s="1864"/>
      <c r="BL5" s="1864"/>
      <c r="BM5" s="1864"/>
      <c r="BN5" s="1864"/>
      <c r="BO5" s="1864"/>
      <c r="BP5" s="1864"/>
      <c r="BQ5" s="1864"/>
      <c r="BR5" s="1864"/>
      <c r="BS5" s="1865"/>
      <c r="BT5" s="1845"/>
      <c r="BU5" s="1846"/>
      <c r="BV5" s="1846"/>
      <c r="BW5" s="1846"/>
      <c r="BX5" s="1846"/>
      <c r="BY5" s="1846"/>
      <c r="BZ5" s="1846"/>
      <c r="CA5" s="1846"/>
      <c r="CB5" s="1846"/>
      <c r="CC5" s="1846"/>
      <c r="CD5" s="1846"/>
      <c r="CE5" s="1846"/>
      <c r="CF5" s="1846"/>
      <c r="CG5" s="1846"/>
      <c r="CH5" s="1846"/>
      <c r="CI5" s="1846"/>
      <c r="CJ5" s="1846"/>
      <c r="CK5" s="1846"/>
      <c r="CL5" s="1846"/>
      <c r="CM5" s="1846"/>
      <c r="CN5" s="1846"/>
      <c r="CO5" s="1846"/>
      <c r="CP5" s="1846"/>
      <c r="CQ5" s="1846"/>
      <c r="CR5" s="1846"/>
      <c r="CS5" s="1846"/>
      <c r="CT5" s="1846"/>
      <c r="CU5" s="1847"/>
      <c r="CV5" s="1845"/>
      <c r="CW5" s="1846"/>
      <c r="CX5" s="1846"/>
      <c r="CY5" s="1846"/>
      <c r="CZ5" s="1846"/>
      <c r="DA5" s="1846"/>
      <c r="DB5" s="1846"/>
      <c r="DC5" s="1846"/>
      <c r="DD5" s="1846"/>
      <c r="DE5" s="1846"/>
      <c r="DF5" s="1846"/>
      <c r="DG5" s="1846"/>
      <c r="DH5" s="1846"/>
      <c r="DI5" s="1846"/>
      <c r="DJ5" s="1846"/>
      <c r="DK5" s="1846"/>
      <c r="DL5" s="1846"/>
      <c r="DM5" s="1846"/>
      <c r="DN5" s="1846"/>
      <c r="DO5" s="1846"/>
      <c r="DP5" s="1846"/>
      <c r="DQ5" s="1846"/>
      <c r="DR5" s="1846"/>
      <c r="DS5" s="1846"/>
      <c r="DT5" s="1846"/>
      <c r="DU5" s="1846"/>
      <c r="DV5" s="1846"/>
      <c r="DW5" s="1847"/>
      <c r="DX5" s="1845"/>
      <c r="DY5" s="1846"/>
      <c r="DZ5" s="1846"/>
      <c r="EA5" s="1846"/>
      <c r="EB5" s="1846"/>
      <c r="EC5" s="1846"/>
      <c r="ED5" s="1846"/>
      <c r="EE5" s="1846"/>
      <c r="EF5" s="1846"/>
      <c r="EG5" s="1846"/>
      <c r="EH5" s="1846"/>
      <c r="EI5" s="1846"/>
      <c r="EJ5" s="1846"/>
      <c r="EK5" s="1846"/>
      <c r="EL5" s="1846"/>
      <c r="EM5" s="1846"/>
      <c r="EN5" s="1846"/>
      <c r="EO5" s="1846"/>
      <c r="EP5" s="1846"/>
      <c r="EQ5" s="1846"/>
      <c r="ER5" s="1846"/>
      <c r="ES5" s="1846"/>
      <c r="ET5" s="1846"/>
      <c r="EU5" s="1846"/>
      <c r="EV5" s="1846"/>
      <c r="EW5" s="1846"/>
      <c r="EX5" s="1846"/>
      <c r="EY5" s="1847"/>
      <c r="EZ5" s="1845"/>
      <c r="FA5" s="1846"/>
      <c r="FB5" s="1846"/>
      <c r="FC5" s="1846"/>
      <c r="FD5" s="1846"/>
      <c r="FE5" s="1846"/>
      <c r="FF5" s="1846"/>
      <c r="FG5" s="1846"/>
      <c r="FH5" s="1846"/>
      <c r="FI5" s="1846"/>
      <c r="FJ5" s="1846"/>
      <c r="FK5" s="1846"/>
      <c r="FL5" s="1846"/>
      <c r="FM5" s="1846"/>
      <c r="FN5" s="1846"/>
      <c r="FO5" s="1846"/>
      <c r="FP5" s="1846"/>
      <c r="FQ5" s="1846"/>
      <c r="FR5" s="1846"/>
      <c r="FS5" s="1846"/>
      <c r="FT5" s="1846"/>
      <c r="FU5" s="1846"/>
      <c r="FV5" s="1846"/>
      <c r="FW5" s="1846"/>
      <c r="FX5" s="1846"/>
      <c r="FY5" s="1846"/>
      <c r="FZ5" s="1846"/>
      <c r="GA5" s="1847"/>
      <c r="GB5" s="1845"/>
      <c r="GC5" s="1846"/>
      <c r="GD5" s="1846"/>
      <c r="GE5" s="1846"/>
      <c r="GF5" s="1846"/>
      <c r="GG5" s="1846"/>
      <c r="GH5" s="1846"/>
      <c r="GI5" s="1846"/>
      <c r="GJ5" s="1846"/>
      <c r="GK5" s="1846"/>
      <c r="GL5" s="1846"/>
      <c r="GM5" s="1846"/>
      <c r="GN5" s="1846"/>
      <c r="GO5" s="1846"/>
      <c r="GP5" s="1846"/>
      <c r="GQ5" s="1846"/>
      <c r="GR5" s="1846"/>
      <c r="GS5" s="1846"/>
      <c r="GT5" s="1846"/>
      <c r="GU5" s="1846"/>
      <c r="GV5" s="1846"/>
      <c r="GW5" s="1846"/>
      <c r="GX5" s="1846"/>
      <c r="GY5" s="1846"/>
      <c r="GZ5" s="1846"/>
      <c r="HA5" s="1846"/>
      <c r="HB5" s="1846"/>
      <c r="HC5" s="1847"/>
      <c r="HD5" s="1845"/>
      <c r="HE5" s="1846"/>
      <c r="HF5" s="1846"/>
      <c r="HG5" s="1846"/>
      <c r="HH5" s="1846"/>
      <c r="HI5" s="1846"/>
      <c r="HJ5" s="1846"/>
      <c r="HK5" s="1846"/>
      <c r="HL5" s="1846"/>
      <c r="HM5" s="1846"/>
      <c r="HN5" s="1846"/>
      <c r="HO5" s="1846"/>
      <c r="HP5" s="1846"/>
      <c r="HQ5" s="1846"/>
      <c r="HR5" s="1846"/>
      <c r="HS5" s="1846"/>
      <c r="HT5" s="1846"/>
      <c r="HU5" s="1846"/>
      <c r="HV5" s="1846"/>
      <c r="HW5" s="1846"/>
      <c r="HX5" s="1846"/>
      <c r="HY5" s="1846"/>
      <c r="HZ5" s="1846"/>
      <c r="IA5" s="1846"/>
      <c r="IB5" s="1846"/>
      <c r="IC5" s="1846"/>
      <c r="ID5" s="1846"/>
      <c r="IE5" s="1847"/>
      <c r="IF5" s="1845"/>
      <c r="IG5" s="1846"/>
      <c r="IH5" s="1846"/>
      <c r="II5" s="1846"/>
      <c r="IJ5" s="1846"/>
      <c r="IK5" s="1846"/>
      <c r="IL5" s="1846"/>
      <c r="IM5" s="1846"/>
      <c r="IN5" s="1846"/>
      <c r="IO5" s="1846"/>
      <c r="IP5" s="1846"/>
      <c r="IQ5" s="1846"/>
      <c r="IR5" s="1846"/>
      <c r="IS5" s="1846"/>
      <c r="IT5" s="1846"/>
      <c r="IU5" s="1846"/>
      <c r="IV5" s="1846"/>
      <c r="IW5" s="1846"/>
      <c r="IX5" s="1846"/>
      <c r="IY5" s="1846"/>
      <c r="IZ5" s="1846"/>
      <c r="JA5" s="1846"/>
      <c r="JB5" s="1846"/>
      <c r="JC5" s="1846"/>
      <c r="JD5" s="1846"/>
      <c r="JE5" s="1846"/>
      <c r="JF5" s="1846"/>
      <c r="JG5" s="1847"/>
      <c r="JH5" s="1845"/>
      <c r="JI5" s="1846"/>
      <c r="JJ5" s="1846"/>
      <c r="JK5" s="1846"/>
      <c r="JL5" s="1846"/>
      <c r="JM5" s="1846"/>
      <c r="JN5" s="1846"/>
      <c r="JO5" s="1846"/>
      <c r="JP5" s="1846"/>
      <c r="JQ5" s="1846"/>
      <c r="JR5" s="1846"/>
      <c r="JS5" s="1846"/>
      <c r="JT5" s="1846"/>
      <c r="JU5" s="1846"/>
      <c r="JV5" s="1846"/>
      <c r="JW5" s="1846"/>
      <c r="JX5" s="1846"/>
      <c r="JY5" s="1846"/>
      <c r="JZ5" s="1846"/>
      <c r="KA5" s="1846"/>
      <c r="KB5" s="1846"/>
      <c r="KC5" s="1846"/>
      <c r="KD5" s="1846"/>
      <c r="KE5" s="1846"/>
      <c r="KF5" s="1846"/>
      <c r="KG5" s="1846"/>
      <c r="KH5" s="1846"/>
      <c r="KI5" s="1847"/>
      <c r="KJ5" s="1845"/>
      <c r="KK5" s="1846"/>
      <c r="KL5" s="1846"/>
      <c r="KM5" s="1846"/>
      <c r="KN5" s="1846"/>
      <c r="KO5" s="1846"/>
      <c r="KP5" s="1846"/>
      <c r="KQ5" s="1846"/>
      <c r="KR5" s="1846"/>
      <c r="KS5" s="1846"/>
      <c r="KT5" s="1846"/>
      <c r="KU5" s="1846"/>
      <c r="KV5" s="1846"/>
      <c r="KW5" s="1846"/>
      <c r="KX5" s="1846"/>
      <c r="KY5" s="1846"/>
      <c r="KZ5" s="1846"/>
      <c r="LA5" s="1846"/>
      <c r="LB5" s="1846"/>
      <c r="LC5" s="1846"/>
      <c r="LD5" s="1846"/>
      <c r="LE5" s="1846"/>
      <c r="LF5" s="1846"/>
      <c r="LG5" s="1846"/>
      <c r="LH5" s="1846"/>
      <c r="LI5" s="1846"/>
      <c r="LJ5" s="1846"/>
      <c r="LK5" s="1847"/>
      <c r="LL5" s="1845"/>
      <c r="LM5" s="1846"/>
      <c r="LN5" s="1846"/>
      <c r="LO5" s="1846"/>
      <c r="LP5" s="1846"/>
      <c r="LQ5" s="1846"/>
      <c r="LR5" s="1846"/>
      <c r="LS5" s="1846"/>
      <c r="LT5" s="1846"/>
      <c r="LU5" s="1846"/>
      <c r="LV5" s="1846"/>
      <c r="LW5" s="1846"/>
      <c r="LX5" s="1846"/>
      <c r="LY5" s="1846"/>
      <c r="LZ5" s="1846"/>
      <c r="MA5" s="1846"/>
      <c r="MB5" s="1846"/>
      <c r="MC5" s="1846"/>
      <c r="MD5" s="1846"/>
      <c r="ME5" s="1846"/>
      <c r="MF5" s="1846"/>
      <c r="MG5" s="1846"/>
      <c r="MH5" s="1846"/>
      <c r="MI5" s="1846"/>
      <c r="MJ5" s="1846"/>
      <c r="MK5" s="1846"/>
      <c r="ML5" s="1846"/>
      <c r="MM5" s="1847"/>
      <c r="MN5" s="1845"/>
      <c r="MO5" s="1846"/>
      <c r="MP5" s="1846"/>
      <c r="MQ5" s="1846"/>
      <c r="MR5" s="1846"/>
      <c r="MS5" s="1846"/>
      <c r="MT5" s="1846"/>
      <c r="MU5" s="1846"/>
      <c r="MV5" s="1846"/>
      <c r="MW5" s="1846"/>
      <c r="MX5" s="1846"/>
      <c r="MY5" s="1846"/>
      <c r="MZ5" s="1846"/>
      <c r="NA5" s="1846"/>
      <c r="NB5" s="1846"/>
      <c r="NC5" s="1846"/>
      <c r="ND5" s="1846"/>
      <c r="NE5" s="1846"/>
      <c r="NF5" s="1846"/>
      <c r="NG5" s="1846"/>
      <c r="NH5" s="1846"/>
      <c r="NI5" s="1846"/>
      <c r="NJ5" s="1846"/>
      <c r="NK5" s="1846"/>
      <c r="NL5" s="1846"/>
      <c r="NM5" s="1846"/>
      <c r="NN5" s="1846"/>
      <c r="NO5" s="1847"/>
      <c r="NP5" s="1845"/>
      <c r="NQ5" s="1846"/>
      <c r="NR5" s="1846"/>
      <c r="NS5" s="1846"/>
      <c r="NT5" s="1846"/>
      <c r="NU5" s="1846"/>
      <c r="NV5" s="1846"/>
      <c r="NW5" s="1846"/>
      <c r="NX5" s="1846"/>
      <c r="NY5" s="1846"/>
      <c r="NZ5" s="1846"/>
      <c r="OA5" s="1846"/>
      <c r="OB5" s="1846"/>
      <c r="OC5" s="1846"/>
      <c r="OD5" s="1846"/>
      <c r="OE5" s="1846"/>
      <c r="OF5" s="1846"/>
      <c r="OG5" s="1846"/>
      <c r="OH5" s="1846"/>
      <c r="OI5" s="1846"/>
      <c r="OJ5" s="1846"/>
      <c r="OK5" s="1846"/>
      <c r="OL5" s="1846"/>
      <c r="OM5" s="1846"/>
      <c r="ON5" s="1846"/>
      <c r="OO5" s="1846"/>
      <c r="OP5" s="1846"/>
      <c r="OQ5" s="1847"/>
    </row>
    <row r="6" spans="1:423" s="15" customFormat="1" ht="20.100000000000001" customHeight="1" thickBot="1">
      <c r="A6" s="431"/>
      <c r="B6" s="1860"/>
      <c r="C6" s="1861"/>
      <c r="D6" s="1861"/>
      <c r="E6" s="1861"/>
      <c r="F6" s="1861"/>
      <c r="G6" s="1861"/>
      <c r="H6" s="1861"/>
      <c r="I6" s="1861"/>
      <c r="J6" s="1861"/>
      <c r="K6" s="1862"/>
      <c r="L6" s="458"/>
      <c r="M6" s="458"/>
      <c r="N6" s="458"/>
      <c r="O6" s="458"/>
      <c r="P6" s="1817" t="s">
        <v>13</v>
      </c>
      <c r="Q6" s="1818"/>
      <c r="R6" s="1818"/>
      <c r="S6" s="1818"/>
      <c r="T6" s="1818"/>
      <c r="U6" s="1818"/>
      <c r="V6" s="1818"/>
      <c r="W6" s="1818"/>
      <c r="X6" s="1818"/>
      <c r="Y6" s="1818"/>
      <c r="Z6" s="1818"/>
      <c r="AA6" s="1818"/>
      <c r="AB6" s="1818"/>
      <c r="AC6" s="1818"/>
      <c r="AD6" s="1818"/>
      <c r="AE6" s="1818"/>
      <c r="AF6" s="1818"/>
      <c r="AG6" s="1818"/>
      <c r="AH6" s="1818"/>
      <c r="AI6" s="1818"/>
      <c r="AJ6" s="1818"/>
      <c r="AK6" s="1818"/>
      <c r="AL6" s="1818"/>
      <c r="AM6" s="1818"/>
      <c r="AN6" s="1818"/>
      <c r="AO6" s="1818"/>
      <c r="AP6" s="1818"/>
      <c r="AQ6" s="1819"/>
      <c r="AR6" s="1848">
        <v>0</v>
      </c>
      <c r="AS6" s="1849"/>
      <c r="AT6" s="1849"/>
      <c r="AU6" s="1849"/>
      <c r="AV6" s="1849"/>
      <c r="AW6" s="1849"/>
      <c r="AX6" s="1849"/>
      <c r="AY6" s="1849"/>
      <c r="AZ6" s="1849"/>
      <c r="BA6" s="1849"/>
      <c r="BB6" s="1850" t="s">
        <v>435</v>
      </c>
      <c r="BC6" s="1850"/>
      <c r="BD6" s="1850"/>
      <c r="BE6" s="1850"/>
      <c r="BF6" s="1850"/>
      <c r="BG6" s="1850"/>
      <c r="BH6" s="1850"/>
      <c r="BI6" s="1850"/>
      <c r="BJ6" s="1850"/>
      <c r="BK6" s="1850"/>
      <c r="BL6" s="1850"/>
      <c r="BM6" s="1850"/>
      <c r="BN6" s="1850"/>
      <c r="BO6" s="1850"/>
      <c r="BP6" s="1850"/>
      <c r="BQ6" s="1850"/>
      <c r="BR6" s="1850"/>
      <c r="BS6" s="1851"/>
      <c r="BT6" s="1814"/>
      <c r="BU6" s="1815"/>
      <c r="BV6" s="1815"/>
      <c r="BW6" s="1815"/>
      <c r="BX6" s="1815"/>
      <c r="BY6" s="1815"/>
      <c r="BZ6" s="1815"/>
      <c r="CA6" s="1815"/>
      <c r="CB6" s="1815"/>
      <c r="CC6" s="1815"/>
      <c r="CD6" s="1815"/>
      <c r="CE6" s="1815"/>
      <c r="CF6" s="1815"/>
      <c r="CG6" s="1815"/>
      <c r="CH6" s="1815"/>
      <c r="CI6" s="1815"/>
      <c r="CJ6" s="1815"/>
      <c r="CK6" s="1815"/>
      <c r="CL6" s="1815"/>
      <c r="CM6" s="1815"/>
      <c r="CN6" s="1815"/>
      <c r="CO6" s="1815"/>
      <c r="CP6" s="1815"/>
      <c r="CQ6" s="1815"/>
      <c r="CR6" s="1815"/>
      <c r="CS6" s="1815"/>
      <c r="CT6" s="1815"/>
      <c r="CU6" s="1816"/>
      <c r="CV6" s="1814"/>
      <c r="CW6" s="1815"/>
      <c r="CX6" s="1815"/>
      <c r="CY6" s="1815"/>
      <c r="CZ6" s="1815"/>
      <c r="DA6" s="1815"/>
      <c r="DB6" s="1815"/>
      <c r="DC6" s="1815"/>
      <c r="DD6" s="1815"/>
      <c r="DE6" s="1815"/>
      <c r="DF6" s="1815"/>
      <c r="DG6" s="1815"/>
      <c r="DH6" s="1815"/>
      <c r="DI6" s="1815"/>
      <c r="DJ6" s="1815"/>
      <c r="DK6" s="1815"/>
      <c r="DL6" s="1815"/>
      <c r="DM6" s="1815"/>
      <c r="DN6" s="1815"/>
      <c r="DO6" s="1815"/>
      <c r="DP6" s="1815"/>
      <c r="DQ6" s="1815"/>
      <c r="DR6" s="1815"/>
      <c r="DS6" s="1815"/>
      <c r="DT6" s="1815"/>
      <c r="DU6" s="1815"/>
      <c r="DV6" s="1815"/>
      <c r="DW6" s="1816"/>
      <c r="DX6" s="1814"/>
      <c r="DY6" s="1815"/>
      <c r="DZ6" s="1815"/>
      <c r="EA6" s="1815"/>
      <c r="EB6" s="1815"/>
      <c r="EC6" s="1815"/>
      <c r="ED6" s="1815"/>
      <c r="EE6" s="1815"/>
      <c r="EF6" s="1815"/>
      <c r="EG6" s="1815"/>
      <c r="EH6" s="1815"/>
      <c r="EI6" s="1815"/>
      <c r="EJ6" s="1815"/>
      <c r="EK6" s="1815"/>
      <c r="EL6" s="1815"/>
      <c r="EM6" s="1815"/>
      <c r="EN6" s="1815"/>
      <c r="EO6" s="1815"/>
      <c r="EP6" s="1815"/>
      <c r="EQ6" s="1815"/>
      <c r="ER6" s="1815"/>
      <c r="ES6" s="1815"/>
      <c r="ET6" s="1815"/>
      <c r="EU6" s="1815"/>
      <c r="EV6" s="1815"/>
      <c r="EW6" s="1815"/>
      <c r="EX6" s="1815"/>
      <c r="EY6" s="1816"/>
      <c r="EZ6" s="1814"/>
      <c r="FA6" s="1815"/>
      <c r="FB6" s="1815"/>
      <c r="FC6" s="1815"/>
      <c r="FD6" s="1815"/>
      <c r="FE6" s="1815"/>
      <c r="FF6" s="1815"/>
      <c r="FG6" s="1815"/>
      <c r="FH6" s="1815"/>
      <c r="FI6" s="1815"/>
      <c r="FJ6" s="1815"/>
      <c r="FK6" s="1815"/>
      <c r="FL6" s="1815"/>
      <c r="FM6" s="1815"/>
      <c r="FN6" s="1815"/>
      <c r="FO6" s="1815"/>
      <c r="FP6" s="1815"/>
      <c r="FQ6" s="1815"/>
      <c r="FR6" s="1815"/>
      <c r="FS6" s="1815"/>
      <c r="FT6" s="1815"/>
      <c r="FU6" s="1815"/>
      <c r="FV6" s="1815"/>
      <c r="FW6" s="1815"/>
      <c r="FX6" s="1815"/>
      <c r="FY6" s="1815"/>
      <c r="FZ6" s="1815"/>
      <c r="GA6" s="1816"/>
      <c r="GB6" s="1814"/>
      <c r="GC6" s="1815"/>
      <c r="GD6" s="1815"/>
      <c r="GE6" s="1815"/>
      <c r="GF6" s="1815"/>
      <c r="GG6" s="1815"/>
      <c r="GH6" s="1815"/>
      <c r="GI6" s="1815"/>
      <c r="GJ6" s="1815"/>
      <c r="GK6" s="1815"/>
      <c r="GL6" s="1815"/>
      <c r="GM6" s="1815"/>
      <c r="GN6" s="1815"/>
      <c r="GO6" s="1815"/>
      <c r="GP6" s="1815"/>
      <c r="GQ6" s="1815"/>
      <c r="GR6" s="1815"/>
      <c r="GS6" s="1815"/>
      <c r="GT6" s="1815"/>
      <c r="GU6" s="1815"/>
      <c r="GV6" s="1815"/>
      <c r="GW6" s="1815"/>
      <c r="GX6" s="1815"/>
      <c r="GY6" s="1815"/>
      <c r="GZ6" s="1815"/>
      <c r="HA6" s="1815"/>
      <c r="HB6" s="1815"/>
      <c r="HC6" s="1816"/>
      <c r="HD6" s="1814"/>
      <c r="HE6" s="1815"/>
      <c r="HF6" s="1815"/>
      <c r="HG6" s="1815"/>
      <c r="HH6" s="1815"/>
      <c r="HI6" s="1815"/>
      <c r="HJ6" s="1815"/>
      <c r="HK6" s="1815"/>
      <c r="HL6" s="1815"/>
      <c r="HM6" s="1815"/>
      <c r="HN6" s="1815"/>
      <c r="HO6" s="1815"/>
      <c r="HP6" s="1815"/>
      <c r="HQ6" s="1815"/>
      <c r="HR6" s="1815"/>
      <c r="HS6" s="1815"/>
      <c r="HT6" s="1815"/>
      <c r="HU6" s="1815"/>
      <c r="HV6" s="1815"/>
      <c r="HW6" s="1815"/>
      <c r="HX6" s="1815"/>
      <c r="HY6" s="1815"/>
      <c r="HZ6" s="1815"/>
      <c r="IA6" s="1815"/>
      <c r="IB6" s="1815"/>
      <c r="IC6" s="1815"/>
      <c r="ID6" s="1815"/>
      <c r="IE6" s="1816"/>
      <c r="IF6" s="1814"/>
      <c r="IG6" s="1815"/>
      <c r="IH6" s="1815"/>
      <c r="II6" s="1815"/>
      <c r="IJ6" s="1815"/>
      <c r="IK6" s="1815"/>
      <c r="IL6" s="1815"/>
      <c r="IM6" s="1815"/>
      <c r="IN6" s="1815"/>
      <c r="IO6" s="1815"/>
      <c r="IP6" s="1815"/>
      <c r="IQ6" s="1815"/>
      <c r="IR6" s="1815"/>
      <c r="IS6" s="1815"/>
      <c r="IT6" s="1815"/>
      <c r="IU6" s="1815"/>
      <c r="IV6" s="1815"/>
      <c r="IW6" s="1815"/>
      <c r="IX6" s="1815"/>
      <c r="IY6" s="1815"/>
      <c r="IZ6" s="1815"/>
      <c r="JA6" s="1815"/>
      <c r="JB6" s="1815"/>
      <c r="JC6" s="1815"/>
      <c r="JD6" s="1815"/>
      <c r="JE6" s="1815"/>
      <c r="JF6" s="1815"/>
      <c r="JG6" s="1816"/>
      <c r="JH6" s="1814"/>
      <c r="JI6" s="1815"/>
      <c r="JJ6" s="1815"/>
      <c r="JK6" s="1815"/>
      <c r="JL6" s="1815"/>
      <c r="JM6" s="1815"/>
      <c r="JN6" s="1815"/>
      <c r="JO6" s="1815"/>
      <c r="JP6" s="1815"/>
      <c r="JQ6" s="1815"/>
      <c r="JR6" s="1815"/>
      <c r="JS6" s="1815"/>
      <c r="JT6" s="1815"/>
      <c r="JU6" s="1815"/>
      <c r="JV6" s="1815"/>
      <c r="JW6" s="1815"/>
      <c r="JX6" s="1815"/>
      <c r="JY6" s="1815"/>
      <c r="JZ6" s="1815"/>
      <c r="KA6" s="1815"/>
      <c r="KB6" s="1815"/>
      <c r="KC6" s="1815"/>
      <c r="KD6" s="1815"/>
      <c r="KE6" s="1815"/>
      <c r="KF6" s="1815"/>
      <c r="KG6" s="1815"/>
      <c r="KH6" s="1815"/>
      <c r="KI6" s="1816"/>
      <c r="KJ6" s="1814"/>
      <c r="KK6" s="1815"/>
      <c r="KL6" s="1815"/>
      <c r="KM6" s="1815"/>
      <c r="KN6" s="1815"/>
      <c r="KO6" s="1815"/>
      <c r="KP6" s="1815"/>
      <c r="KQ6" s="1815"/>
      <c r="KR6" s="1815"/>
      <c r="KS6" s="1815"/>
      <c r="KT6" s="1815"/>
      <c r="KU6" s="1815"/>
      <c r="KV6" s="1815"/>
      <c r="KW6" s="1815"/>
      <c r="KX6" s="1815"/>
      <c r="KY6" s="1815"/>
      <c r="KZ6" s="1815"/>
      <c r="LA6" s="1815"/>
      <c r="LB6" s="1815"/>
      <c r="LC6" s="1815"/>
      <c r="LD6" s="1815"/>
      <c r="LE6" s="1815"/>
      <c r="LF6" s="1815"/>
      <c r="LG6" s="1815"/>
      <c r="LH6" s="1815"/>
      <c r="LI6" s="1815"/>
      <c r="LJ6" s="1815"/>
      <c r="LK6" s="1816"/>
      <c r="LL6" s="1814"/>
      <c r="LM6" s="1815"/>
      <c r="LN6" s="1815"/>
      <c r="LO6" s="1815"/>
      <c r="LP6" s="1815"/>
      <c r="LQ6" s="1815"/>
      <c r="LR6" s="1815"/>
      <c r="LS6" s="1815"/>
      <c r="LT6" s="1815"/>
      <c r="LU6" s="1815"/>
      <c r="LV6" s="1815"/>
      <c r="LW6" s="1815"/>
      <c r="LX6" s="1815"/>
      <c r="LY6" s="1815"/>
      <c r="LZ6" s="1815"/>
      <c r="MA6" s="1815"/>
      <c r="MB6" s="1815"/>
      <c r="MC6" s="1815"/>
      <c r="MD6" s="1815"/>
      <c r="ME6" s="1815"/>
      <c r="MF6" s="1815"/>
      <c r="MG6" s="1815"/>
      <c r="MH6" s="1815"/>
      <c r="MI6" s="1815"/>
      <c r="MJ6" s="1815"/>
      <c r="MK6" s="1815"/>
      <c r="ML6" s="1815"/>
      <c r="MM6" s="1816"/>
      <c r="MN6" s="1814"/>
      <c r="MO6" s="1815"/>
      <c r="MP6" s="1815"/>
      <c r="MQ6" s="1815"/>
      <c r="MR6" s="1815"/>
      <c r="MS6" s="1815"/>
      <c r="MT6" s="1815"/>
      <c r="MU6" s="1815"/>
      <c r="MV6" s="1815"/>
      <c r="MW6" s="1815"/>
      <c r="MX6" s="1815"/>
      <c r="MY6" s="1815"/>
      <c r="MZ6" s="1815"/>
      <c r="NA6" s="1815"/>
      <c r="NB6" s="1815"/>
      <c r="NC6" s="1815"/>
      <c r="ND6" s="1815"/>
      <c r="NE6" s="1815"/>
      <c r="NF6" s="1815"/>
      <c r="NG6" s="1815"/>
      <c r="NH6" s="1815"/>
      <c r="NI6" s="1815"/>
      <c r="NJ6" s="1815"/>
      <c r="NK6" s="1815"/>
      <c r="NL6" s="1815"/>
      <c r="NM6" s="1815"/>
      <c r="NN6" s="1815"/>
      <c r="NO6" s="1816"/>
      <c r="NP6" s="1814"/>
      <c r="NQ6" s="1815"/>
      <c r="NR6" s="1815"/>
      <c r="NS6" s="1815"/>
      <c r="NT6" s="1815"/>
      <c r="NU6" s="1815"/>
      <c r="NV6" s="1815"/>
      <c r="NW6" s="1815"/>
      <c r="NX6" s="1815"/>
      <c r="NY6" s="1815"/>
      <c r="NZ6" s="1815"/>
      <c r="OA6" s="1815"/>
      <c r="OB6" s="1815"/>
      <c r="OC6" s="1815"/>
      <c r="OD6" s="1815"/>
      <c r="OE6" s="1815"/>
      <c r="OF6" s="1815"/>
      <c r="OG6" s="1815"/>
      <c r="OH6" s="1815"/>
      <c r="OI6" s="1815"/>
      <c r="OJ6" s="1815"/>
      <c r="OK6" s="1815"/>
      <c r="OL6" s="1815"/>
      <c r="OM6" s="1815"/>
      <c r="ON6" s="1815"/>
      <c r="OO6" s="1815"/>
      <c r="OP6" s="1815"/>
      <c r="OQ6" s="1816"/>
    </row>
    <row r="7" spans="1:423" s="15" customFormat="1" ht="12" customHeight="1">
      <c r="A7" s="431"/>
      <c r="B7" s="1836" t="s">
        <v>15</v>
      </c>
      <c r="C7" s="1838" t="s">
        <v>16</v>
      </c>
      <c r="D7" s="1838"/>
      <c r="E7" s="1838"/>
      <c r="F7" s="1838"/>
      <c r="G7" s="1838"/>
      <c r="H7" s="1838"/>
      <c r="I7" s="1838"/>
      <c r="J7" s="1838"/>
      <c r="K7" s="1839"/>
      <c r="L7" s="459" t="s">
        <v>436</v>
      </c>
      <c r="M7" s="459"/>
      <c r="N7" s="459"/>
      <c r="O7" s="459"/>
      <c r="P7" s="1842" t="s">
        <v>437</v>
      </c>
      <c r="Q7" s="1843"/>
      <c r="R7" s="1843"/>
      <c r="S7" s="1843"/>
      <c r="T7" s="1843"/>
      <c r="U7" s="1843"/>
      <c r="V7" s="1843"/>
      <c r="W7" s="1843"/>
      <c r="X7" s="1843"/>
      <c r="Y7" s="1843"/>
      <c r="Z7" s="1843"/>
      <c r="AA7" s="1843"/>
      <c r="AB7" s="1843"/>
      <c r="AC7" s="1844"/>
      <c r="AD7" s="1842" t="s">
        <v>438</v>
      </c>
      <c r="AE7" s="1843"/>
      <c r="AF7" s="1843"/>
      <c r="AG7" s="1843"/>
      <c r="AH7" s="1843"/>
      <c r="AI7" s="1843"/>
      <c r="AJ7" s="1843"/>
      <c r="AK7" s="1843"/>
      <c r="AL7" s="1843"/>
      <c r="AM7" s="1843"/>
      <c r="AN7" s="1843"/>
      <c r="AO7" s="1843"/>
      <c r="AP7" s="1843"/>
      <c r="AQ7" s="1844"/>
      <c r="AR7" s="1814"/>
      <c r="AS7" s="1815"/>
      <c r="AT7" s="1815"/>
      <c r="AU7" s="1815"/>
      <c r="AV7" s="1815"/>
      <c r="AW7" s="1815"/>
      <c r="AX7" s="1815"/>
      <c r="AY7" s="1815"/>
      <c r="AZ7" s="1815"/>
      <c r="BA7" s="1815"/>
      <c r="BB7" s="1815"/>
      <c r="BC7" s="1815"/>
      <c r="BD7" s="1815"/>
      <c r="BE7" s="1815"/>
      <c r="BF7" s="1815"/>
      <c r="BG7" s="1815"/>
      <c r="BH7" s="1815"/>
      <c r="BI7" s="1815"/>
      <c r="BJ7" s="1815"/>
      <c r="BK7" s="1815"/>
      <c r="BL7" s="1815"/>
      <c r="BM7" s="1815"/>
      <c r="BN7" s="1815"/>
      <c r="BO7" s="1815"/>
      <c r="BP7" s="1815"/>
      <c r="BQ7" s="1815"/>
      <c r="BR7" s="1815"/>
      <c r="BS7" s="1816"/>
      <c r="BT7" s="1814"/>
      <c r="BU7" s="1815"/>
      <c r="BV7" s="1815"/>
      <c r="BW7" s="1815"/>
      <c r="BX7" s="1815"/>
      <c r="BY7" s="1815"/>
      <c r="BZ7" s="1815"/>
      <c r="CA7" s="1815"/>
      <c r="CB7" s="1815"/>
      <c r="CC7" s="1815"/>
      <c r="CD7" s="1815"/>
      <c r="CE7" s="1815"/>
      <c r="CF7" s="1815"/>
      <c r="CG7" s="1815"/>
      <c r="CH7" s="1815"/>
      <c r="CI7" s="1815"/>
      <c r="CJ7" s="1815"/>
      <c r="CK7" s="1815"/>
      <c r="CL7" s="1815"/>
      <c r="CM7" s="1815"/>
      <c r="CN7" s="1815"/>
      <c r="CO7" s="1815"/>
      <c r="CP7" s="1815"/>
      <c r="CQ7" s="1815"/>
      <c r="CR7" s="1815"/>
      <c r="CS7" s="1815"/>
      <c r="CT7" s="1815"/>
      <c r="CU7" s="1816"/>
      <c r="CV7" s="1814"/>
      <c r="CW7" s="1815"/>
      <c r="CX7" s="1815"/>
      <c r="CY7" s="1815"/>
      <c r="CZ7" s="1815"/>
      <c r="DA7" s="1815"/>
      <c r="DB7" s="1815"/>
      <c r="DC7" s="1815"/>
      <c r="DD7" s="1815"/>
      <c r="DE7" s="1815"/>
      <c r="DF7" s="1815"/>
      <c r="DG7" s="1815"/>
      <c r="DH7" s="1815"/>
      <c r="DI7" s="1815"/>
      <c r="DJ7" s="1815"/>
      <c r="DK7" s="1815"/>
      <c r="DL7" s="1815"/>
      <c r="DM7" s="1815"/>
      <c r="DN7" s="1815"/>
      <c r="DO7" s="1815"/>
      <c r="DP7" s="1815"/>
      <c r="DQ7" s="1815"/>
      <c r="DR7" s="1815"/>
      <c r="DS7" s="1815"/>
      <c r="DT7" s="1815"/>
      <c r="DU7" s="1815"/>
      <c r="DV7" s="1815"/>
      <c r="DW7" s="1816"/>
      <c r="DX7" s="1814"/>
      <c r="DY7" s="1815"/>
      <c r="DZ7" s="1815"/>
      <c r="EA7" s="1815"/>
      <c r="EB7" s="1815"/>
      <c r="EC7" s="1815"/>
      <c r="ED7" s="1815"/>
      <c r="EE7" s="1815"/>
      <c r="EF7" s="1815"/>
      <c r="EG7" s="1815"/>
      <c r="EH7" s="1815"/>
      <c r="EI7" s="1815"/>
      <c r="EJ7" s="1815"/>
      <c r="EK7" s="1815"/>
      <c r="EL7" s="1815"/>
      <c r="EM7" s="1815"/>
      <c r="EN7" s="1815"/>
      <c r="EO7" s="1815"/>
      <c r="EP7" s="1815"/>
      <c r="EQ7" s="1815"/>
      <c r="ER7" s="1815"/>
      <c r="ES7" s="1815"/>
      <c r="ET7" s="1815"/>
      <c r="EU7" s="1815"/>
      <c r="EV7" s="1815"/>
      <c r="EW7" s="1815"/>
      <c r="EX7" s="1815"/>
      <c r="EY7" s="1816"/>
      <c r="EZ7" s="1814"/>
      <c r="FA7" s="1815"/>
      <c r="FB7" s="1815"/>
      <c r="FC7" s="1815"/>
      <c r="FD7" s="1815"/>
      <c r="FE7" s="1815"/>
      <c r="FF7" s="1815"/>
      <c r="FG7" s="1815"/>
      <c r="FH7" s="1815"/>
      <c r="FI7" s="1815"/>
      <c r="FJ7" s="1815"/>
      <c r="FK7" s="1815"/>
      <c r="FL7" s="1815"/>
      <c r="FM7" s="1815"/>
      <c r="FN7" s="1815"/>
      <c r="FO7" s="1815"/>
      <c r="FP7" s="1815"/>
      <c r="FQ7" s="1815"/>
      <c r="FR7" s="1815"/>
      <c r="FS7" s="1815"/>
      <c r="FT7" s="1815"/>
      <c r="FU7" s="1815"/>
      <c r="FV7" s="1815"/>
      <c r="FW7" s="1815"/>
      <c r="FX7" s="1815"/>
      <c r="FY7" s="1815"/>
      <c r="FZ7" s="1815"/>
      <c r="GA7" s="1816"/>
      <c r="GB7" s="1814"/>
      <c r="GC7" s="1815"/>
      <c r="GD7" s="1815"/>
      <c r="GE7" s="1815"/>
      <c r="GF7" s="1815"/>
      <c r="GG7" s="1815"/>
      <c r="GH7" s="1815"/>
      <c r="GI7" s="1815"/>
      <c r="GJ7" s="1815"/>
      <c r="GK7" s="1815"/>
      <c r="GL7" s="1815"/>
      <c r="GM7" s="1815"/>
      <c r="GN7" s="1815"/>
      <c r="GO7" s="1815"/>
      <c r="GP7" s="1815"/>
      <c r="GQ7" s="1815"/>
      <c r="GR7" s="1815"/>
      <c r="GS7" s="1815"/>
      <c r="GT7" s="1815"/>
      <c r="GU7" s="1815"/>
      <c r="GV7" s="1815"/>
      <c r="GW7" s="1815"/>
      <c r="GX7" s="1815"/>
      <c r="GY7" s="1815"/>
      <c r="GZ7" s="1815"/>
      <c r="HA7" s="1815"/>
      <c r="HB7" s="1815"/>
      <c r="HC7" s="1816"/>
      <c r="HD7" s="1814"/>
      <c r="HE7" s="1815"/>
      <c r="HF7" s="1815"/>
      <c r="HG7" s="1815"/>
      <c r="HH7" s="1815"/>
      <c r="HI7" s="1815"/>
      <c r="HJ7" s="1815"/>
      <c r="HK7" s="1815"/>
      <c r="HL7" s="1815"/>
      <c r="HM7" s="1815"/>
      <c r="HN7" s="1815"/>
      <c r="HO7" s="1815"/>
      <c r="HP7" s="1815"/>
      <c r="HQ7" s="1815"/>
      <c r="HR7" s="1815"/>
      <c r="HS7" s="1815"/>
      <c r="HT7" s="1815"/>
      <c r="HU7" s="1815"/>
      <c r="HV7" s="1815"/>
      <c r="HW7" s="1815"/>
      <c r="HX7" s="1815"/>
      <c r="HY7" s="1815"/>
      <c r="HZ7" s="1815"/>
      <c r="IA7" s="1815"/>
      <c r="IB7" s="1815"/>
      <c r="IC7" s="1815"/>
      <c r="ID7" s="1815"/>
      <c r="IE7" s="1816"/>
      <c r="IF7" s="1814"/>
      <c r="IG7" s="1815"/>
      <c r="IH7" s="1815"/>
      <c r="II7" s="1815"/>
      <c r="IJ7" s="1815"/>
      <c r="IK7" s="1815"/>
      <c r="IL7" s="1815"/>
      <c r="IM7" s="1815"/>
      <c r="IN7" s="1815"/>
      <c r="IO7" s="1815"/>
      <c r="IP7" s="1815"/>
      <c r="IQ7" s="1815"/>
      <c r="IR7" s="1815"/>
      <c r="IS7" s="1815"/>
      <c r="IT7" s="1815"/>
      <c r="IU7" s="1815"/>
      <c r="IV7" s="1815"/>
      <c r="IW7" s="1815"/>
      <c r="IX7" s="1815"/>
      <c r="IY7" s="1815"/>
      <c r="IZ7" s="1815"/>
      <c r="JA7" s="1815"/>
      <c r="JB7" s="1815"/>
      <c r="JC7" s="1815"/>
      <c r="JD7" s="1815"/>
      <c r="JE7" s="1815"/>
      <c r="JF7" s="1815"/>
      <c r="JG7" s="1816"/>
      <c r="JH7" s="1814"/>
      <c r="JI7" s="1815"/>
      <c r="JJ7" s="1815"/>
      <c r="JK7" s="1815"/>
      <c r="JL7" s="1815"/>
      <c r="JM7" s="1815"/>
      <c r="JN7" s="1815"/>
      <c r="JO7" s="1815"/>
      <c r="JP7" s="1815"/>
      <c r="JQ7" s="1815"/>
      <c r="JR7" s="1815"/>
      <c r="JS7" s="1815"/>
      <c r="JT7" s="1815"/>
      <c r="JU7" s="1815"/>
      <c r="JV7" s="1815"/>
      <c r="JW7" s="1815"/>
      <c r="JX7" s="1815"/>
      <c r="JY7" s="1815"/>
      <c r="JZ7" s="1815"/>
      <c r="KA7" s="1815"/>
      <c r="KB7" s="1815"/>
      <c r="KC7" s="1815"/>
      <c r="KD7" s="1815"/>
      <c r="KE7" s="1815"/>
      <c r="KF7" s="1815"/>
      <c r="KG7" s="1815"/>
      <c r="KH7" s="1815"/>
      <c r="KI7" s="1816"/>
      <c r="KJ7" s="1814"/>
      <c r="KK7" s="1815"/>
      <c r="KL7" s="1815"/>
      <c r="KM7" s="1815"/>
      <c r="KN7" s="1815"/>
      <c r="KO7" s="1815"/>
      <c r="KP7" s="1815"/>
      <c r="KQ7" s="1815"/>
      <c r="KR7" s="1815"/>
      <c r="KS7" s="1815"/>
      <c r="KT7" s="1815"/>
      <c r="KU7" s="1815"/>
      <c r="KV7" s="1815"/>
      <c r="KW7" s="1815"/>
      <c r="KX7" s="1815"/>
      <c r="KY7" s="1815"/>
      <c r="KZ7" s="1815"/>
      <c r="LA7" s="1815"/>
      <c r="LB7" s="1815"/>
      <c r="LC7" s="1815"/>
      <c r="LD7" s="1815"/>
      <c r="LE7" s="1815"/>
      <c r="LF7" s="1815"/>
      <c r="LG7" s="1815"/>
      <c r="LH7" s="1815"/>
      <c r="LI7" s="1815"/>
      <c r="LJ7" s="1815"/>
      <c r="LK7" s="1816"/>
      <c r="LL7" s="1814"/>
      <c r="LM7" s="1815"/>
      <c r="LN7" s="1815"/>
      <c r="LO7" s="1815"/>
      <c r="LP7" s="1815"/>
      <c r="LQ7" s="1815"/>
      <c r="LR7" s="1815"/>
      <c r="LS7" s="1815"/>
      <c r="LT7" s="1815"/>
      <c r="LU7" s="1815"/>
      <c r="LV7" s="1815"/>
      <c r="LW7" s="1815"/>
      <c r="LX7" s="1815"/>
      <c r="LY7" s="1815"/>
      <c r="LZ7" s="1815"/>
      <c r="MA7" s="1815"/>
      <c r="MB7" s="1815"/>
      <c r="MC7" s="1815"/>
      <c r="MD7" s="1815"/>
      <c r="ME7" s="1815"/>
      <c r="MF7" s="1815"/>
      <c r="MG7" s="1815"/>
      <c r="MH7" s="1815"/>
      <c r="MI7" s="1815"/>
      <c r="MJ7" s="1815"/>
      <c r="MK7" s="1815"/>
      <c r="ML7" s="1815"/>
      <c r="MM7" s="1816"/>
      <c r="MN7" s="1814"/>
      <c r="MO7" s="1815"/>
      <c r="MP7" s="1815"/>
      <c r="MQ7" s="1815"/>
      <c r="MR7" s="1815"/>
      <c r="MS7" s="1815"/>
      <c r="MT7" s="1815"/>
      <c r="MU7" s="1815"/>
      <c r="MV7" s="1815"/>
      <c r="MW7" s="1815"/>
      <c r="MX7" s="1815"/>
      <c r="MY7" s="1815"/>
      <c r="MZ7" s="1815"/>
      <c r="NA7" s="1815"/>
      <c r="NB7" s="1815"/>
      <c r="NC7" s="1815"/>
      <c r="ND7" s="1815"/>
      <c r="NE7" s="1815"/>
      <c r="NF7" s="1815"/>
      <c r="NG7" s="1815"/>
      <c r="NH7" s="1815"/>
      <c r="NI7" s="1815"/>
      <c r="NJ7" s="1815"/>
      <c r="NK7" s="1815"/>
      <c r="NL7" s="1815"/>
      <c r="NM7" s="1815"/>
      <c r="NN7" s="1815"/>
      <c r="NO7" s="1816"/>
      <c r="NP7" s="1814"/>
      <c r="NQ7" s="1815"/>
      <c r="NR7" s="1815"/>
      <c r="NS7" s="1815"/>
      <c r="NT7" s="1815"/>
      <c r="NU7" s="1815"/>
      <c r="NV7" s="1815"/>
      <c r="NW7" s="1815"/>
      <c r="NX7" s="1815"/>
      <c r="NY7" s="1815"/>
      <c r="NZ7" s="1815"/>
      <c r="OA7" s="1815"/>
      <c r="OB7" s="1815"/>
      <c r="OC7" s="1815"/>
      <c r="OD7" s="1815"/>
      <c r="OE7" s="1815"/>
      <c r="OF7" s="1815"/>
      <c r="OG7" s="1815"/>
      <c r="OH7" s="1815"/>
      <c r="OI7" s="1815"/>
      <c r="OJ7" s="1815"/>
      <c r="OK7" s="1815"/>
      <c r="OL7" s="1815"/>
      <c r="OM7" s="1815"/>
      <c r="ON7" s="1815"/>
      <c r="OO7" s="1815"/>
      <c r="OP7" s="1815"/>
      <c r="OQ7" s="1816"/>
    </row>
    <row r="8" spans="1:423" s="15" customFormat="1" ht="15.75" thickBot="1">
      <c r="A8" s="431"/>
      <c r="B8" s="1837"/>
      <c r="C8" s="1840"/>
      <c r="D8" s="1840"/>
      <c r="E8" s="1840"/>
      <c r="F8" s="1840"/>
      <c r="G8" s="1840"/>
      <c r="H8" s="1840"/>
      <c r="I8" s="1840"/>
      <c r="J8" s="1840"/>
      <c r="K8" s="1841"/>
      <c r="L8" s="459"/>
      <c r="M8" s="459"/>
      <c r="N8" s="459"/>
      <c r="O8" s="459"/>
      <c r="P8" s="1820">
        <v>0</v>
      </c>
      <c r="Q8" s="1821"/>
      <c r="R8" s="1821"/>
      <c r="S8" s="1821"/>
      <c r="T8" s="1821"/>
      <c r="U8" s="1821"/>
      <c r="V8" s="1821"/>
      <c r="W8" s="1821"/>
      <c r="X8" s="1821"/>
      <c r="Y8" s="1821"/>
      <c r="Z8" s="1821"/>
      <c r="AA8" s="1821"/>
      <c r="AB8" s="1821"/>
      <c r="AC8" s="1822"/>
      <c r="AD8" s="1823">
        <v>41569</v>
      </c>
      <c r="AE8" s="1824"/>
      <c r="AF8" s="1824"/>
      <c r="AG8" s="1824"/>
      <c r="AH8" s="1824"/>
      <c r="AI8" s="1824"/>
      <c r="AJ8" s="1824"/>
      <c r="AK8" s="1824"/>
      <c r="AL8" s="1824"/>
      <c r="AM8" s="1824"/>
      <c r="AN8" s="1824"/>
      <c r="AO8" s="1824"/>
      <c r="AP8" s="1824"/>
      <c r="AQ8" s="1825"/>
      <c r="AR8" s="1817"/>
      <c r="AS8" s="1818"/>
      <c r="AT8" s="1818"/>
      <c r="AU8" s="1818"/>
      <c r="AV8" s="1818"/>
      <c r="AW8" s="1818"/>
      <c r="AX8" s="1818"/>
      <c r="AY8" s="1818"/>
      <c r="AZ8" s="1818"/>
      <c r="BA8" s="1818"/>
      <c r="BB8" s="1818"/>
      <c r="BC8" s="1818"/>
      <c r="BD8" s="1818"/>
      <c r="BE8" s="1818"/>
      <c r="BF8" s="1818"/>
      <c r="BG8" s="1818"/>
      <c r="BH8" s="1818"/>
      <c r="BI8" s="1818"/>
      <c r="BJ8" s="1818"/>
      <c r="BK8" s="1818"/>
      <c r="BL8" s="1818"/>
      <c r="BM8" s="1818"/>
      <c r="BN8" s="1818"/>
      <c r="BO8" s="1818"/>
      <c r="BP8" s="1818"/>
      <c r="BQ8" s="1818"/>
      <c r="BR8" s="1818"/>
      <c r="BS8" s="1819"/>
      <c r="BT8" s="1817"/>
      <c r="BU8" s="1818"/>
      <c r="BV8" s="1818"/>
      <c r="BW8" s="1818"/>
      <c r="BX8" s="1818"/>
      <c r="BY8" s="1818"/>
      <c r="BZ8" s="1818"/>
      <c r="CA8" s="1818"/>
      <c r="CB8" s="1818"/>
      <c r="CC8" s="1818"/>
      <c r="CD8" s="1818"/>
      <c r="CE8" s="1818"/>
      <c r="CF8" s="1818"/>
      <c r="CG8" s="1818"/>
      <c r="CH8" s="1818"/>
      <c r="CI8" s="1818"/>
      <c r="CJ8" s="1818"/>
      <c r="CK8" s="1818"/>
      <c r="CL8" s="1818"/>
      <c r="CM8" s="1818"/>
      <c r="CN8" s="1818"/>
      <c r="CO8" s="1818"/>
      <c r="CP8" s="1818"/>
      <c r="CQ8" s="1818"/>
      <c r="CR8" s="1818"/>
      <c r="CS8" s="1818"/>
      <c r="CT8" s="1818"/>
      <c r="CU8" s="1819"/>
      <c r="CV8" s="1817"/>
      <c r="CW8" s="1818"/>
      <c r="CX8" s="1818"/>
      <c r="CY8" s="1818"/>
      <c r="CZ8" s="1818"/>
      <c r="DA8" s="1818"/>
      <c r="DB8" s="1818"/>
      <c r="DC8" s="1818"/>
      <c r="DD8" s="1818"/>
      <c r="DE8" s="1818"/>
      <c r="DF8" s="1818"/>
      <c r="DG8" s="1818"/>
      <c r="DH8" s="1818"/>
      <c r="DI8" s="1818"/>
      <c r="DJ8" s="1818"/>
      <c r="DK8" s="1818"/>
      <c r="DL8" s="1818"/>
      <c r="DM8" s="1818"/>
      <c r="DN8" s="1818"/>
      <c r="DO8" s="1818"/>
      <c r="DP8" s="1818"/>
      <c r="DQ8" s="1818"/>
      <c r="DR8" s="1818"/>
      <c r="DS8" s="1818"/>
      <c r="DT8" s="1818"/>
      <c r="DU8" s="1818"/>
      <c r="DV8" s="1818"/>
      <c r="DW8" s="1819"/>
      <c r="DX8" s="1817"/>
      <c r="DY8" s="1818"/>
      <c r="DZ8" s="1818"/>
      <c r="EA8" s="1818"/>
      <c r="EB8" s="1818"/>
      <c r="EC8" s="1818"/>
      <c r="ED8" s="1818"/>
      <c r="EE8" s="1818"/>
      <c r="EF8" s="1818"/>
      <c r="EG8" s="1818"/>
      <c r="EH8" s="1818"/>
      <c r="EI8" s="1818"/>
      <c r="EJ8" s="1818"/>
      <c r="EK8" s="1818"/>
      <c r="EL8" s="1818"/>
      <c r="EM8" s="1818"/>
      <c r="EN8" s="1818"/>
      <c r="EO8" s="1818"/>
      <c r="EP8" s="1818"/>
      <c r="EQ8" s="1818"/>
      <c r="ER8" s="1818"/>
      <c r="ES8" s="1818"/>
      <c r="ET8" s="1818"/>
      <c r="EU8" s="1818"/>
      <c r="EV8" s="1818"/>
      <c r="EW8" s="1818"/>
      <c r="EX8" s="1818"/>
      <c r="EY8" s="1819"/>
      <c r="EZ8" s="1817"/>
      <c r="FA8" s="1818"/>
      <c r="FB8" s="1818"/>
      <c r="FC8" s="1818"/>
      <c r="FD8" s="1818"/>
      <c r="FE8" s="1818"/>
      <c r="FF8" s="1818"/>
      <c r="FG8" s="1818"/>
      <c r="FH8" s="1818"/>
      <c r="FI8" s="1818"/>
      <c r="FJ8" s="1818"/>
      <c r="FK8" s="1818"/>
      <c r="FL8" s="1818"/>
      <c r="FM8" s="1818"/>
      <c r="FN8" s="1818"/>
      <c r="FO8" s="1818"/>
      <c r="FP8" s="1818"/>
      <c r="FQ8" s="1818"/>
      <c r="FR8" s="1818"/>
      <c r="FS8" s="1818"/>
      <c r="FT8" s="1818"/>
      <c r="FU8" s="1818"/>
      <c r="FV8" s="1818"/>
      <c r="FW8" s="1818"/>
      <c r="FX8" s="1818"/>
      <c r="FY8" s="1818"/>
      <c r="FZ8" s="1818"/>
      <c r="GA8" s="1819"/>
      <c r="GB8" s="1817"/>
      <c r="GC8" s="1818"/>
      <c r="GD8" s="1818"/>
      <c r="GE8" s="1818"/>
      <c r="GF8" s="1818"/>
      <c r="GG8" s="1818"/>
      <c r="GH8" s="1818"/>
      <c r="GI8" s="1818"/>
      <c r="GJ8" s="1818"/>
      <c r="GK8" s="1818"/>
      <c r="GL8" s="1818"/>
      <c r="GM8" s="1818"/>
      <c r="GN8" s="1818"/>
      <c r="GO8" s="1818"/>
      <c r="GP8" s="1818"/>
      <c r="GQ8" s="1818"/>
      <c r="GR8" s="1818"/>
      <c r="GS8" s="1818"/>
      <c r="GT8" s="1818"/>
      <c r="GU8" s="1818"/>
      <c r="GV8" s="1818"/>
      <c r="GW8" s="1818"/>
      <c r="GX8" s="1818"/>
      <c r="GY8" s="1818"/>
      <c r="GZ8" s="1818"/>
      <c r="HA8" s="1818"/>
      <c r="HB8" s="1818"/>
      <c r="HC8" s="1819"/>
      <c r="HD8" s="1817"/>
      <c r="HE8" s="1818"/>
      <c r="HF8" s="1818"/>
      <c r="HG8" s="1818"/>
      <c r="HH8" s="1818"/>
      <c r="HI8" s="1818"/>
      <c r="HJ8" s="1818"/>
      <c r="HK8" s="1818"/>
      <c r="HL8" s="1818"/>
      <c r="HM8" s="1818"/>
      <c r="HN8" s="1818"/>
      <c r="HO8" s="1818"/>
      <c r="HP8" s="1818"/>
      <c r="HQ8" s="1818"/>
      <c r="HR8" s="1818"/>
      <c r="HS8" s="1818"/>
      <c r="HT8" s="1818"/>
      <c r="HU8" s="1818"/>
      <c r="HV8" s="1818"/>
      <c r="HW8" s="1818"/>
      <c r="HX8" s="1818"/>
      <c r="HY8" s="1818"/>
      <c r="HZ8" s="1818"/>
      <c r="IA8" s="1818"/>
      <c r="IB8" s="1818"/>
      <c r="IC8" s="1818"/>
      <c r="ID8" s="1818"/>
      <c r="IE8" s="1819"/>
      <c r="IF8" s="1817"/>
      <c r="IG8" s="1818"/>
      <c r="IH8" s="1818"/>
      <c r="II8" s="1818"/>
      <c r="IJ8" s="1818"/>
      <c r="IK8" s="1818"/>
      <c r="IL8" s="1818"/>
      <c r="IM8" s="1818"/>
      <c r="IN8" s="1818"/>
      <c r="IO8" s="1818"/>
      <c r="IP8" s="1818"/>
      <c r="IQ8" s="1818"/>
      <c r="IR8" s="1818"/>
      <c r="IS8" s="1818"/>
      <c r="IT8" s="1818"/>
      <c r="IU8" s="1818"/>
      <c r="IV8" s="1818"/>
      <c r="IW8" s="1818"/>
      <c r="IX8" s="1818"/>
      <c r="IY8" s="1818"/>
      <c r="IZ8" s="1818"/>
      <c r="JA8" s="1818"/>
      <c r="JB8" s="1818"/>
      <c r="JC8" s="1818"/>
      <c r="JD8" s="1818"/>
      <c r="JE8" s="1818"/>
      <c r="JF8" s="1818"/>
      <c r="JG8" s="1819"/>
      <c r="JH8" s="1817"/>
      <c r="JI8" s="1818"/>
      <c r="JJ8" s="1818"/>
      <c r="JK8" s="1818"/>
      <c r="JL8" s="1818"/>
      <c r="JM8" s="1818"/>
      <c r="JN8" s="1818"/>
      <c r="JO8" s="1818"/>
      <c r="JP8" s="1818"/>
      <c r="JQ8" s="1818"/>
      <c r="JR8" s="1818"/>
      <c r="JS8" s="1818"/>
      <c r="JT8" s="1818"/>
      <c r="JU8" s="1818"/>
      <c r="JV8" s="1818"/>
      <c r="JW8" s="1818"/>
      <c r="JX8" s="1818"/>
      <c r="JY8" s="1818"/>
      <c r="JZ8" s="1818"/>
      <c r="KA8" s="1818"/>
      <c r="KB8" s="1818"/>
      <c r="KC8" s="1818"/>
      <c r="KD8" s="1818"/>
      <c r="KE8" s="1818"/>
      <c r="KF8" s="1818"/>
      <c r="KG8" s="1818"/>
      <c r="KH8" s="1818"/>
      <c r="KI8" s="1819"/>
      <c r="KJ8" s="1817"/>
      <c r="KK8" s="1818"/>
      <c r="KL8" s="1818"/>
      <c r="KM8" s="1818"/>
      <c r="KN8" s="1818"/>
      <c r="KO8" s="1818"/>
      <c r="KP8" s="1818"/>
      <c r="KQ8" s="1818"/>
      <c r="KR8" s="1818"/>
      <c r="KS8" s="1818"/>
      <c r="KT8" s="1818"/>
      <c r="KU8" s="1818"/>
      <c r="KV8" s="1818"/>
      <c r="KW8" s="1818"/>
      <c r="KX8" s="1818"/>
      <c r="KY8" s="1818"/>
      <c r="KZ8" s="1818"/>
      <c r="LA8" s="1818"/>
      <c r="LB8" s="1818"/>
      <c r="LC8" s="1818"/>
      <c r="LD8" s="1818"/>
      <c r="LE8" s="1818"/>
      <c r="LF8" s="1818"/>
      <c r="LG8" s="1818"/>
      <c r="LH8" s="1818"/>
      <c r="LI8" s="1818"/>
      <c r="LJ8" s="1818"/>
      <c r="LK8" s="1819"/>
      <c r="LL8" s="1817"/>
      <c r="LM8" s="1818"/>
      <c r="LN8" s="1818"/>
      <c r="LO8" s="1818"/>
      <c r="LP8" s="1818"/>
      <c r="LQ8" s="1818"/>
      <c r="LR8" s="1818"/>
      <c r="LS8" s="1818"/>
      <c r="LT8" s="1818"/>
      <c r="LU8" s="1818"/>
      <c r="LV8" s="1818"/>
      <c r="LW8" s="1818"/>
      <c r="LX8" s="1818"/>
      <c r="LY8" s="1818"/>
      <c r="LZ8" s="1818"/>
      <c r="MA8" s="1818"/>
      <c r="MB8" s="1818"/>
      <c r="MC8" s="1818"/>
      <c r="MD8" s="1818"/>
      <c r="ME8" s="1818"/>
      <c r="MF8" s="1818"/>
      <c r="MG8" s="1818"/>
      <c r="MH8" s="1818"/>
      <c r="MI8" s="1818"/>
      <c r="MJ8" s="1818"/>
      <c r="MK8" s="1818"/>
      <c r="ML8" s="1818"/>
      <c r="MM8" s="1819"/>
      <c r="MN8" s="1817"/>
      <c r="MO8" s="1818"/>
      <c r="MP8" s="1818"/>
      <c r="MQ8" s="1818"/>
      <c r="MR8" s="1818"/>
      <c r="MS8" s="1818"/>
      <c r="MT8" s="1818"/>
      <c r="MU8" s="1818"/>
      <c r="MV8" s="1818"/>
      <c r="MW8" s="1818"/>
      <c r="MX8" s="1818"/>
      <c r="MY8" s="1818"/>
      <c r="MZ8" s="1818"/>
      <c r="NA8" s="1818"/>
      <c r="NB8" s="1818"/>
      <c r="NC8" s="1818"/>
      <c r="ND8" s="1818"/>
      <c r="NE8" s="1818"/>
      <c r="NF8" s="1818"/>
      <c r="NG8" s="1818"/>
      <c r="NH8" s="1818"/>
      <c r="NI8" s="1818"/>
      <c r="NJ8" s="1818"/>
      <c r="NK8" s="1818"/>
      <c r="NL8" s="1818"/>
      <c r="NM8" s="1818"/>
      <c r="NN8" s="1818"/>
      <c r="NO8" s="1819"/>
      <c r="NP8" s="1817"/>
      <c r="NQ8" s="1818"/>
      <c r="NR8" s="1818"/>
      <c r="NS8" s="1818"/>
      <c r="NT8" s="1818"/>
      <c r="NU8" s="1818"/>
      <c r="NV8" s="1818"/>
      <c r="NW8" s="1818"/>
      <c r="NX8" s="1818"/>
      <c r="NY8" s="1818"/>
      <c r="NZ8" s="1818"/>
      <c r="OA8" s="1818"/>
      <c r="OB8" s="1818"/>
      <c r="OC8" s="1818"/>
      <c r="OD8" s="1818"/>
      <c r="OE8" s="1818"/>
      <c r="OF8" s="1818"/>
      <c r="OG8" s="1818"/>
      <c r="OH8" s="1818"/>
      <c r="OI8" s="1818"/>
      <c r="OJ8" s="1818"/>
      <c r="OK8" s="1818"/>
      <c r="OL8" s="1818"/>
      <c r="OM8" s="1818"/>
      <c r="ON8" s="1818"/>
      <c r="OO8" s="1818"/>
      <c r="OP8" s="1818"/>
      <c r="OQ8" s="1819"/>
    </row>
    <row r="9" spans="1:423" s="15" customFormat="1" ht="9" customHeight="1">
      <c r="A9" s="431"/>
      <c r="B9" s="460"/>
      <c r="C9" s="461"/>
      <c r="D9" s="460"/>
      <c r="E9" s="460"/>
      <c r="F9" s="460"/>
      <c r="G9" s="460"/>
      <c r="H9" s="460"/>
      <c r="I9" s="460"/>
      <c r="J9" s="462"/>
      <c r="K9" s="463"/>
      <c r="L9" s="463"/>
      <c r="M9" s="463"/>
      <c r="N9" s="463"/>
      <c r="O9" s="463"/>
      <c r="P9" s="462"/>
      <c r="Q9" s="462"/>
      <c r="R9" s="462"/>
      <c r="S9" s="462"/>
      <c r="T9" s="462"/>
      <c r="U9" s="462"/>
      <c r="V9" s="462"/>
      <c r="W9" s="462"/>
      <c r="X9" s="462"/>
      <c r="Y9" s="462"/>
      <c r="Z9" s="462"/>
      <c r="AA9" s="462"/>
      <c r="AB9" s="462"/>
      <c r="AC9" s="462"/>
      <c r="AD9" s="462"/>
      <c r="AE9" s="462"/>
      <c r="AF9" s="462"/>
      <c r="AG9" s="462"/>
      <c r="AH9" s="462"/>
      <c r="AI9" s="462"/>
      <c r="AJ9" s="462"/>
      <c r="AK9" s="462"/>
      <c r="AL9" s="462"/>
      <c r="AM9" s="462"/>
      <c r="AN9" s="462"/>
      <c r="AO9" s="462"/>
      <c r="AP9" s="462"/>
      <c r="AQ9" s="462"/>
      <c r="AR9" s="462"/>
      <c r="AS9" s="462"/>
      <c r="AT9" s="462"/>
      <c r="AU9" s="462"/>
      <c r="AV9" s="462"/>
      <c r="AW9" s="462"/>
      <c r="AX9" s="462"/>
      <c r="AY9" s="462"/>
      <c r="AZ9" s="462"/>
      <c r="BA9" s="462"/>
      <c r="BB9" s="462"/>
      <c r="BC9" s="462"/>
      <c r="BD9" s="462"/>
      <c r="BE9" s="462"/>
      <c r="BF9" s="462"/>
      <c r="BG9" s="462"/>
      <c r="BH9" s="462"/>
      <c r="BI9" s="462"/>
      <c r="BJ9" s="462"/>
      <c r="BK9" s="462"/>
      <c r="BL9" s="462"/>
      <c r="BM9" s="462"/>
      <c r="BN9" s="462"/>
      <c r="BO9" s="462"/>
      <c r="BP9" s="462"/>
      <c r="BQ9" s="462"/>
      <c r="BR9" s="462"/>
      <c r="BS9" s="462"/>
      <c r="BT9" s="462"/>
      <c r="BU9" s="462"/>
      <c r="BV9" s="462"/>
      <c r="BW9" s="462"/>
      <c r="BX9" s="462"/>
      <c r="BY9" s="462"/>
      <c r="BZ9" s="462"/>
      <c r="CA9" s="462"/>
      <c r="CB9" s="462"/>
      <c r="CC9" s="462"/>
      <c r="CD9" s="462"/>
      <c r="CE9" s="462"/>
      <c r="CF9" s="462"/>
      <c r="CG9" s="462"/>
      <c r="CH9" s="462"/>
      <c r="CI9" s="462"/>
      <c r="CJ9" s="462"/>
      <c r="CK9" s="462"/>
      <c r="CL9" s="462"/>
      <c r="CM9" s="462"/>
      <c r="CN9" s="462"/>
      <c r="CO9" s="462"/>
      <c r="CP9" s="462"/>
      <c r="CQ9" s="462"/>
      <c r="CR9" s="462"/>
      <c r="CS9" s="462"/>
      <c r="CT9" s="462"/>
      <c r="CU9" s="462"/>
      <c r="CV9" s="462"/>
      <c r="CW9" s="462"/>
      <c r="CX9" s="462"/>
      <c r="CY9" s="462"/>
      <c r="CZ9" s="462"/>
      <c r="DA9" s="462"/>
    </row>
    <row r="10" spans="1:423" s="15" customFormat="1" ht="9" customHeight="1" thickBot="1">
      <c r="A10" s="431"/>
      <c r="B10" s="460"/>
      <c r="C10" s="461"/>
      <c r="D10" s="460"/>
      <c r="E10" s="460"/>
      <c r="F10" s="460"/>
      <c r="G10" s="460"/>
      <c r="H10" s="460"/>
      <c r="I10" s="460"/>
      <c r="J10" s="462"/>
      <c r="K10" s="463"/>
      <c r="L10" s="463"/>
      <c r="M10" s="463"/>
      <c r="N10" s="463"/>
      <c r="O10" s="463"/>
      <c r="P10" s="462"/>
      <c r="Q10" s="462"/>
      <c r="R10" s="462"/>
      <c r="S10" s="462"/>
      <c r="T10" s="462"/>
      <c r="U10" s="462"/>
      <c r="V10" s="462"/>
      <c r="W10" s="462"/>
      <c r="X10" s="462"/>
      <c r="Y10" s="462"/>
      <c r="Z10" s="462"/>
      <c r="AA10" s="462"/>
      <c r="AB10" s="462"/>
      <c r="AC10" s="462"/>
      <c r="AD10" s="462"/>
      <c r="AE10" s="462"/>
      <c r="AF10" s="462"/>
      <c r="AG10" s="462"/>
      <c r="AH10" s="462"/>
      <c r="AI10" s="462"/>
      <c r="AJ10" s="462"/>
      <c r="AK10" s="462"/>
      <c r="AL10" s="462"/>
      <c r="AM10" s="462"/>
      <c r="AN10" s="462"/>
      <c r="AO10" s="462"/>
      <c r="AP10" s="462"/>
      <c r="AQ10" s="462"/>
      <c r="AR10" s="462"/>
      <c r="AS10" s="462"/>
      <c r="AT10" s="462"/>
      <c r="AU10" s="462"/>
      <c r="AV10" s="462"/>
      <c r="AW10" s="462"/>
      <c r="AX10" s="462"/>
      <c r="AY10" s="462"/>
      <c r="AZ10" s="462"/>
      <c r="BA10" s="462"/>
      <c r="BB10" s="462"/>
      <c r="BC10" s="462"/>
      <c r="BD10" s="462"/>
      <c r="BE10" s="462"/>
      <c r="BF10" s="462"/>
      <c r="BG10" s="462"/>
      <c r="BH10" s="462"/>
      <c r="BI10" s="462"/>
      <c r="BJ10" s="462"/>
      <c r="BK10" s="462"/>
      <c r="BL10" s="462"/>
      <c r="BM10" s="462"/>
      <c r="BN10" s="462"/>
      <c r="BO10" s="462"/>
      <c r="BP10" s="462"/>
      <c r="BQ10" s="462"/>
      <c r="BR10" s="462"/>
      <c r="BS10" s="462"/>
      <c r="BT10" s="462"/>
      <c r="BU10" s="462"/>
      <c r="BV10" s="462"/>
      <c r="BW10" s="462"/>
      <c r="BX10" s="462"/>
      <c r="BY10" s="462"/>
      <c r="BZ10" s="462"/>
      <c r="CA10" s="462"/>
      <c r="CB10" s="462"/>
      <c r="CC10" s="462"/>
      <c r="CD10" s="462"/>
      <c r="CE10" s="462"/>
      <c r="CF10" s="462"/>
      <c r="CG10" s="462"/>
      <c r="CH10" s="462"/>
      <c r="CI10" s="462"/>
      <c r="CJ10" s="462"/>
      <c r="CK10" s="462"/>
      <c r="CL10" s="462"/>
      <c r="CM10" s="462"/>
      <c r="CN10" s="462"/>
      <c r="CO10" s="462"/>
      <c r="CP10" s="462"/>
      <c r="CQ10" s="462"/>
      <c r="CR10" s="462"/>
      <c r="CS10" s="462"/>
      <c r="CT10" s="462"/>
      <c r="CU10" s="462"/>
      <c r="CV10" s="462"/>
      <c r="CW10" s="462"/>
      <c r="CX10" s="462"/>
      <c r="CY10" s="462"/>
      <c r="CZ10" s="462"/>
      <c r="DA10" s="462"/>
    </row>
    <row r="11" spans="1:423" s="468" customFormat="1" ht="15.75" customHeight="1" thickBot="1">
      <c r="A11" s="464" t="s">
        <v>439</v>
      </c>
      <c r="B11" s="1826" t="s">
        <v>423</v>
      </c>
      <c r="C11" s="1828" t="s">
        <v>424</v>
      </c>
      <c r="D11" s="1830" t="s">
        <v>440</v>
      </c>
      <c r="E11" s="1832" t="s">
        <v>441</v>
      </c>
      <c r="F11" s="1834" t="s">
        <v>23</v>
      </c>
      <c r="G11" s="1808" t="s">
        <v>426</v>
      </c>
      <c r="H11" s="1809"/>
      <c r="I11" s="1812" t="s">
        <v>158</v>
      </c>
      <c r="J11" s="465"/>
      <c r="K11" s="466"/>
      <c r="L11" s="467"/>
      <c r="M11" s="467"/>
      <c r="N11" s="467"/>
      <c r="O11" s="467"/>
      <c r="P11" s="1802" t="s">
        <v>366</v>
      </c>
      <c r="Q11" s="1803"/>
      <c r="R11" s="1803"/>
      <c r="S11" s="1803"/>
      <c r="T11" s="1803"/>
      <c r="U11" s="1803"/>
      <c r="V11" s="1804"/>
      <c r="W11" s="1802" t="s">
        <v>367</v>
      </c>
      <c r="X11" s="1803"/>
      <c r="Y11" s="1803"/>
      <c r="Z11" s="1803"/>
      <c r="AA11" s="1803"/>
      <c r="AB11" s="1803"/>
      <c r="AC11" s="1804"/>
      <c r="AD11" s="1802" t="s">
        <v>368</v>
      </c>
      <c r="AE11" s="1803"/>
      <c r="AF11" s="1803"/>
      <c r="AG11" s="1803"/>
      <c r="AH11" s="1803"/>
      <c r="AI11" s="1803"/>
      <c r="AJ11" s="1804"/>
      <c r="AK11" s="1802" t="s">
        <v>369</v>
      </c>
      <c r="AL11" s="1803"/>
      <c r="AM11" s="1803"/>
      <c r="AN11" s="1803"/>
      <c r="AO11" s="1803"/>
      <c r="AP11" s="1803"/>
      <c r="AQ11" s="1804"/>
      <c r="AR11" s="1802" t="s">
        <v>370</v>
      </c>
      <c r="AS11" s="1803"/>
      <c r="AT11" s="1803"/>
      <c r="AU11" s="1803"/>
      <c r="AV11" s="1803"/>
      <c r="AW11" s="1803"/>
      <c r="AX11" s="1804"/>
      <c r="AY11" s="1802" t="s">
        <v>371</v>
      </c>
      <c r="AZ11" s="1803"/>
      <c r="BA11" s="1803"/>
      <c r="BB11" s="1803"/>
      <c r="BC11" s="1803"/>
      <c r="BD11" s="1803"/>
      <c r="BE11" s="1804"/>
      <c r="BF11" s="1802" t="s">
        <v>372</v>
      </c>
      <c r="BG11" s="1803"/>
      <c r="BH11" s="1803"/>
      <c r="BI11" s="1803"/>
      <c r="BJ11" s="1803"/>
      <c r="BK11" s="1803"/>
      <c r="BL11" s="1804"/>
      <c r="BM11" s="1802" t="s">
        <v>373</v>
      </c>
      <c r="BN11" s="1803"/>
      <c r="BO11" s="1803"/>
      <c r="BP11" s="1803"/>
      <c r="BQ11" s="1803"/>
      <c r="BR11" s="1803"/>
      <c r="BS11" s="1804"/>
      <c r="BT11" s="1802" t="s">
        <v>374</v>
      </c>
      <c r="BU11" s="1803"/>
      <c r="BV11" s="1803"/>
      <c r="BW11" s="1803"/>
      <c r="BX11" s="1803"/>
      <c r="BY11" s="1803"/>
      <c r="BZ11" s="1804"/>
      <c r="CA11" s="1802" t="s">
        <v>375</v>
      </c>
      <c r="CB11" s="1803"/>
      <c r="CC11" s="1803"/>
      <c r="CD11" s="1803"/>
      <c r="CE11" s="1803"/>
      <c r="CF11" s="1803"/>
      <c r="CG11" s="1804"/>
      <c r="CH11" s="1802" t="s">
        <v>376</v>
      </c>
      <c r="CI11" s="1803"/>
      <c r="CJ11" s="1803"/>
      <c r="CK11" s="1803"/>
      <c r="CL11" s="1803"/>
      <c r="CM11" s="1803"/>
      <c r="CN11" s="1804"/>
      <c r="CO11" s="1802" t="s">
        <v>377</v>
      </c>
      <c r="CP11" s="1803"/>
      <c r="CQ11" s="1803"/>
      <c r="CR11" s="1803"/>
      <c r="CS11" s="1803"/>
      <c r="CT11" s="1803"/>
      <c r="CU11" s="1804"/>
      <c r="CV11" s="1802" t="s">
        <v>378</v>
      </c>
      <c r="CW11" s="1803"/>
      <c r="CX11" s="1803"/>
      <c r="CY11" s="1803"/>
      <c r="CZ11" s="1803"/>
      <c r="DA11" s="1803"/>
      <c r="DB11" s="1804"/>
      <c r="DC11" s="1802" t="s">
        <v>379</v>
      </c>
      <c r="DD11" s="1803"/>
      <c r="DE11" s="1803"/>
      <c r="DF11" s="1803"/>
      <c r="DG11" s="1803"/>
      <c r="DH11" s="1803"/>
      <c r="DI11" s="1804"/>
      <c r="DJ11" s="1802" t="s">
        <v>380</v>
      </c>
      <c r="DK11" s="1803"/>
      <c r="DL11" s="1803"/>
      <c r="DM11" s="1803"/>
      <c r="DN11" s="1803"/>
      <c r="DO11" s="1803"/>
      <c r="DP11" s="1804"/>
      <c r="DQ11" s="1802" t="s">
        <v>381</v>
      </c>
      <c r="DR11" s="1803"/>
      <c r="DS11" s="1803"/>
      <c r="DT11" s="1803"/>
      <c r="DU11" s="1803"/>
      <c r="DV11" s="1803"/>
      <c r="DW11" s="1804"/>
      <c r="DX11" s="1802" t="s">
        <v>382</v>
      </c>
      <c r="DY11" s="1803"/>
      <c r="DZ11" s="1803"/>
      <c r="EA11" s="1803"/>
      <c r="EB11" s="1803"/>
      <c r="EC11" s="1803"/>
      <c r="ED11" s="1804"/>
      <c r="EE11" s="1802" t="s">
        <v>383</v>
      </c>
      <c r="EF11" s="1803"/>
      <c r="EG11" s="1803"/>
      <c r="EH11" s="1803"/>
      <c r="EI11" s="1803"/>
      <c r="EJ11" s="1803"/>
      <c r="EK11" s="1804"/>
      <c r="EL11" s="1802" t="s">
        <v>384</v>
      </c>
      <c r="EM11" s="1803"/>
      <c r="EN11" s="1803"/>
      <c r="EO11" s="1803"/>
      <c r="EP11" s="1803"/>
      <c r="EQ11" s="1803"/>
      <c r="ER11" s="1804"/>
      <c r="ES11" s="1802" t="s">
        <v>385</v>
      </c>
      <c r="ET11" s="1803"/>
      <c r="EU11" s="1803"/>
      <c r="EV11" s="1803"/>
      <c r="EW11" s="1803"/>
      <c r="EX11" s="1803"/>
      <c r="EY11" s="1804"/>
      <c r="EZ11" s="1802" t="s">
        <v>386</v>
      </c>
      <c r="FA11" s="1803"/>
      <c r="FB11" s="1803"/>
      <c r="FC11" s="1803"/>
      <c r="FD11" s="1803"/>
      <c r="FE11" s="1803"/>
      <c r="FF11" s="1804"/>
      <c r="FG11" s="1802" t="s">
        <v>387</v>
      </c>
      <c r="FH11" s="1803"/>
      <c r="FI11" s="1803"/>
      <c r="FJ11" s="1803"/>
      <c r="FK11" s="1803"/>
      <c r="FL11" s="1803"/>
      <c r="FM11" s="1804"/>
      <c r="FN11" s="1802" t="s">
        <v>388</v>
      </c>
      <c r="FO11" s="1803"/>
      <c r="FP11" s="1803"/>
      <c r="FQ11" s="1803"/>
      <c r="FR11" s="1803"/>
      <c r="FS11" s="1803"/>
      <c r="FT11" s="1804"/>
      <c r="FU11" s="1802" t="s">
        <v>389</v>
      </c>
      <c r="FV11" s="1803"/>
      <c r="FW11" s="1803"/>
      <c r="FX11" s="1803"/>
      <c r="FY11" s="1803"/>
      <c r="FZ11" s="1803"/>
      <c r="GA11" s="1804"/>
      <c r="GB11" s="1802" t="s">
        <v>390</v>
      </c>
      <c r="GC11" s="1803"/>
      <c r="GD11" s="1803"/>
      <c r="GE11" s="1803"/>
      <c r="GF11" s="1803"/>
      <c r="GG11" s="1803"/>
      <c r="GH11" s="1804"/>
      <c r="GI11" s="1802" t="s">
        <v>391</v>
      </c>
      <c r="GJ11" s="1803"/>
      <c r="GK11" s="1803"/>
      <c r="GL11" s="1803"/>
      <c r="GM11" s="1803"/>
      <c r="GN11" s="1803"/>
      <c r="GO11" s="1804"/>
      <c r="GP11" s="1802" t="s">
        <v>392</v>
      </c>
      <c r="GQ11" s="1803"/>
      <c r="GR11" s="1803"/>
      <c r="GS11" s="1803"/>
      <c r="GT11" s="1803"/>
      <c r="GU11" s="1803"/>
      <c r="GV11" s="1804"/>
      <c r="GW11" s="1802" t="s">
        <v>393</v>
      </c>
      <c r="GX11" s="1803"/>
      <c r="GY11" s="1803"/>
      <c r="GZ11" s="1803"/>
      <c r="HA11" s="1803"/>
      <c r="HB11" s="1803"/>
      <c r="HC11" s="1804"/>
      <c r="HD11" s="1802" t="s">
        <v>394</v>
      </c>
      <c r="HE11" s="1803"/>
      <c r="HF11" s="1803"/>
      <c r="HG11" s="1803"/>
      <c r="HH11" s="1803"/>
      <c r="HI11" s="1803"/>
      <c r="HJ11" s="1804"/>
      <c r="HK11" s="1802" t="s">
        <v>395</v>
      </c>
      <c r="HL11" s="1803"/>
      <c r="HM11" s="1803"/>
      <c r="HN11" s="1803"/>
      <c r="HO11" s="1803"/>
      <c r="HP11" s="1803"/>
      <c r="HQ11" s="1804"/>
      <c r="HR11" s="1802" t="s">
        <v>396</v>
      </c>
      <c r="HS11" s="1803"/>
      <c r="HT11" s="1803"/>
      <c r="HU11" s="1803"/>
      <c r="HV11" s="1803"/>
      <c r="HW11" s="1803"/>
      <c r="HX11" s="1804"/>
      <c r="HY11" s="1802" t="s">
        <v>397</v>
      </c>
      <c r="HZ11" s="1803"/>
      <c r="IA11" s="1803"/>
      <c r="IB11" s="1803"/>
      <c r="IC11" s="1803"/>
      <c r="ID11" s="1803"/>
      <c r="IE11" s="1804"/>
      <c r="IF11" s="1802" t="s">
        <v>398</v>
      </c>
      <c r="IG11" s="1803"/>
      <c r="IH11" s="1803"/>
      <c r="II11" s="1803"/>
      <c r="IJ11" s="1803"/>
      <c r="IK11" s="1803"/>
      <c r="IL11" s="1804"/>
      <c r="IM11" s="1802" t="s">
        <v>399</v>
      </c>
      <c r="IN11" s="1803"/>
      <c r="IO11" s="1803"/>
      <c r="IP11" s="1803"/>
      <c r="IQ11" s="1803"/>
      <c r="IR11" s="1803"/>
      <c r="IS11" s="1804"/>
      <c r="IT11" s="1802" t="s">
        <v>400</v>
      </c>
      <c r="IU11" s="1803"/>
      <c r="IV11" s="1803"/>
      <c r="IW11" s="1803"/>
      <c r="IX11" s="1803"/>
      <c r="IY11" s="1803"/>
      <c r="IZ11" s="1804"/>
      <c r="JA11" s="1802" t="s">
        <v>401</v>
      </c>
      <c r="JB11" s="1803"/>
      <c r="JC11" s="1803"/>
      <c r="JD11" s="1803"/>
      <c r="JE11" s="1803"/>
      <c r="JF11" s="1803"/>
      <c r="JG11" s="1804"/>
      <c r="JH11" s="1802" t="s">
        <v>402</v>
      </c>
      <c r="JI11" s="1803"/>
      <c r="JJ11" s="1803"/>
      <c r="JK11" s="1803"/>
      <c r="JL11" s="1803"/>
      <c r="JM11" s="1803"/>
      <c r="JN11" s="1804"/>
      <c r="JO11" s="1802" t="s">
        <v>403</v>
      </c>
      <c r="JP11" s="1803"/>
      <c r="JQ11" s="1803"/>
      <c r="JR11" s="1803"/>
      <c r="JS11" s="1803"/>
      <c r="JT11" s="1803"/>
      <c r="JU11" s="1804"/>
      <c r="JV11" s="1802" t="s">
        <v>404</v>
      </c>
      <c r="JW11" s="1803"/>
      <c r="JX11" s="1803"/>
      <c r="JY11" s="1803"/>
      <c r="JZ11" s="1803"/>
      <c r="KA11" s="1803"/>
      <c r="KB11" s="1804"/>
      <c r="KC11" s="1802" t="s">
        <v>405</v>
      </c>
      <c r="KD11" s="1803"/>
      <c r="KE11" s="1803"/>
      <c r="KF11" s="1803"/>
      <c r="KG11" s="1803"/>
      <c r="KH11" s="1803"/>
      <c r="KI11" s="1804"/>
      <c r="KJ11" s="1802" t="s">
        <v>406</v>
      </c>
      <c r="KK11" s="1803"/>
      <c r="KL11" s="1803"/>
      <c r="KM11" s="1803"/>
      <c r="KN11" s="1803"/>
      <c r="KO11" s="1803"/>
      <c r="KP11" s="1804"/>
      <c r="KQ11" s="1802" t="s">
        <v>407</v>
      </c>
      <c r="KR11" s="1803"/>
      <c r="KS11" s="1803"/>
      <c r="KT11" s="1803"/>
      <c r="KU11" s="1803"/>
      <c r="KV11" s="1803"/>
      <c r="KW11" s="1804"/>
      <c r="KX11" s="1802" t="s">
        <v>408</v>
      </c>
      <c r="KY11" s="1803"/>
      <c r="KZ11" s="1803"/>
      <c r="LA11" s="1803"/>
      <c r="LB11" s="1803"/>
      <c r="LC11" s="1803"/>
      <c r="LD11" s="1804"/>
      <c r="LE11" s="1802" t="s">
        <v>409</v>
      </c>
      <c r="LF11" s="1803"/>
      <c r="LG11" s="1803"/>
      <c r="LH11" s="1803"/>
      <c r="LI11" s="1803"/>
      <c r="LJ11" s="1803"/>
      <c r="LK11" s="1804"/>
      <c r="LL11" s="1802" t="s">
        <v>410</v>
      </c>
      <c r="LM11" s="1803"/>
      <c r="LN11" s="1803"/>
      <c r="LO11" s="1803"/>
      <c r="LP11" s="1803"/>
      <c r="LQ11" s="1803"/>
      <c r="LR11" s="1804"/>
      <c r="LS11" s="1802" t="s">
        <v>411</v>
      </c>
      <c r="LT11" s="1803"/>
      <c r="LU11" s="1803"/>
      <c r="LV11" s="1803"/>
      <c r="LW11" s="1803"/>
      <c r="LX11" s="1803"/>
      <c r="LY11" s="1804"/>
      <c r="LZ11" s="1802" t="s">
        <v>412</v>
      </c>
      <c r="MA11" s="1803"/>
      <c r="MB11" s="1803"/>
      <c r="MC11" s="1803"/>
      <c r="MD11" s="1803"/>
      <c r="ME11" s="1803"/>
      <c r="MF11" s="1804"/>
      <c r="MG11" s="1802" t="s">
        <v>413</v>
      </c>
      <c r="MH11" s="1803"/>
      <c r="MI11" s="1803"/>
      <c r="MJ11" s="1803"/>
      <c r="MK11" s="1803"/>
      <c r="ML11" s="1803"/>
      <c r="MM11" s="1804"/>
      <c r="MN11" s="1802" t="s">
        <v>414</v>
      </c>
      <c r="MO11" s="1803"/>
      <c r="MP11" s="1803"/>
      <c r="MQ11" s="1803"/>
      <c r="MR11" s="1803"/>
      <c r="MS11" s="1803"/>
      <c r="MT11" s="1804"/>
      <c r="MU11" s="1802" t="s">
        <v>415</v>
      </c>
      <c r="MV11" s="1803"/>
      <c r="MW11" s="1803"/>
      <c r="MX11" s="1803"/>
      <c r="MY11" s="1803"/>
      <c r="MZ11" s="1803"/>
      <c r="NA11" s="1804"/>
      <c r="NB11" s="1802" t="s">
        <v>416</v>
      </c>
      <c r="NC11" s="1803"/>
      <c r="ND11" s="1803"/>
      <c r="NE11" s="1803"/>
      <c r="NF11" s="1803"/>
      <c r="NG11" s="1803"/>
      <c r="NH11" s="1804"/>
      <c r="NI11" s="1802" t="s">
        <v>417</v>
      </c>
      <c r="NJ11" s="1803"/>
      <c r="NK11" s="1803"/>
      <c r="NL11" s="1803"/>
      <c r="NM11" s="1803"/>
      <c r="NN11" s="1803"/>
      <c r="NO11" s="1804"/>
      <c r="NP11" s="1802" t="s">
        <v>418</v>
      </c>
      <c r="NQ11" s="1803"/>
      <c r="NR11" s="1803"/>
      <c r="NS11" s="1803"/>
      <c r="NT11" s="1803"/>
      <c r="NU11" s="1803"/>
      <c r="NV11" s="1804"/>
      <c r="NW11" s="1802" t="s">
        <v>419</v>
      </c>
      <c r="NX11" s="1803"/>
      <c r="NY11" s="1803"/>
      <c r="NZ11" s="1803"/>
      <c r="OA11" s="1803"/>
      <c r="OB11" s="1803"/>
      <c r="OC11" s="1804"/>
      <c r="OD11" s="1802" t="s">
        <v>420</v>
      </c>
      <c r="OE11" s="1803"/>
      <c r="OF11" s="1803"/>
      <c r="OG11" s="1803"/>
      <c r="OH11" s="1803"/>
      <c r="OI11" s="1803"/>
      <c r="OJ11" s="1804"/>
      <c r="OK11" s="1802" t="s">
        <v>421</v>
      </c>
      <c r="OL11" s="1803"/>
      <c r="OM11" s="1803"/>
      <c r="ON11" s="1803"/>
      <c r="OO11" s="1803"/>
      <c r="OP11" s="1803"/>
      <c r="OQ11" s="1804"/>
    </row>
    <row r="12" spans="1:423" s="15" customFormat="1" ht="15.75" customHeight="1" thickBot="1">
      <c r="A12" s="431" t="s">
        <v>442</v>
      </c>
      <c r="B12" s="1827"/>
      <c r="C12" s="1829"/>
      <c r="D12" s="1831"/>
      <c r="E12" s="1833"/>
      <c r="F12" s="1835"/>
      <c r="G12" s="1810"/>
      <c r="H12" s="1811"/>
      <c r="I12" s="1813"/>
      <c r="J12" s="469"/>
      <c r="K12" s="470"/>
      <c r="L12" s="463"/>
      <c r="M12" s="463"/>
      <c r="N12" s="463"/>
      <c r="O12" s="463"/>
      <c r="P12" s="1805">
        <v>41569</v>
      </c>
      <c r="Q12" s="1806"/>
      <c r="R12" s="1806"/>
      <c r="S12" s="1806"/>
      <c r="T12" s="1806"/>
      <c r="U12" s="1806"/>
      <c r="V12" s="1807"/>
      <c r="W12" s="1799">
        <v>41576</v>
      </c>
      <c r="X12" s="1800"/>
      <c r="Y12" s="1800"/>
      <c r="Z12" s="1800"/>
      <c r="AA12" s="1800"/>
      <c r="AB12" s="1800"/>
      <c r="AC12" s="1801"/>
      <c r="AD12" s="1799">
        <v>41583</v>
      </c>
      <c r="AE12" s="1800"/>
      <c r="AF12" s="1800"/>
      <c r="AG12" s="1800"/>
      <c r="AH12" s="1800"/>
      <c r="AI12" s="1800"/>
      <c r="AJ12" s="1801"/>
      <c r="AK12" s="1799">
        <v>41590</v>
      </c>
      <c r="AL12" s="1800"/>
      <c r="AM12" s="1800"/>
      <c r="AN12" s="1800"/>
      <c r="AO12" s="1800"/>
      <c r="AP12" s="1800"/>
      <c r="AQ12" s="1801"/>
      <c r="AR12" s="1799">
        <v>41597</v>
      </c>
      <c r="AS12" s="1800"/>
      <c r="AT12" s="1800"/>
      <c r="AU12" s="1800"/>
      <c r="AV12" s="1800"/>
      <c r="AW12" s="1800"/>
      <c r="AX12" s="1801"/>
      <c r="AY12" s="1799">
        <v>41604</v>
      </c>
      <c r="AZ12" s="1800"/>
      <c r="BA12" s="1800"/>
      <c r="BB12" s="1800"/>
      <c r="BC12" s="1800"/>
      <c r="BD12" s="1800"/>
      <c r="BE12" s="1801"/>
      <c r="BF12" s="1799">
        <v>41611</v>
      </c>
      <c r="BG12" s="1800"/>
      <c r="BH12" s="1800"/>
      <c r="BI12" s="1800"/>
      <c r="BJ12" s="1800"/>
      <c r="BK12" s="1800"/>
      <c r="BL12" s="1801"/>
      <c r="BM12" s="1799">
        <v>41618</v>
      </c>
      <c r="BN12" s="1800"/>
      <c r="BO12" s="1800"/>
      <c r="BP12" s="1800"/>
      <c r="BQ12" s="1800"/>
      <c r="BR12" s="1800"/>
      <c r="BS12" s="1801"/>
      <c r="BT12" s="1799">
        <v>41625</v>
      </c>
      <c r="BU12" s="1800"/>
      <c r="BV12" s="1800"/>
      <c r="BW12" s="1800"/>
      <c r="BX12" s="1800"/>
      <c r="BY12" s="1800"/>
      <c r="BZ12" s="1801"/>
      <c r="CA12" s="1799">
        <v>41632</v>
      </c>
      <c r="CB12" s="1800"/>
      <c r="CC12" s="1800"/>
      <c r="CD12" s="1800"/>
      <c r="CE12" s="1800"/>
      <c r="CF12" s="1800"/>
      <c r="CG12" s="1801"/>
      <c r="CH12" s="1799">
        <v>41639</v>
      </c>
      <c r="CI12" s="1800"/>
      <c r="CJ12" s="1800"/>
      <c r="CK12" s="1800"/>
      <c r="CL12" s="1800"/>
      <c r="CM12" s="1800"/>
      <c r="CN12" s="1801"/>
      <c r="CO12" s="1799">
        <v>41646</v>
      </c>
      <c r="CP12" s="1800"/>
      <c r="CQ12" s="1800"/>
      <c r="CR12" s="1800"/>
      <c r="CS12" s="1800"/>
      <c r="CT12" s="1800"/>
      <c r="CU12" s="1801"/>
      <c r="CV12" s="1799">
        <v>41653</v>
      </c>
      <c r="CW12" s="1800"/>
      <c r="CX12" s="1800"/>
      <c r="CY12" s="1800"/>
      <c r="CZ12" s="1800"/>
      <c r="DA12" s="1800"/>
      <c r="DB12" s="1801"/>
      <c r="DC12" s="1799">
        <v>41660</v>
      </c>
      <c r="DD12" s="1800"/>
      <c r="DE12" s="1800"/>
      <c r="DF12" s="1800"/>
      <c r="DG12" s="1800"/>
      <c r="DH12" s="1800"/>
      <c r="DI12" s="1801"/>
      <c r="DJ12" s="1799">
        <v>41667</v>
      </c>
      <c r="DK12" s="1800"/>
      <c r="DL12" s="1800"/>
      <c r="DM12" s="1800"/>
      <c r="DN12" s="1800"/>
      <c r="DO12" s="1800"/>
      <c r="DP12" s="1801"/>
      <c r="DQ12" s="1799">
        <v>41674</v>
      </c>
      <c r="DR12" s="1800"/>
      <c r="DS12" s="1800"/>
      <c r="DT12" s="1800"/>
      <c r="DU12" s="1800"/>
      <c r="DV12" s="1800"/>
      <c r="DW12" s="1801"/>
      <c r="DX12" s="1799">
        <v>41681</v>
      </c>
      <c r="DY12" s="1800"/>
      <c r="DZ12" s="1800"/>
      <c r="EA12" s="1800"/>
      <c r="EB12" s="1800"/>
      <c r="EC12" s="1800"/>
      <c r="ED12" s="1801"/>
      <c r="EE12" s="1799">
        <v>41688</v>
      </c>
      <c r="EF12" s="1800"/>
      <c r="EG12" s="1800"/>
      <c r="EH12" s="1800"/>
      <c r="EI12" s="1800"/>
      <c r="EJ12" s="1800"/>
      <c r="EK12" s="1801"/>
      <c r="EL12" s="1799">
        <v>41695</v>
      </c>
      <c r="EM12" s="1800"/>
      <c r="EN12" s="1800"/>
      <c r="EO12" s="1800"/>
      <c r="EP12" s="1800"/>
      <c r="EQ12" s="1800"/>
      <c r="ER12" s="1801"/>
      <c r="ES12" s="1799">
        <v>41702</v>
      </c>
      <c r="ET12" s="1800"/>
      <c r="EU12" s="1800"/>
      <c r="EV12" s="1800"/>
      <c r="EW12" s="1800"/>
      <c r="EX12" s="1800"/>
      <c r="EY12" s="1801"/>
      <c r="EZ12" s="1799">
        <v>41709</v>
      </c>
      <c r="FA12" s="1800"/>
      <c r="FB12" s="1800"/>
      <c r="FC12" s="1800"/>
      <c r="FD12" s="1800"/>
      <c r="FE12" s="1800"/>
      <c r="FF12" s="1801"/>
      <c r="FG12" s="1799">
        <v>41716</v>
      </c>
      <c r="FH12" s="1800"/>
      <c r="FI12" s="1800"/>
      <c r="FJ12" s="1800"/>
      <c r="FK12" s="1800"/>
      <c r="FL12" s="1800"/>
      <c r="FM12" s="1801"/>
      <c r="FN12" s="1799">
        <v>41723</v>
      </c>
      <c r="FO12" s="1800"/>
      <c r="FP12" s="1800"/>
      <c r="FQ12" s="1800"/>
      <c r="FR12" s="1800"/>
      <c r="FS12" s="1800"/>
      <c r="FT12" s="1801"/>
      <c r="FU12" s="1799">
        <v>41730</v>
      </c>
      <c r="FV12" s="1800"/>
      <c r="FW12" s="1800"/>
      <c r="FX12" s="1800"/>
      <c r="FY12" s="1800"/>
      <c r="FZ12" s="1800"/>
      <c r="GA12" s="1801"/>
      <c r="GB12" s="1799">
        <v>41737</v>
      </c>
      <c r="GC12" s="1800"/>
      <c r="GD12" s="1800"/>
      <c r="GE12" s="1800"/>
      <c r="GF12" s="1800"/>
      <c r="GG12" s="1800"/>
      <c r="GH12" s="1801"/>
      <c r="GI12" s="1799">
        <v>41744</v>
      </c>
      <c r="GJ12" s="1800"/>
      <c r="GK12" s="1800"/>
      <c r="GL12" s="1800"/>
      <c r="GM12" s="1800"/>
      <c r="GN12" s="1800"/>
      <c r="GO12" s="1801"/>
      <c r="GP12" s="1799">
        <v>41751</v>
      </c>
      <c r="GQ12" s="1800"/>
      <c r="GR12" s="1800"/>
      <c r="GS12" s="1800"/>
      <c r="GT12" s="1800"/>
      <c r="GU12" s="1800"/>
      <c r="GV12" s="1801"/>
      <c r="GW12" s="1799">
        <v>41758</v>
      </c>
      <c r="GX12" s="1800"/>
      <c r="GY12" s="1800"/>
      <c r="GZ12" s="1800"/>
      <c r="HA12" s="1800"/>
      <c r="HB12" s="1800"/>
      <c r="HC12" s="1801"/>
      <c r="HD12" s="1799">
        <v>41765</v>
      </c>
      <c r="HE12" s="1800"/>
      <c r="HF12" s="1800"/>
      <c r="HG12" s="1800"/>
      <c r="HH12" s="1800"/>
      <c r="HI12" s="1800"/>
      <c r="HJ12" s="1801"/>
      <c r="HK12" s="1799">
        <v>41772</v>
      </c>
      <c r="HL12" s="1800"/>
      <c r="HM12" s="1800"/>
      <c r="HN12" s="1800"/>
      <c r="HO12" s="1800"/>
      <c r="HP12" s="1800"/>
      <c r="HQ12" s="1801"/>
      <c r="HR12" s="1799">
        <v>41779</v>
      </c>
      <c r="HS12" s="1800"/>
      <c r="HT12" s="1800"/>
      <c r="HU12" s="1800"/>
      <c r="HV12" s="1800"/>
      <c r="HW12" s="1800"/>
      <c r="HX12" s="1801"/>
      <c r="HY12" s="1799">
        <v>41786</v>
      </c>
      <c r="HZ12" s="1800"/>
      <c r="IA12" s="1800"/>
      <c r="IB12" s="1800"/>
      <c r="IC12" s="1800"/>
      <c r="ID12" s="1800"/>
      <c r="IE12" s="1801"/>
      <c r="IF12" s="1799">
        <v>41793</v>
      </c>
      <c r="IG12" s="1800"/>
      <c r="IH12" s="1800"/>
      <c r="II12" s="1800"/>
      <c r="IJ12" s="1800"/>
      <c r="IK12" s="1800"/>
      <c r="IL12" s="1801"/>
      <c r="IM12" s="1799">
        <v>41800</v>
      </c>
      <c r="IN12" s="1800"/>
      <c r="IO12" s="1800"/>
      <c r="IP12" s="1800"/>
      <c r="IQ12" s="1800"/>
      <c r="IR12" s="1800"/>
      <c r="IS12" s="1801"/>
      <c r="IT12" s="1799">
        <v>41807</v>
      </c>
      <c r="IU12" s="1800"/>
      <c r="IV12" s="1800"/>
      <c r="IW12" s="1800"/>
      <c r="IX12" s="1800"/>
      <c r="IY12" s="1800"/>
      <c r="IZ12" s="1801"/>
      <c r="JA12" s="1799">
        <v>41814</v>
      </c>
      <c r="JB12" s="1800"/>
      <c r="JC12" s="1800"/>
      <c r="JD12" s="1800"/>
      <c r="JE12" s="1800"/>
      <c r="JF12" s="1800"/>
      <c r="JG12" s="1801"/>
      <c r="JH12" s="1799">
        <v>41821</v>
      </c>
      <c r="JI12" s="1800"/>
      <c r="JJ12" s="1800"/>
      <c r="JK12" s="1800"/>
      <c r="JL12" s="1800"/>
      <c r="JM12" s="1800"/>
      <c r="JN12" s="1801"/>
      <c r="JO12" s="1799">
        <v>41828</v>
      </c>
      <c r="JP12" s="1800"/>
      <c r="JQ12" s="1800"/>
      <c r="JR12" s="1800"/>
      <c r="JS12" s="1800"/>
      <c r="JT12" s="1800"/>
      <c r="JU12" s="1801"/>
      <c r="JV12" s="1799">
        <v>41835</v>
      </c>
      <c r="JW12" s="1800"/>
      <c r="JX12" s="1800"/>
      <c r="JY12" s="1800"/>
      <c r="JZ12" s="1800"/>
      <c r="KA12" s="1800"/>
      <c r="KB12" s="1801"/>
      <c r="KC12" s="1799">
        <v>41842</v>
      </c>
      <c r="KD12" s="1800"/>
      <c r="KE12" s="1800"/>
      <c r="KF12" s="1800"/>
      <c r="KG12" s="1800"/>
      <c r="KH12" s="1800"/>
      <c r="KI12" s="1801"/>
      <c r="KJ12" s="1799">
        <v>41849</v>
      </c>
      <c r="KK12" s="1800"/>
      <c r="KL12" s="1800"/>
      <c r="KM12" s="1800"/>
      <c r="KN12" s="1800"/>
      <c r="KO12" s="1800"/>
      <c r="KP12" s="1801"/>
      <c r="KQ12" s="1799">
        <v>41856</v>
      </c>
      <c r="KR12" s="1800"/>
      <c r="KS12" s="1800"/>
      <c r="KT12" s="1800"/>
      <c r="KU12" s="1800"/>
      <c r="KV12" s="1800"/>
      <c r="KW12" s="1801"/>
      <c r="KX12" s="1799">
        <v>41863</v>
      </c>
      <c r="KY12" s="1800"/>
      <c r="KZ12" s="1800"/>
      <c r="LA12" s="1800"/>
      <c r="LB12" s="1800"/>
      <c r="LC12" s="1800"/>
      <c r="LD12" s="1801"/>
      <c r="LE12" s="1799">
        <v>41870</v>
      </c>
      <c r="LF12" s="1800"/>
      <c r="LG12" s="1800"/>
      <c r="LH12" s="1800"/>
      <c r="LI12" s="1800"/>
      <c r="LJ12" s="1800"/>
      <c r="LK12" s="1801"/>
      <c r="LL12" s="1799">
        <v>41877</v>
      </c>
      <c r="LM12" s="1800"/>
      <c r="LN12" s="1800"/>
      <c r="LO12" s="1800"/>
      <c r="LP12" s="1800"/>
      <c r="LQ12" s="1800"/>
      <c r="LR12" s="1801"/>
      <c r="LS12" s="1799">
        <v>41884</v>
      </c>
      <c r="LT12" s="1800"/>
      <c r="LU12" s="1800"/>
      <c r="LV12" s="1800"/>
      <c r="LW12" s="1800"/>
      <c r="LX12" s="1800"/>
      <c r="LY12" s="1801"/>
      <c r="LZ12" s="1799">
        <v>41891</v>
      </c>
      <c r="MA12" s="1800"/>
      <c r="MB12" s="1800"/>
      <c r="MC12" s="1800"/>
      <c r="MD12" s="1800"/>
      <c r="ME12" s="1800"/>
      <c r="MF12" s="1801"/>
      <c r="MG12" s="1799">
        <v>41898</v>
      </c>
      <c r="MH12" s="1800"/>
      <c r="MI12" s="1800"/>
      <c r="MJ12" s="1800"/>
      <c r="MK12" s="1800"/>
      <c r="ML12" s="1800"/>
      <c r="MM12" s="1801"/>
      <c r="MN12" s="1799">
        <v>41905</v>
      </c>
      <c r="MO12" s="1800"/>
      <c r="MP12" s="1800"/>
      <c r="MQ12" s="1800"/>
      <c r="MR12" s="1800"/>
      <c r="MS12" s="1800"/>
      <c r="MT12" s="1801"/>
      <c r="MU12" s="1799">
        <v>41912</v>
      </c>
      <c r="MV12" s="1800"/>
      <c r="MW12" s="1800"/>
      <c r="MX12" s="1800"/>
      <c r="MY12" s="1800"/>
      <c r="MZ12" s="1800"/>
      <c r="NA12" s="1801"/>
      <c r="NB12" s="1799">
        <v>41919</v>
      </c>
      <c r="NC12" s="1800"/>
      <c r="ND12" s="1800"/>
      <c r="NE12" s="1800"/>
      <c r="NF12" s="1800"/>
      <c r="NG12" s="1800"/>
      <c r="NH12" s="1801"/>
      <c r="NI12" s="1799">
        <v>41926</v>
      </c>
      <c r="NJ12" s="1800"/>
      <c r="NK12" s="1800"/>
      <c r="NL12" s="1800"/>
      <c r="NM12" s="1800"/>
      <c r="NN12" s="1800"/>
      <c r="NO12" s="1801"/>
      <c r="NP12" s="1799">
        <v>41933</v>
      </c>
      <c r="NQ12" s="1800"/>
      <c r="NR12" s="1800"/>
      <c r="NS12" s="1800"/>
      <c r="NT12" s="1800"/>
      <c r="NU12" s="1800"/>
      <c r="NV12" s="1801"/>
      <c r="NW12" s="1799">
        <v>41940</v>
      </c>
      <c r="NX12" s="1800"/>
      <c r="NY12" s="1800"/>
      <c r="NZ12" s="1800"/>
      <c r="OA12" s="1800"/>
      <c r="OB12" s="1800"/>
      <c r="OC12" s="1801"/>
      <c r="OD12" s="1799">
        <v>41947</v>
      </c>
      <c r="OE12" s="1800"/>
      <c r="OF12" s="1800"/>
      <c r="OG12" s="1800"/>
      <c r="OH12" s="1800"/>
      <c r="OI12" s="1800"/>
      <c r="OJ12" s="1801"/>
      <c r="OK12" s="1799">
        <v>41954</v>
      </c>
      <c r="OL12" s="1800"/>
      <c r="OM12" s="1800"/>
      <c r="ON12" s="1800"/>
      <c r="OO12" s="1800"/>
      <c r="OP12" s="1800"/>
      <c r="OQ12" s="1801"/>
    </row>
    <row r="13" spans="1:423" s="483" customFormat="1" ht="15" hidden="1" customHeight="1">
      <c r="A13" s="471" t="s">
        <v>443</v>
      </c>
      <c r="B13" s="472"/>
      <c r="C13" s="473"/>
      <c r="D13" s="474"/>
      <c r="E13" s="474"/>
      <c r="F13" s="475"/>
      <c r="G13" s="476"/>
      <c r="H13" s="477"/>
      <c r="I13" s="478"/>
      <c r="J13" s="479"/>
      <c r="K13" s="480"/>
      <c r="L13" s="467"/>
      <c r="M13" s="467"/>
      <c r="N13" s="467"/>
      <c r="O13" s="467"/>
      <c r="P13" s="1783">
        <v>1</v>
      </c>
      <c r="Q13" s="1784"/>
      <c r="R13" s="481"/>
      <c r="S13" s="481"/>
      <c r="T13" s="481"/>
      <c r="U13" s="1785">
        <v>7</v>
      </c>
      <c r="V13" s="1786"/>
      <c r="W13" s="1783">
        <v>8</v>
      </c>
      <c r="X13" s="1784"/>
      <c r="Y13" s="481"/>
      <c r="Z13" s="481"/>
      <c r="AA13" s="452"/>
      <c r="AB13" s="1785">
        <v>14</v>
      </c>
      <c r="AC13" s="1786"/>
      <c r="AD13" s="1783">
        <v>15</v>
      </c>
      <c r="AE13" s="1784"/>
      <c r="AF13" s="481"/>
      <c r="AG13" s="481"/>
      <c r="AH13" s="481"/>
      <c r="AI13" s="1785">
        <v>21</v>
      </c>
      <c r="AJ13" s="1786"/>
      <c r="AK13" s="1783">
        <v>22</v>
      </c>
      <c r="AL13" s="1784"/>
      <c r="AM13" s="481"/>
      <c r="AN13" s="481"/>
      <c r="AO13" s="452"/>
      <c r="AP13" s="1785">
        <v>28</v>
      </c>
      <c r="AQ13" s="1786"/>
      <c r="AR13" s="1783">
        <v>29</v>
      </c>
      <c r="AS13" s="1784"/>
      <c r="AT13" s="481"/>
      <c r="AU13" s="481"/>
      <c r="AV13" s="481"/>
      <c r="AW13" s="1785">
        <v>35</v>
      </c>
      <c r="AX13" s="1786"/>
      <c r="AY13" s="1783">
        <v>36</v>
      </c>
      <c r="AZ13" s="1784"/>
      <c r="BA13" s="481"/>
      <c r="BB13" s="481"/>
      <c r="BC13" s="452"/>
      <c r="BD13" s="1785">
        <v>42</v>
      </c>
      <c r="BE13" s="1786"/>
      <c r="BF13" s="1783">
        <v>43</v>
      </c>
      <c r="BG13" s="1784"/>
      <c r="BH13" s="481"/>
      <c r="BI13" s="481"/>
      <c r="BJ13" s="481"/>
      <c r="BK13" s="1785">
        <v>49</v>
      </c>
      <c r="BL13" s="1786"/>
      <c r="BM13" s="1783">
        <v>50</v>
      </c>
      <c r="BN13" s="1784"/>
      <c r="BO13" s="481"/>
      <c r="BP13" s="481"/>
      <c r="BQ13" s="452"/>
      <c r="BR13" s="1785">
        <v>56</v>
      </c>
      <c r="BS13" s="1786"/>
      <c r="BT13" s="1783">
        <v>57</v>
      </c>
      <c r="BU13" s="1784"/>
      <c r="BV13" s="481"/>
      <c r="BW13" s="481"/>
      <c r="BX13" s="481"/>
      <c r="BY13" s="1785">
        <v>63</v>
      </c>
      <c r="BZ13" s="1786"/>
      <c r="CA13" s="1783">
        <v>64</v>
      </c>
      <c r="CB13" s="1784"/>
      <c r="CC13" s="481"/>
      <c r="CD13" s="481"/>
      <c r="CE13" s="452"/>
      <c r="CF13" s="1785">
        <v>70</v>
      </c>
      <c r="CG13" s="1786"/>
      <c r="CH13" s="1783">
        <v>71</v>
      </c>
      <c r="CI13" s="1784"/>
      <c r="CJ13" s="481"/>
      <c r="CK13" s="481"/>
      <c r="CL13" s="481"/>
      <c r="CM13" s="1785">
        <v>77</v>
      </c>
      <c r="CN13" s="1786"/>
      <c r="CO13" s="1783">
        <v>78</v>
      </c>
      <c r="CP13" s="1784"/>
      <c r="CQ13" s="481"/>
      <c r="CR13" s="481"/>
      <c r="CS13" s="452"/>
      <c r="CT13" s="1785">
        <v>84</v>
      </c>
      <c r="CU13" s="1786"/>
      <c r="CV13" s="1783">
        <v>85.035592927505903</v>
      </c>
      <c r="CW13" s="1784"/>
      <c r="CX13" s="481"/>
      <c r="CY13" s="481"/>
      <c r="CZ13" s="481"/>
      <c r="DA13" s="1785">
        <v>91</v>
      </c>
      <c r="DB13" s="1786"/>
      <c r="DC13" s="1783">
        <v>92</v>
      </c>
      <c r="DD13" s="1784"/>
      <c r="DE13" s="481"/>
      <c r="DF13" s="481"/>
      <c r="DG13" s="452"/>
      <c r="DH13" s="1785">
        <v>98</v>
      </c>
      <c r="DI13" s="1786"/>
      <c r="DJ13" s="1783">
        <v>99</v>
      </c>
      <c r="DK13" s="1784"/>
      <c r="DL13" s="481"/>
      <c r="DM13" s="481"/>
      <c r="DN13" s="481"/>
      <c r="DO13" s="1785">
        <v>105</v>
      </c>
      <c r="DP13" s="1786"/>
      <c r="DQ13" s="1783" t="s">
        <v>427</v>
      </c>
      <c r="DR13" s="1784"/>
      <c r="DS13" s="482"/>
      <c r="DT13" s="481"/>
      <c r="DU13" s="452"/>
      <c r="DV13" s="1785">
        <v>112</v>
      </c>
      <c r="DW13" s="1786"/>
      <c r="DX13" s="1783" t="s">
        <v>428</v>
      </c>
      <c r="DY13" s="1784"/>
      <c r="DZ13" s="482"/>
      <c r="EA13" s="481"/>
      <c r="EB13" s="481"/>
      <c r="EC13" s="1785">
        <v>119</v>
      </c>
      <c r="ED13" s="1786"/>
      <c r="EE13" s="1783" t="s">
        <v>429</v>
      </c>
      <c r="EF13" s="1784"/>
      <c r="EG13" s="482"/>
      <c r="EH13" s="481"/>
      <c r="EI13" s="452"/>
      <c r="EJ13" s="1785">
        <v>126</v>
      </c>
      <c r="EK13" s="1786"/>
      <c r="EL13" s="1783" t="s">
        <v>430</v>
      </c>
      <c r="EM13" s="1784"/>
      <c r="EN13" s="482"/>
      <c r="EO13" s="481"/>
      <c r="EP13" s="452"/>
      <c r="EQ13" s="1785">
        <v>133</v>
      </c>
      <c r="ER13" s="1786"/>
      <c r="ES13" s="1783" t="s">
        <v>431</v>
      </c>
      <c r="ET13" s="1784"/>
      <c r="EU13" s="482"/>
      <c r="EV13" s="481"/>
      <c r="EW13" s="452"/>
      <c r="EX13" s="1785">
        <v>140</v>
      </c>
      <c r="EY13" s="1786"/>
      <c r="EZ13" s="1783">
        <v>141</v>
      </c>
      <c r="FA13" s="1784"/>
      <c r="FB13" s="482"/>
      <c r="FC13" s="481"/>
      <c r="FD13" s="481"/>
      <c r="FE13" s="1785">
        <v>147</v>
      </c>
      <c r="FF13" s="1786"/>
      <c r="FG13" s="1783">
        <v>148</v>
      </c>
      <c r="FH13" s="1784"/>
      <c r="FI13" s="482"/>
      <c r="FJ13" s="481"/>
      <c r="FK13" s="452"/>
      <c r="FL13" s="1785">
        <v>154</v>
      </c>
      <c r="FM13" s="1786"/>
      <c r="FN13" s="1783">
        <v>155</v>
      </c>
      <c r="FO13" s="1784"/>
      <c r="FP13" s="482"/>
      <c r="FQ13" s="481"/>
      <c r="FR13" s="452"/>
      <c r="FS13" s="1785">
        <v>161</v>
      </c>
      <c r="FT13" s="1786"/>
      <c r="FU13" s="1783">
        <v>162</v>
      </c>
      <c r="FV13" s="1784"/>
      <c r="FW13" s="482"/>
      <c r="FX13" s="481"/>
      <c r="FY13" s="452"/>
      <c r="FZ13" s="1785">
        <v>168</v>
      </c>
      <c r="GA13" s="1786"/>
      <c r="GB13" s="1783">
        <v>169</v>
      </c>
      <c r="GC13" s="1784"/>
      <c r="GD13" s="482"/>
      <c r="GE13" s="481"/>
      <c r="GF13" s="452"/>
      <c r="GG13" s="1785">
        <v>175</v>
      </c>
      <c r="GH13" s="1786"/>
      <c r="GI13" s="1783">
        <v>176</v>
      </c>
      <c r="GJ13" s="1784"/>
      <c r="GK13" s="482"/>
      <c r="GL13" s="481"/>
      <c r="GM13" s="452"/>
      <c r="GN13" s="1785">
        <v>182</v>
      </c>
      <c r="GO13" s="1786"/>
      <c r="GP13" s="1783">
        <v>183</v>
      </c>
      <c r="GQ13" s="1784"/>
      <c r="GR13" s="482"/>
      <c r="GS13" s="481"/>
      <c r="GT13" s="452"/>
      <c r="GU13" s="1785">
        <v>189</v>
      </c>
      <c r="GV13" s="1786"/>
      <c r="GW13" s="1783">
        <v>190</v>
      </c>
      <c r="GX13" s="1784"/>
      <c r="GY13" s="482"/>
      <c r="GZ13" s="481"/>
      <c r="HA13" s="452"/>
      <c r="HB13" s="1785">
        <v>196</v>
      </c>
      <c r="HC13" s="1786"/>
      <c r="HD13" s="1783">
        <v>197</v>
      </c>
      <c r="HE13" s="1784"/>
      <c r="HF13" s="482"/>
      <c r="HG13" s="481"/>
      <c r="HH13" s="452"/>
      <c r="HI13" s="1785">
        <v>203</v>
      </c>
      <c r="HJ13" s="1786"/>
      <c r="HK13" s="1783">
        <v>204</v>
      </c>
      <c r="HL13" s="1784"/>
      <c r="HM13" s="482"/>
      <c r="HN13" s="481"/>
      <c r="HO13" s="452"/>
      <c r="HP13" s="1785">
        <v>210</v>
      </c>
      <c r="HQ13" s="1786"/>
      <c r="HR13" s="1783">
        <v>211</v>
      </c>
      <c r="HS13" s="1784"/>
      <c r="HT13" s="482"/>
      <c r="HU13" s="481"/>
      <c r="HV13" s="452"/>
      <c r="HW13" s="1785">
        <v>217</v>
      </c>
      <c r="HX13" s="1786"/>
      <c r="HY13" s="1783">
        <v>218</v>
      </c>
      <c r="HZ13" s="1784"/>
      <c r="IA13" s="482"/>
      <c r="IB13" s="481"/>
      <c r="IC13" s="452"/>
      <c r="ID13" s="1785">
        <v>224</v>
      </c>
      <c r="IE13" s="1786"/>
      <c r="IF13" s="1783">
        <v>197</v>
      </c>
      <c r="IG13" s="1784"/>
      <c r="IH13" s="482"/>
      <c r="II13" s="481"/>
      <c r="IJ13" s="452"/>
      <c r="IK13" s="1785">
        <v>203</v>
      </c>
      <c r="IL13" s="1786"/>
      <c r="IM13" s="1783">
        <v>204</v>
      </c>
      <c r="IN13" s="1784"/>
      <c r="IO13" s="482"/>
      <c r="IP13" s="481"/>
      <c r="IQ13" s="452"/>
      <c r="IR13" s="1785">
        <v>210</v>
      </c>
      <c r="IS13" s="1786"/>
      <c r="IT13" s="1783">
        <v>211</v>
      </c>
      <c r="IU13" s="1784"/>
      <c r="IV13" s="482"/>
      <c r="IW13" s="481"/>
      <c r="IX13" s="452"/>
      <c r="IY13" s="1785">
        <v>217</v>
      </c>
      <c r="IZ13" s="1786"/>
      <c r="JA13" s="1783">
        <v>218</v>
      </c>
      <c r="JB13" s="1784"/>
      <c r="JC13" s="482"/>
      <c r="JD13" s="481"/>
      <c r="JE13" s="452"/>
      <c r="JF13" s="1785">
        <v>224</v>
      </c>
      <c r="JG13" s="1786"/>
      <c r="JH13" s="1783">
        <v>197</v>
      </c>
      <c r="JI13" s="1784"/>
      <c r="JJ13" s="482"/>
      <c r="JK13" s="481"/>
      <c r="JL13" s="452"/>
      <c r="JM13" s="1785">
        <v>203</v>
      </c>
      <c r="JN13" s="1786"/>
      <c r="JO13" s="1783">
        <v>204</v>
      </c>
      <c r="JP13" s="1784"/>
      <c r="JQ13" s="482"/>
      <c r="JR13" s="481"/>
      <c r="JS13" s="452"/>
      <c r="JT13" s="1785">
        <v>210</v>
      </c>
      <c r="JU13" s="1786"/>
      <c r="JV13" s="1783">
        <v>211</v>
      </c>
      <c r="JW13" s="1784"/>
      <c r="JX13" s="482"/>
      <c r="JY13" s="481"/>
      <c r="JZ13" s="452"/>
      <c r="KA13" s="1785">
        <v>217</v>
      </c>
      <c r="KB13" s="1786"/>
      <c r="KC13" s="1783">
        <v>218</v>
      </c>
      <c r="KD13" s="1784"/>
      <c r="KE13" s="482"/>
      <c r="KF13" s="481"/>
      <c r="KG13" s="452"/>
      <c r="KH13" s="1785">
        <v>224</v>
      </c>
      <c r="KI13" s="1786"/>
      <c r="KJ13" s="1783">
        <v>197</v>
      </c>
      <c r="KK13" s="1784"/>
      <c r="KL13" s="482"/>
      <c r="KM13" s="481"/>
      <c r="KN13" s="452"/>
      <c r="KO13" s="1785">
        <v>203</v>
      </c>
      <c r="KP13" s="1786"/>
      <c r="KQ13" s="1783">
        <v>204</v>
      </c>
      <c r="KR13" s="1784"/>
      <c r="KS13" s="482"/>
      <c r="KT13" s="481"/>
      <c r="KU13" s="452"/>
      <c r="KV13" s="1785">
        <v>210</v>
      </c>
      <c r="KW13" s="1786"/>
      <c r="KX13" s="1783">
        <v>211</v>
      </c>
      <c r="KY13" s="1784"/>
      <c r="KZ13" s="482"/>
      <c r="LA13" s="481"/>
      <c r="LB13" s="452"/>
      <c r="LC13" s="1785">
        <v>217</v>
      </c>
      <c r="LD13" s="1786"/>
      <c r="LE13" s="1783">
        <v>218</v>
      </c>
      <c r="LF13" s="1784"/>
      <c r="LG13" s="482"/>
      <c r="LH13" s="481"/>
      <c r="LI13" s="452"/>
      <c r="LJ13" s="1785">
        <v>224</v>
      </c>
      <c r="LK13" s="1786"/>
      <c r="LL13" s="1783">
        <v>197</v>
      </c>
      <c r="LM13" s="1784"/>
      <c r="LN13" s="482"/>
      <c r="LO13" s="481"/>
      <c r="LP13" s="452"/>
      <c r="LQ13" s="1785">
        <v>203</v>
      </c>
      <c r="LR13" s="1786"/>
      <c r="LS13" s="1783">
        <v>204</v>
      </c>
      <c r="LT13" s="1784"/>
      <c r="LU13" s="482"/>
      <c r="LV13" s="481"/>
      <c r="LW13" s="452"/>
      <c r="LX13" s="1785">
        <v>210</v>
      </c>
      <c r="LY13" s="1786"/>
      <c r="LZ13" s="1783">
        <v>211</v>
      </c>
      <c r="MA13" s="1784"/>
      <c r="MB13" s="482"/>
      <c r="MC13" s="481"/>
      <c r="MD13" s="452"/>
      <c r="ME13" s="1785">
        <v>217</v>
      </c>
      <c r="MF13" s="1786"/>
      <c r="MG13" s="1783">
        <v>218</v>
      </c>
      <c r="MH13" s="1784"/>
      <c r="MI13" s="482"/>
      <c r="MJ13" s="481"/>
      <c r="MK13" s="452"/>
      <c r="ML13" s="1785">
        <v>224</v>
      </c>
      <c r="MM13" s="1786"/>
      <c r="MN13" s="1783">
        <v>197</v>
      </c>
      <c r="MO13" s="1784"/>
      <c r="MP13" s="482"/>
      <c r="MQ13" s="481"/>
      <c r="MR13" s="452"/>
      <c r="MS13" s="1785">
        <v>203</v>
      </c>
      <c r="MT13" s="1786"/>
      <c r="MU13" s="1783">
        <v>204</v>
      </c>
      <c r="MV13" s="1784"/>
      <c r="MW13" s="482"/>
      <c r="MX13" s="481"/>
      <c r="MY13" s="452"/>
      <c r="MZ13" s="1785">
        <v>210</v>
      </c>
      <c r="NA13" s="1786"/>
      <c r="NB13" s="1783">
        <v>211</v>
      </c>
      <c r="NC13" s="1784"/>
      <c r="ND13" s="482"/>
      <c r="NE13" s="481"/>
      <c r="NF13" s="452"/>
      <c r="NG13" s="1785">
        <v>217</v>
      </c>
      <c r="NH13" s="1786"/>
      <c r="NI13" s="1783">
        <v>218</v>
      </c>
      <c r="NJ13" s="1784"/>
      <c r="NK13" s="482"/>
      <c r="NL13" s="481"/>
      <c r="NM13" s="452"/>
      <c r="NN13" s="1785">
        <v>224</v>
      </c>
      <c r="NO13" s="1786"/>
      <c r="NP13" s="1783">
        <v>197</v>
      </c>
      <c r="NQ13" s="1784"/>
      <c r="NR13" s="482"/>
      <c r="NS13" s="481"/>
      <c r="NT13" s="452"/>
      <c r="NU13" s="1785">
        <v>203</v>
      </c>
      <c r="NV13" s="1786"/>
      <c r="NW13" s="1783">
        <v>204</v>
      </c>
      <c r="NX13" s="1784"/>
      <c r="NY13" s="482"/>
      <c r="NZ13" s="481"/>
      <c r="OA13" s="452"/>
      <c r="OB13" s="1785">
        <v>210</v>
      </c>
      <c r="OC13" s="1786"/>
      <c r="OD13" s="1783">
        <v>211</v>
      </c>
      <c r="OE13" s="1784"/>
      <c r="OF13" s="482"/>
      <c r="OG13" s="481"/>
      <c r="OH13" s="452"/>
      <c r="OI13" s="1785">
        <v>217</v>
      </c>
      <c r="OJ13" s="1786"/>
      <c r="OK13" s="1783">
        <v>218</v>
      </c>
      <c r="OL13" s="1784"/>
      <c r="OM13" s="482"/>
      <c r="ON13" s="481"/>
      <c r="OO13" s="452"/>
      <c r="OP13" s="1785">
        <v>224</v>
      </c>
      <c r="OQ13" s="1786"/>
    </row>
    <row r="14" spans="1:423" s="15" customFormat="1" ht="15.75" hidden="1" customHeight="1">
      <c r="A14" s="484" t="s">
        <v>432</v>
      </c>
      <c r="B14" s="485"/>
      <c r="C14" s="486"/>
      <c r="D14" s="487"/>
      <c r="E14" s="487"/>
      <c r="F14" s="487"/>
      <c r="G14" s="487"/>
      <c r="H14" s="487"/>
      <c r="I14" s="487"/>
      <c r="J14" s="488"/>
      <c r="K14" s="489"/>
      <c r="L14" s="490"/>
      <c r="M14" s="490"/>
      <c r="N14" s="490"/>
      <c r="O14" s="490"/>
      <c r="P14" s="491"/>
      <c r="Q14" s="492"/>
      <c r="R14" s="492"/>
      <c r="S14" s="492"/>
      <c r="T14" s="492"/>
      <c r="U14" s="492"/>
      <c r="V14" s="492"/>
      <c r="W14" s="492"/>
      <c r="X14" s="492"/>
      <c r="Y14" s="492"/>
      <c r="Z14" s="492"/>
      <c r="AA14" s="492"/>
      <c r="AB14" s="492"/>
      <c r="AC14" s="492"/>
      <c r="AD14" s="492"/>
      <c r="AE14" s="492"/>
      <c r="AF14" s="492"/>
      <c r="AG14" s="492"/>
      <c r="AH14" s="492"/>
      <c r="AI14" s="492"/>
      <c r="AJ14" s="492"/>
      <c r="AK14" s="492"/>
      <c r="AL14" s="492"/>
      <c r="AM14" s="492"/>
      <c r="AN14" s="492"/>
      <c r="AO14" s="492"/>
      <c r="AP14" s="492"/>
      <c r="AQ14" s="492"/>
      <c r="AR14" s="492"/>
      <c r="AS14" s="492"/>
      <c r="AT14" s="492"/>
      <c r="AU14" s="492"/>
      <c r="AV14" s="492"/>
      <c r="AW14" s="492"/>
      <c r="AX14" s="492"/>
      <c r="AY14" s="492"/>
      <c r="AZ14" s="492"/>
      <c r="BA14" s="492"/>
      <c r="BB14" s="492"/>
      <c r="BC14" s="492"/>
      <c r="BD14" s="492"/>
      <c r="BE14" s="492"/>
      <c r="BF14" s="492"/>
      <c r="BG14" s="492"/>
      <c r="BH14" s="492"/>
      <c r="BI14" s="492"/>
      <c r="BJ14" s="492"/>
      <c r="BK14" s="492"/>
      <c r="BL14" s="492"/>
      <c r="BM14" s="492"/>
      <c r="BN14" s="492"/>
      <c r="BO14" s="492"/>
      <c r="BP14" s="492"/>
      <c r="BQ14" s="492"/>
      <c r="BR14" s="492"/>
      <c r="BS14" s="492"/>
      <c r="BT14" s="492"/>
      <c r="BU14" s="492"/>
      <c r="BV14" s="492"/>
      <c r="BW14" s="492"/>
      <c r="BX14" s="492"/>
      <c r="BY14" s="492"/>
      <c r="BZ14" s="492"/>
      <c r="CA14" s="492"/>
      <c r="CB14" s="492"/>
      <c r="CC14" s="492"/>
      <c r="CD14" s="492"/>
      <c r="CE14" s="492"/>
      <c r="CF14" s="492"/>
      <c r="CG14" s="492"/>
      <c r="CH14" s="492"/>
      <c r="CI14" s="492"/>
      <c r="CJ14" s="492"/>
      <c r="CK14" s="492"/>
      <c r="CL14" s="492"/>
      <c r="CM14" s="492"/>
      <c r="CN14" s="492"/>
      <c r="CO14" s="492"/>
      <c r="CP14" s="492"/>
      <c r="CQ14" s="492"/>
      <c r="CR14" s="492"/>
      <c r="CS14" s="492"/>
      <c r="CT14" s="492"/>
      <c r="CU14" s="492"/>
      <c r="CV14" s="492"/>
      <c r="CW14" s="492"/>
      <c r="CX14" s="492"/>
      <c r="CY14" s="492"/>
      <c r="CZ14" s="492"/>
      <c r="DA14" s="492"/>
      <c r="DB14" s="492"/>
      <c r="DC14" s="492"/>
      <c r="DD14" s="492"/>
      <c r="DE14" s="492"/>
      <c r="DF14" s="492"/>
      <c r="DG14" s="492"/>
      <c r="DH14" s="492"/>
      <c r="DI14" s="492"/>
      <c r="DJ14" s="492"/>
      <c r="DK14" s="492"/>
      <c r="DL14" s="492"/>
      <c r="DM14" s="492"/>
      <c r="DN14" s="492"/>
      <c r="DO14" s="492"/>
      <c r="DP14" s="492"/>
      <c r="DQ14" s="492"/>
      <c r="DR14" s="492"/>
      <c r="DS14" s="492"/>
      <c r="DT14" s="492"/>
      <c r="DU14" s="492"/>
      <c r="DV14" s="492"/>
      <c r="DW14" s="492"/>
      <c r="DX14" s="492"/>
      <c r="DY14" s="492"/>
      <c r="DZ14" s="492"/>
      <c r="EA14" s="492"/>
      <c r="EB14" s="492"/>
      <c r="EC14" s="492"/>
      <c r="ED14" s="492"/>
      <c r="EE14" s="492"/>
      <c r="EF14" s="492"/>
      <c r="EG14" s="492"/>
      <c r="EH14" s="492"/>
      <c r="EI14" s="492"/>
      <c r="EJ14" s="492"/>
      <c r="EK14" s="492"/>
      <c r="EL14" s="492"/>
      <c r="EM14" s="492"/>
      <c r="EN14" s="492"/>
      <c r="EO14" s="492"/>
      <c r="EP14" s="492"/>
      <c r="EQ14" s="492"/>
      <c r="ER14" s="492"/>
      <c r="ES14" s="492"/>
      <c r="ET14" s="492"/>
      <c r="EU14" s="492"/>
      <c r="EV14" s="492"/>
      <c r="EW14" s="492"/>
      <c r="EX14" s="492"/>
      <c r="EY14" s="492"/>
      <c r="EZ14" s="492"/>
      <c r="FA14" s="492"/>
      <c r="FB14" s="492"/>
      <c r="FC14" s="492"/>
      <c r="FD14" s="492"/>
      <c r="FE14" s="492"/>
      <c r="FF14" s="492"/>
      <c r="FG14" s="492"/>
      <c r="FH14" s="492"/>
      <c r="FI14" s="492"/>
      <c r="FJ14" s="492"/>
      <c r="FK14" s="492"/>
      <c r="FL14" s="492"/>
      <c r="FM14" s="492"/>
      <c r="FN14" s="492"/>
      <c r="FO14" s="492"/>
      <c r="FP14" s="492"/>
      <c r="FQ14" s="492"/>
      <c r="FR14" s="492"/>
      <c r="FS14" s="492"/>
      <c r="FT14" s="492"/>
      <c r="FU14" s="492"/>
      <c r="FV14" s="492"/>
      <c r="FW14" s="492"/>
      <c r="FX14" s="492"/>
      <c r="FY14" s="492"/>
      <c r="FZ14" s="492"/>
      <c r="GA14" s="492"/>
      <c r="GB14" s="492"/>
      <c r="GC14" s="492"/>
      <c r="GD14" s="492"/>
      <c r="GE14" s="492"/>
      <c r="GF14" s="492"/>
      <c r="GG14" s="492"/>
      <c r="GH14" s="492"/>
      <c r="GI14" s="492"/>
      <c r="GJ14" s="492"/>
      <c r="GK14" s="492"/>
      <c r="GL14" s="492"/>
      <c r="GM14" s="492"/>
      <c r="GN14" s="492"/>
      <c r="GO14" s="492"/>
      <c r="GP14" s="492"/>
      <c r="GQ14" s="492"/>
      <c r="GR14" s="492"/>
      <c r="GS14" s="492"/>
      <c r="GT14" s="492"/>
      <c r="GU14" s="492"/>
      <c r="GV14" s="492"/>
      <c r="GW14" s="492"/>
      <c r="GX14" s="492"/>
      <c r="GY14" s="492"/>
      <c r="GZ14" s="492"/>
      <c r="HA14" s="492"/>
      <c r="HB14" s="492"/>
      <c r="HC14" s="492"/>
      <c r="HD14" s="492"/>
      <c r="HE14" s="492"/>
      <c r="HF14" s="492"/>
      <c r="HG14" s="492"/>
      <c r="HH14" s="492"/>
      <c r="HI14" s="492"/>
      <c r="HJ14" s="492"/>
      <c r="HK14" s="492"/>
      <c r="HL14" s="492"/>
      <c r="HM14" s="492"/>
      <c r="HN14" s="492"/>
      <c r="HO14" s="492"/>
      <c r="HP14" s="492"/>
      <c r="HQ14" s="492"/>
      <c r="HR14" s="492"/>
      <c r="HS14" s="492"/>
      <c r="HT14" s="492"/>
      <c r="HU14" s="492"/>
      <c r="HV14" s="492"/>
      <c r="HW14" s="492"/>
      <c r="HX14" s="492"/>
      <c r="HY14" s="492"/>
      <c r="HZ14" s="492"/>
      <c r="IA14" s="492"/>
      <c r="IB14" s="492"/>
      <c r="IC14" s="492"/>
      <c r="ID14" s="492"/>
      <c r="IE14" s="492"/>
      <c r="IF14" s="492"/>
      <c r="IG14" s="492"/>
      <c r="IH14" s="492"/>
      <c r="II14" s="492"/>
      <c r="IJ14" s="492"/>
      <c r="IK14" s="492"/>
      <c r="IL14" s="492"/>
      <c r="IM14" s="492"/>
      <c r="IN14" s="492"/>
      <c r="IO14" s="492"/>
      <c r="IP14" s="492"/>
      <c r="IQ14" s="492"/>
      <c r="IR14" s="492"/>
      <c r="IS14" s="492"/>
      <c r="IT14" s="492"/>
      <c r="IU14" s="492"/>
      <c r="IV14" s="492"/>
      <c r="IW14" s="492"/>
      <c r="IX14" s="492"/>
      <c r="IY14" s="492"/>
      <c r="IZ14" s="492"/>
      <c r="JA14" s="492"/>
      <c r="JB14" s="492"/>
      <c r="JC14" s="492"/>
      <c r="JD14" s="492"/>
      <c r="JE14" s="492"/>
      <c r="JF14" s="492"/>
      <c r="JG14" s="492"/>
      <c r="JH14" s="492"/>
      <c r="JI14" s="492"/>
      <c r="JJ14" s="492"/>
      <c r="JK14" s="492"/>
      <c r="JL14" s="492"/>
      <c r="JM14" s="492"/>
      <c r="JN14" s="492"/>
      <c r="JO14" s="492"/>
      <c r="JP14" s="492"/>
      <c r="JQ14" s="492"/>
      <c r="JR14" s="492"/>
      <c r="JS14" s="492"/>
      <c r="JT14" s="492"/>
      <c r="JU14" s="492"/>
      <c r="JV14" s="492"/>
      <c r="JW14" s="492"/>
      <c r="JX14" s="492"/>
      <c r="JY14" s="492"/>
      <c r="JZ14" s="492"/>
      <c r="KA14" s="492"/>
      <c r="KB14" s="492"/>
      <c r="KC14" s="492"/>
      <c r="KD14" s="492"/>
      <c r="KE14" s="492"/>
      <c r="KF14" s="492"/>
      <c r="KG14" s="492"/>
      <c r="KH14" s="492"/>
      <c r="KI14" s="492"/>
      <c r="KJ14" s="492"/>
      <c r="KK14" s="492"/>
      <c r="KL14" s="492"/>
      <c r="KM14" s="492"/>
      <c r="KN14" s="492"/>
      <c r="KO14" s="492"/>
      <c r="KP14" s="492"/>
      <c r="KQ14" s="492"/>
      <c r="KR14" s="492"/>
      <c r="KS14" s="492"/>
      <c r="KT14" s="492"/>
      <c r="KU14" s="492"/>
      <c r="KV14" s="492"/>
      <c r="KW14" s="492"/>
      <c r="KX14" s="492"/>
      <c r="KY14" s="492"/>
      <c r="KZ14" s="492"/>
      <c r="LA14" s="492"/>
      <c r="LB14" s="492"/>
      <c r="LC14" s="492"/>
      <c r="LD14" s="492"/>
      <c r="LE14" s="492"/>
      <c r="LF14" s="492"/>
      <c r="LG14" s="492"/>
      <c r="LH14" s="492"/>
      <c r="LI14" s="492"/>
      <c r="LJ14" s="492"/>
      <c r="LK14" s="492"/>
      <c r="LL14" s="492"/>
      <c r="LM14" s="492"/>
      <c r="LN14" s="492"/>
      <c r="LO14" s="492"/>
      <c r="LP14" s="492"/>
      <c r="LQ14" s="492"/>
      <c r="LR14" s="492"/>
      <c r="LS14" s="492"/>
      <c r="LT14" s="492"/>
      <c r="LU14" s="492"/>
      <c r="LV14" s="492"/>
      <c r="LW14" s="492"/>
      <c r="LX14" s="492"/>
      <c r="LY14" s="492"/>
      <c r="LZ14" s="492"/>
      <c r="MA14" s="492"/>
      <c r="MB14" s="492"/>
      <c r="MC14" s="492"/>
      <c r="MD14" s="492"/>
      <c r="ME14" s="492"/>
      <c r="MF14" s="492"/>
      <c r="MG14" s="492"/>
      <c r="MH14" s="492"/>
      <c r="MI14" s="492"/>
      <c r="MJ14" s="492"/>
      <c r="MK14" s="492"/>
      <c r="ML14" s="492"/>
      <c r="MM14" s="492"/>
      <c r="MN14" s="492"/>
      <c r="MO14" s="492"/>
      <c r="MP14" s="492"/>
      <c r="MQ14" s="492"/>
      <c r="MR14" s="492"/>
      <c r="MS14" s="492"/>
      <c r="MT14" s="492"/>
      <c r="MU14" s="492"/>
      <c r="MV14" s="492"/>
      <c r="MW14" s="492"/>
      <c r="MX14" s="492"/>
      <c r="MY14" s="492"/>
      <c r="MZ14" s="492"/>
      <c r="NA14" s="492"/>
      <c r="NB14" s="492"/>
      <c r="NC14" s="492"/>
      <c r="ND14" s="492"/>
      <c r="NE14" s="492"/>
      <c r="NF14" s="492"/>
      <c r="NG14" s="492"/>
      <c r="NH14" s="492"/>
      <c r="NI14" s="492"/>
      <c r="NJ14" s="492"/>
      <c r="NK14" s="492"/>
      <c r="NL14" s="492"/>
      <c r="NM14" s="492"/>
      <c r="NN14" s="492"/>
      <c r="NO14" s="492"/>
      <c r="NP14" s="492"/>
      <c r="NQ14" s="492"/>
      <c r="NR14" s="492"/>
      <c r="NS14" s="492"/>
      <c r="NT14" s="492"/>
      <c r="NU14" s="492"/>
      <c r="NV14" s="492"/>
      <c r="NW14" s="492"/>
      <c r="NX14" s="492"/>
      <c r="NY14" s="492"/>
      <c r="NZ14" s="492"/>
      <c r="OA14" s="492"/>
      <c r="OB14" s="492"/>
      <c r="OC14" s="492"/>
      <c r="OD14" s="492"/>
      <c r="OE14" s="492"/>
      <c r="OF14" s="492"/>
      <c r="OG14" s="492"/>
      <c r="OH14" s="492"/>
      <c r="OI14" s="492"/>
      <c r="OJ14" s="492"/>
      <c r="OK14" s="492"/>
      <c r="OL14" s="492"/>
      <c r="OM14" s="492"/>
      <c r="ON14" s="492"/>
      <c r="OO14" s="492"/>
      <c r="OP14" s="492"/>
      <c r="OQ14" s="492"/>
    </row>
    <row r="15" spans="1:423" s="15" customFormat="1" ht="15" customHeight="1" thickBot="1">
      <c r="A15" s="431"/>
      <c r="B15" s="493"/>
      <c r="C15" s="494"/>
      <c r="D15" s="495"/>
      <c r="E15" s="495"/>
      <c r="F15" s="496"/>
      <c r="G15" s="497"/>
      <c r="H15" s="498"/>
      <c r="I15" s="499"/>
      <c r="J15" s="500"/>
      <c r="K15" s="501"/>
      <c r="L15" s="502"/>
      <c r="M15" s="502"/>
      <c r="N15" s="502"/>
      <c r="O15" s="502"/>
      <c r="P15" s="503"/>
      <c r="Q15" s="490"/>
      <c r="R15" s="490"/>
      <c r="S15" s="490"/>
      <c r="T15" s="490"/>
      <c r="U15" s="490"/>
      <c r="V15" s="504"/>
      <c r="W15" s="503"/>
      <c r="X15" s="490"/>
      <c r="Y15" s="490"/>
      <c r="Z15" s="490"/>
      <c r="AA15" s="490"/>
      <c r="AB15" s="490"/>
      <c r="AC15" s="504"/>
      <c r="AD15" s="503"/>
      <c r="AE15" s="490"/>
      <c r="AF15" s="490"/>
      <c r="AG15" s="490"/>
      <c r="AH15" s="490"/>
      <c r="AI15" s="490"/>
      <c r="AJ15" s="504"/>
      <c r="AK15" s="503"/>
      <c r="AL15" s="490"/>
      <c r="AM15" s="490"/>
      <c r="AN15" s="490"/>
      <c r="AO15" s="490"/>
      <c r="AP15" s="490"/>
      <c r="AQ15" s="504"/>
      <c r="AR15" s="503"/>
      <c r="AS15" s="490"/>
      <c r="AT15" s="490"/>
      <c r="AU15" s="490"/>
      <c r="AV15" s="490"/>
      <c r="AW15" s="490"/>
      <c r="AX15" s="504"/>
      <c r="AY15" s="503"/>
      <c r="AZ15" s="490"/>
      <c r="BA15" s="490"/>
      <c r="BB15" s="490"/>
      <c r="BC15" s="490"/>
      <c r="BD15" s="490"/>
      <c r="BE15" s="504"/>
      <c r="BF15" s="503"/>
      <c r="BG15" s="490"/>
      <c r="BH15" s="490"/>
      <c r="BI15" s="490"/>
      <c r="BJ15" s="490"/>
      <c r="BK15" s="490"/>
      <c r="BL15" s="504"/>
      <c r="BM15" s="503"/>
      <c r="BN15" s="490"/>
      <c r="BO15" s="490"/>
      <c r="BP15" s="490"/>
      <c r="BQ15" s="490"/>
      <c r="BR15" s="490"/>
      <c r="BS15" s="504"/>
      <c r="BT15" s="503"/>
      <c r="BU15" s="490"/>
      <c r="BV15" s="490"/>
      <c r="BW15" s="490"/>
      <c r="BX15" s="490"/>
      <c r="BY15" s="490"/>
      <c r="BZ15" s="504"/>
      <c r="CA15" s="503"/>
      <c r="CB15" s="490"/>
      <c r="CC15" s="490"/>
      <c r="CD15" s="490"/>
      <c r="CE15" s="490"/>
      <c r="CF15" s="490"/>
      <c r="CG15" s="504"/>
      <c r="CH15" s="503"/>
      <c r="CI15" s="490"/>
      <c r="CJ15" s="490"/>
      <c r="CK15" s="490"/>
      <c r="CL15" s="490"/>
      <c r="CM15" s="490"/>
      <c r="CN15" s="504"/>
      <c r="CO15" s="503"/>
      <c r="CP15" s="490"/>
      <c r="CQ15" s="490"/>
      <c r="CR15" s="490"/>
      <c r="CS15" s="490"/>
      <c r="CT15" s="490"/>
      <c r="CU15" s="504"/>
      <c r="CV15" s="503"/>
      <c r="CW15" s="490"/>
      <c r="CX15" s="490"/>
      <c r="CY15" s="490"/>
      <c r="CZ15" s="490"/>
      <c r="DA15" s="490"/>
      <c r="DB15" s="504"/>
      <c r="DC15" s="503"/>
      <c r="DD15" s="490"/>
      <c r="DE15" s="490"/>
      <c r="DF15" s="490"/>
      <c r="DG15" s="490"/>
      <c r="DH15" s="490"/>
      <c r="DI15" s="504"/>
      <c r="DJ15" s="503"/>
      <c r="DK15" s="490"/>
      <c r="DL15" s="490"/>
      <c r="DM15" s="490"/>
      <c r="DN15" s="490"/>
      <c r="DO15" s="490"/>
      <c r="DP15" s="504"/>
      <c r="DQ15" s="503"/>
      <c r="DR15" s="490"/>
      <c r="DS15" s="490"/>
      <c r="DT15" s="490"/>
      <c r="DU15" s="490"/>
      <c r="DV15" s="490"/>
      <c r="DW15" s="504"/>
      <c r="DX15" s="503"/>
      <c r="DY15" s="490"/>
      <c r="DZ15" s="490"/>
      <c r="EA15" s="490"/>
      <c r="EB15" s="490"/>
      <c r="EC15" s="490"/>
      <c r="ED15" s="504"/>
      <c r="EE15" s="503"/>
      <c r="EF15" s="490"/>
      <c r="EG15" s="490"/>
      <c r="EH15" s="490"/>
      <c r="EI15" s="490"/>
      <c r="EJ15" s="490"/>
      <c r="EK15" s="504"/>
      <c r="EL15" s="503"/>
      <c r="EM15" s="490"/>
      <c r="EN15" s="490"/>
      <c r="EO15" s="490"/>
      <c r="EP15" s="490"/>
      <c r="EQ15" s="490"/>
      <c r="ER15" s="504"/>
      <c r="ES15" s="503"/>
      <c r="ET15" s="490"/>
      <c r="EU15" s="490"/>
      <c r="EV15" s="490"/>
      <c r="EW15" s="490"/>
      <c r="EX15" s="490"/>
      <c r="EY15" s="504"/>
      <c r="EZ15" s="503"/>
      <c r="FA15" s="490"/>
      <c r="FB15" s="490"/>
      <c r="FC15" s="490"/>
      <c r="FD15" s="490"/>
      <c r="FE15" s="490"/>
      <c r="FF15" s="504"/>
      <c r="FG15" s="503"/>
      <c r="FH15" s="490"/>
      <c r="FI15" s="490"/>
      <c r="FJ15" s="490"/>
      <c r="FK15" s="490"/>
      <c r="FL15" s="490"/>
      <c r="FM15" s="504"/>
      <c r="FN15" s="503"/>
      <c r="FO15" s="490"/>
      <c r="FP15" s="490"/>
      <c r="FQ15" s="490"/>
      <c r="FR15" s="490"/>
      <c r="FS15" s="490"/>
      <c r="FT15" s="504"/>
      <c r="FU15" s="503"/>
      <c r="FV15" s="490"/>
      <c r="FW15" s="490"/>
      <c r="FX15" s="490"/>
      <c r="FY15" s="490"/>
      <c r="FZ15" s="490"/>
      <c r="GA15" s="504"/>
      <c r="GB15" s="503"/>
      <c r="GC15" s="490"/>
      <c r="GD15" s="490"/>
      <c r="GE15" s="490"/>
      <c r="GF15" s="490"/>
      <c r="GG15" s="490"/>
      <c r="GH15" s="504"/>
      <c r="GI15" s="503"/>
      <c r="GJ15" s="490"/>
      <c r="GK15" s="490"/>
      <c r="GL15" s="490"/>
      <c r="GM15" s="490"/>
      <c r="GN15" s="490"/>
      <c r="GO15" s="504"/>
      <c r="GP15" s="503"/>
      <c r="GQ15" s="490"/>
      <c r="GR15" s="490"/>
      <c r="GS15" s="490"/>
      <c r="GT15" s="490"/>
      <c r="GU15" s="490"/>
      <c r="GV15" s="504"/>
      <c r="GW15" s="503"/>
      <c r="GX15" s="490"/>
      <c r="GY15" s="490"/>
      <c r="GZ15" s="490"/>
      <c r="HA15" s="490"/>
      <c r="HB15" s="490"/>
      <c r="HC15" s="504"/>
      <c r="HD15" s="503"/>
      <c r="HE15" s="490"/>
      <c r="HF15" s="490"/>
      <c r="HG15" s="490"/>
      <c r="HH15" s="490"/>
      <c r="HI15" s="490"/>
      <c r="HJ15" s="504"/>
      <c r="HK15" s="503"/>
      <c r="HL15" s="490"/>
      <c r="HM15" s="490"/>
      <c r="HN15" s="490"/>
      <c r="HO15" s="490"/>
      <c r="HP15" s="490"/>
      <c r="HQ15" s="504"/>
      <c r="HR15" s="503"/>
      <c r="HS15" s="490"/>
      <c r="HT15" s="490"/>
      <c r="HU15" s="490"/>
      <c r="HV15" s="490"/>
      <c r="HW15" s="490"/>
      <c r="HX15" s="504"/>
      <c r="HY15" s="503"/>
      <c r="HZ15" s="490"/>
      <c r="IA15" s="490"/>
      <c r="IB15" s="490"/>
      <c r="IC15" s="490"/>
      <c r="ID15" s="490"/>
      <c r="IE15" s="504"/>
      <c r="IF15" s="503"/>
      <c r="IG15" s="490"/>
      <c r="IH15" s="490"/>
      <c r="II15" s="490"/>
      <c r="IJ15" s="490"/>
      <c r="IK15" s="490"/>
      <c r="IL15" s="504"/>
      <c r="IM15" s="503"/>
      <c r="IN15" s="490"/>
      <c r="IO15" s="490"/>
      <c r="IP15" s="490"/>
      <c r="IQ15" s="490"/>
      <c r="IR15" s="490"/>
      <c r="IS15" s="504"/>
      <c r="IT15" s="503"/>
      <c r="IU15" s="490"/>
      <c r="IV15" s="490"/>
      <c r="IW15" s="490"/>
      <c r="IX15" s="490"/>
      <c r="IY15" s="490"/>
      <c r="IZ15" s="504"/>
      <c r="JA15" s="503"/>
      <c r="JB15" s="490"/>
      <c r="JC15" s="490"/>
      <c r="JD15" s="490"/>
      <c r="JE15" s="490"/>
      <c r="JF15" s="490"/>
      <c r="JG15" s="504"/>
      <c r="JH15" s="503"/>
      <c r="JI15" s="490"/>
      <c r="JJ15" s="490"/>
      <c r="JK15" s="490"/>
      <c r="JL15" s="490"/>
      <c r="JM15" s="490"/>
      <c r="JN15" s="504"/>
      <c r="JO15" s="503"/>
      <c r="JP15" s="490"/>
      <c r="JQ15" s="490"/>
      <c r="JR15" s="490"/>
      <c r="JS15" s="490"/>
      <c r="JT15" s="490"/>
      <c r="JU15" s="504"/>
      <c r="JV15" s="503"/>
      <c r="JW15" s="490"/>
      <c r="JX15" s="490"/>
      <c r="JY15" s="490"/>
      <c r="JZ15" s="490"/>
      <c r="KA15" s="490"/>
      <c r="KB15" s="504"/>
      <c r="KC15" s="503"/>
      <c r="KD15" s="490"/>
      <c r="KE15" s="490"/>
      <c r="KF15" s="490"/>
      <c r="KG15" s="490"/>
      <c r="KH15" s="490"/>
      <c r="KI15" s="504"/>
      <c r="KJ15" s="503"/>
      <c r="KK15" s="490"/>
      <c r="KL15" s="490"/>
      <c r="KM15" s="490"/>
      <c r="KN15" s="490"/>
      <c r="KO15" s="490"/>
      <c r="KP15" s="504"/>
      <c r="KQ15" s="503"/>
      <c r="KR15" s="490"/>
      <c r="KS15" s="490"/>
      <c r="KT15" s="490"/>
      <c r="KU15" s="490"/>
      <c r="KV15" s="490"/>
      <c r="KW15" s="504"/>
      <c r="KX15" s="503"/>
      <c r="KY15" s="490"/>
      <c r="KZ15" s="490"/>
      <c r="LA15" s="490"/>
      <c r="LB15" s="490"/>
      <c r="LC15" s="490"/>
      <c r="LD15" s="504"/>
      <c r="LE15" s="503"/>
      <c r="LF15" s="490"/>
      <c r="LG15" s="490"/>
      <c r="LH15" s="490"/>
      <c r="LI15" s="490"/>
      <c r="LJ15" s="490"/>
      <c r="LK15" s="504"/>
      <c r="LL15" s="503"/>
      <c r="LM15" s="490"/>
      <c r="LN15" s="490"/>
      <c r="LO15" s="490"/>
      <c r="LP15" s="490"/>
      <c r="LQ15" s="490"/>
      <c r="LR15" s="504"/>
      <c r="LS15" s="503"/>
      <c r="LT15" s="490"/>
      <c r="LU15" s="490"/>
      <c r="LV15" s="490"/>
      <c r="LW15" s="490"/>
      <c r="LX15" s="490"/>
      <c r="LY15" s="504"/>
      <c r="LZ15" s="503"/>
      <c r="MA15" s="490"/>
      <c r="MB15" s="490"/>
      <c r="MC15" s="490"/>
      <c r="MD15" s="490"/>
      <c r="ME15" s="490"/>
      <c r="MF15" s="504"/>
      <c r="MG15" s="503"/>
      <c r="MH15" s="490"/>
      <c r="MI15" s="490"/>
      <c r="MJ15" s="490"/>
      <c r="MK15" s="490"/>
      <c r="ML15" s="490"/>
      <c r="MM15" s="504"/>
      <c r="MN15" s="503"/>
      <c r="MO15" s="490"/>
      <c r="MP15" s="490"/>
      <c r="MQ15" s="490"/>
      <c r="MR15" s="490"/>
      <c r="MS15" s="490"/>
      <c r="MT15" s="504"/>
      <c r="MU15" s="503"/>
      <c r="MV15" s="490"/>
      <c r="MW15" s="490"/>
      <c r="MX15" s="490"/>
      <c r="MY15" s="490"/>
      <c r="MZ15" s="490"/>
      <c r="NA15" s="504"/>
      <c r="NB15" s="503"/>
      <c r="NC15" s="490"/>
      <c r="ND15" s="490"/>
      <c r="NE15" s="490"/>
      <c r="NF15" s="490"/>
      <c r="NG15" s="490"/>
      <c r="NH15" s="504"/>
      <c r="NI15" s="503"/>
      <c r="NJ15" s="490"/>
      <c r="NK15" s="490"/>
      <c r="NL15" s="490"/>
      <c r="NM15" s="490"/>
      <c r="NN15" s="490"/>
      <c r="NO15" s="504"/>
      <c r="NP15" s="503"/>
      <c r="NQ15" s="490"/>
      <c r="NR15" s="490"/>
      <c r="NS15" s="490"/>
      <c r="NT15" s="490"/>
      <c r="NU15" s="490"/>
      <c r="NV15" s="504"/>
      <c r="NW15" s="503"/>
      <c r="NX15" s="490"/>
      <c r="NY15" s="490"/>
      <c r="NZ15" s="490"/>
      <c r="OA15" s="490"/>
      <c r="OB15" s="490"/>
      <c r="OC15" s="504"/>
      <c r="OD15" s="503"/>
      <c r="OE15" s="490"/>
      <c r="OF15" s="490"/>
      <c r="OG15" s="490"/>
      <c r="OH15" s="490"/>
      <c r="OI15" s="490"/>
      <c r="OJ15" s="504"/>
      <c r="OK15" s="503"/>
      <c r="OL15" s="490"/>
      <c r="OM15" s="490"/>
      <c r="ON15" s="490"/>
      <c r="OO15" s="490"/>
      <c r="OP15" s="490"/>
      <c r="OQ15" s="504"/>
    </row>
    <row r="16" spans="1:423" s="15" customFormat="1" ht="15" hidden="1" customHeight="1">
      <c r="A16" s="15" t="s">
        <v>20</v>
      </c>
      <c r="B16" s="1787"/>
      <c r="C16" s="1789"/>
      <c r="D16" s="1791"/>
      <c r="E16" s="1791">
        <v>1</v>
      </c>
      <c r="F16" s="1791"/>
      <c r="G16" s="1793"/>
      <c r="H16" s="1794"/>
      <c r="I16" s="1797" t="e">
        <v>#DIV/0!</v>
      </c>
      <c r="J16" s="505"/>
      <c r="K16" s="506" t="s">
        <v>444</v>
      </c>
      <c r="L16" s="490"/>
      <c r="M16" s="490"/>
      <c r="N16" s="490"/>
      <c r="O16" s="490"/>
      <c r="P16" s="507"/>
      <c r="Q16" s="508"/>
      <c r="R16" s="508"/>
      <c r="S16" s="508"/>
      <c r="T16" s="508"/>
      <c r="U16" s="508"/>
      <c r="V16" s="509"/>
      <c r="W16" s="507"/>
      <c r="X16" s="508"/>
      <c r="Y16" s="508"/>
      <c r="Z16" s="508"/>
      <c r="AA16" s="508"/>
      <c r="AB16" s="508"/>
      <c r="AC16" s="509"/>
      <c r="AD16" s="507"/>
      <c r="AE16" s="508"/>
      <c r="AF16" s="508"/>
      <c r="AG16" s="508"/>
      <c r="AH16" s="508"/>
      <c r="AI16" s="508"/>
      <c r="AJ16" s="509"/>
      <c r="AK16" s="507"/>
      <c r="AL16" s="508"/>
      <c r="AM16" s="508"/>
      <c r="AN16" s="508"/>
      <c r="AO16" s="508"/>
      <c r="AP16" s="508"/>
      <c r="AQ16" s="509"/>
      <c r="AR16" s="507"/>
      <c r="AS16" s="508"/>
      <c r="AT16" s="508"/>
      <c r="AU16" s="508"/>
      <c r="AV16" s="508"/>
      <c r="AW16" s="508"/>
      <c r="AX16" s="509"/>
      <c r="AY16" s="507"/>
      <c r="AZ16" s="508"/>
      <c r="BA16" s="508"/>
      <c r="BB16" s="508"/>
      <c r="BC16" s="508"/>
      <c r="BD16" s="508"/>
      <c r="BE16" s="509"/>
      <c r="BF16" s="507"/>
      <c r="BG16" s="508"/>
      <c r="BH16" s="508"/>
      <c r="BI16" s="508"/>
      <c r="BJ16" s="508"/>
      <c r="BK16" s="508"/>
      <c r="BL16" s="509"/>
      <c r="BM16" s="507"/>
      <c r="BN16" s="508"/>
      <c r="BO16" s="508"/>
      <c r="BP16" s="508"/>
      <c r="BQ16" s="508"/>
      <c r="BR16" s="508"/>
      <c r="BS16" s="509"/>
      <c r="BT16" s="507"/>
      <c r="BU16" s="508"/>
      <c r="BV16" s="508"/>
      <c r="BW16" s="508"/>
      <c r="BX16" s="508"/>
      <c r="BY16" s="508"/>
      <c r="BZ16" s="509"/>
      <c r="CA16" s="507"/>
      <c r="CB16" s="508"/>
      <c r="CC16" s="508"/>
      <c r="CD16" s="508"/>
      <c r="CE16" s="508"/>
      <c r="CF16" s="508"/>
      <c r="CG16" s="509"/>
      <c r="CH16" s="507"/>
      <c r="CI16" s="508"/>
      <c r="CJ16" s="508"/>
      <c r="CK16" s="508"/>
      <c r="CL16" s="508"/>
      <c r="CM16" s="508"/>
      <c r="CN16" s="509"/>
      <c r="CO16" s="507"/>
      <c r="CP16" s="508"/>
      <c r="CQ16" s="508"/>
      <c r="CR16" s="508"/>
      <c r="CS16" s="508"/>
      <c r="CT16" s="508"/>
      <c r="CU16" s="509"/>
      <c r="CV16" s="507"/>
      <c r="CW16" s="508"/>
      <c r="CX16" s="508"/>
      <c r="CY16" s="508"/>
      <c r="CZ16" s="508"/>
      <c r="DA16" s="508"/>
      <c r="DB16" s="509"/>
      <c r="DC16" s="507"/>
      <c r="DD16" s="508"/>
      <c r="DE16" s="508"/>
      <c r="DF16" s="508"/>
      <c r="DG16" s="508"/>
      <c r="DH16" s="508"/>
      <c r="DI16" s="509"/>
      <c r="DJ16" s="507"/>
      <c r="DK16" s="508"/>
      <c r="DL16" s="508"/>
      <c r="DM16" s="508"/>
      <c r="DN16" s="508"/>
      <c r="DO16" s="508"/>
      <c r="DP16" s="509"/>
      <c r="DQ16" s="507"/>
      <c r="DR16" s="508"/>
      <c r="DS16" s="508"/>
      <c r="DT16" s="508"/>
      <c r="DU16" s="508"/>
      <c r="DV16" s="508"/>
      <c r="DW16" s="509"/>
      <c r="DX16" s="507"/>
      <c r="DY16" s="508"/>
      <c r="DZ16" s="508"/>
      <c r="EA16" s="508"/>
      <c r="EB16" s="508"/>
      <c r="EC16" s="508"/>
      <c r="ED16" s="509"/>
      <c r="EE16" s="507"/>
      <c r="EF16" s="508"/>
      <c r="EG16" s="508"/>
      <c r="EH16" s="508"/>
      <c r="EI16" s="508"/>
      <c r="EJ16" s="508"/>
      <c r="EK16" s="509"/>
      <c r="EL16" s="507"/>
      <c r="EM16" s="508"/>
      <c r="EN16" s="508"/>
      <c r="EO16" s="508"/>
      <c r="EP16" s="508"/>
      <c r="EQ16" s="508"/>
      <c r="ER16" s="509"/>
      <c r="ES16" s="507"/>
      <c r="ET16" s="508"/>
      <c r="EU16" s="508"/>
      <c r="EV16" s="508"/>
      <c r="EW16" s="508"/>
      <c r="EX16" s="508"/>
      <c r="EY16" s="509"/>
      <c r="EZ16" s="507"/>
      <c r="FA16" s="508"/>
      <c r="FB16" s="508"/>
      <c r="FC16" s="508"/>
      <c r="FD16" s="508"/>
      <c r="FE16" s="508"/>
      <c r="FF16" s="509"/>
      <c r="FG16" s="507"/>
      <c r="FH16" s="508"/>
      <c r="FI16" s="508"/>
      <c r="FJ16" s="508"/>
      <c r="FK16" s="508"/>
      <c r="FL16" s="508"/>
      <c r="FM16" s="509"/>
      <c r="FN16" s="507"/>
      <c r="FO16" s="508"/>
      <c r="FP16" s="508"/>
      <c r="FQ16" s="508"/>
      <c r="FR16" s="508"/>
      <c r="FS16" s="508"/>
      <c r="FT16" s="509"/>
      <c r="FU16" s="507"/>
      <c r="FV16" s="508"/>
      <c r="FW16" s="508"/>
      <c r="FX16" s="508"/>
      <c r="FY16" s="508"/>
      <c r="FZ16" s="508"/>
      <c r="GA16" s="509"/>
      <c r="GB16" s="507"/>
      <c r="GC16" s="508"/>
      <c r="GD16" s="508"/>
      <c r="GE16" s="508"/>
      <c r="GF16" s="508"/>
      <c r="GG16" s="508"/>
      <c r="GH16" s="509"/>
      <c r="GI16" s="507"/>
      <c r="GJ16" s="508"/>
      <c r="GK16" s="508"/>
      <c r="GL16" s="508"/>
      <c r="GM16" s="508"/>
      <c r="GN16" s="508"/>
      <c r="GO16" s="509"/>
      <c r="GP16" s="507"/>
      <c r="GQ16" s="508"/>
      <c r="GR16" s="508"/>
      <c r="GS16" s="508"/>
      <c r="GT16" s="508"/>
      <c r="GU16" s="508"/>
      <c r="GV16" s="509"/>
      <c r="GW16" s="507"/>
      <c r="GX16" s="508"/>
      <c r="GY16" s="508"/>
      <c r="GZ16" s="508"/>
      <c r="HA16" s="508"/>
      <c r="HB16" s="508"/>
      <c r="HC16" s="509"/>
      <c r="HD16" s="507"/>
      <c r="HE16" s="508"/>
      <c r="HF16" s="508"/>
      <c r="HG16" s="508"/>
      <c r="HH16" s="508"/>
      <c r="HI16" s="508"/>
      <c r="HJ16" s="509"/>
      <c r="HK16" s="507"/>
      <c r="HL16" s="508"/>
      <c r="HM16" s="508"/>
      <c r="HN16" s="508"/>
      <c r="HO16" s="508"/>
      <c r="HP16" s="508"/>
      <c r="HQ16" s="509"/>
      <c r="HR16" s="507"/>
      <c r="HS16" s="508"/>
      <c r="HT16" s="508"/>
      <c r="HU16" s="508"/>
      <c r="HV16" s="508"/>
      <c r="HW16" s="508"/>
      <c r="HX16" s="509"/>
      <c r="HY16" s="507"/>
      <c r="HZ16" s="508"/>
      <c r="IA16" s="508"/>
      <c r="IB16" s="508"/>
      <c r="IC16" s="508"/>
      <c r="ID16" s="508"/>
      <c r="IE16" s="509"/>
      <c r="IF16" s="507"/>
      <c r="IG16" s="508"/>
      <c r="IH16" s="508"/>
      <c r="II16" s="508"/>
      <c r="IJ16" s="508"/>
      <c r="IK16" s="508"/>
      <c r="IL16" s="509"/>
      <c r="IM16" s="507"/>
      <c r="IN16" s="508"/>
      <c r="IO16" s="508"/>
      <c r="IP16" s="508"/>
      <c r="IQ16" s="508"/>
      <c r="IR16" s="508"/>
      <c r="IS16" s="509"/>
      <c r="IT16" s="507"/>
      <c r="IU16" s="508"/>
      <c r="IV16" s="508"/>
      <c r="IW16" s="508"/>
      <c r="IX16" s="508"/>
      <c r="IY16" s="508"/>
      <c r="IZ16" s="509"/>
      <c r="JA16" s="507"/>
      <c r="JB16" s="508"/>
      <c r="JC16" s="508"/>
      <c r="JD16" s="508"/>
      <c r="JE16" s="508"/>
      <c r="JF16" s="508"/>
      <c r="JG16" s="509"/>
      <c r="JH16" s="507"/>
      <c r="JI16" s="508"/>
      <c r="JJ16" s="508"/>
      <c r="JK16" s="508"/>
      <c r="JL16" s="508"/>
      <c r="JM16" s="508"/>
      <c r="JN16" s="509"/>
      <c r="JO16" s="507"/>
      <c r="JP16" s="508"/>
      <c r="JQ16" s="508"/>
      <c r="JR16" s="508"/>
      <c r="JS16" s="508"/>
      <c r="JT16" s="508"/>
      <c r="JU16" s="509"/>
      <c r="JV16" s="507"/>
      <c r="JW16" s="508"/>
      <c r="JX16" s="508"/>
      <c r="JY16" s="508"/>
      <c r="JZ16" s="508"/>
      <c r="KA16" s="508"/>
      <c r="KB16" s="509"/>
      <c r="KC16" s="507"/>
      <c r="KD16" s="508"/>
      <c r="KE16" s="508"/>
      <c r="KF16" s="508"/>
      <c r="KG16" s="508"/>
      <c r="KH16" s="508"/>
      <c r="KI16" s="509"/>
      <c r="KJ16" s="507"/>
      <c r="KK16" s="508"/>
      <c r="KL16" s="508"/>
      <c r="KM16" s="508"/>
      <c r="KN16" s="508"/>
      <c r="KO16" s="508"/>
      <c r="KP16" s="509"/>
      <c r="KQ16" s="507"/>
      <c r="KR16" s="508"/>
      <c r="KS16" s="508"/>
      <c r="KT16" s="508"/>
      <c r="KU16" s="508"/>
      <c r="KV16" s="508"/>
      <c r="KW16" s="509"/>
      <c r="KX16" s="507"/>
      <c r="KY16" s="508"/>
      <c r="KZ16" s="508"/>
      <c r="LA16" s="508"/>
      <c r="LB16" s="508"/>
      <c r="LC16" s="508"/>
      <c r="LD16" s="509"/>
      <c r="LE16" s="507"/>
      <c r="LF16" s="508"/>
      <c r="LG16" s="508"/>
      <c r="LH16" s="508"/>
      <c r="LI16" s="508"/>
      <c r="LJ16" s="508"/>
      <c r="LK16" s="509"/>
      <c r="LL16" s="507"/>
      <c r="LM16" s="508"/>
      <c r="LN16" s="508"/>
      <c r="LO16" s="508"/>
      <c r="LP16" s="508"/>
      <c r="LQ16" s="508"/>
      <c r="LR16" s="509"/>
      <c r="LS16" s="507"/>
      <c r="LT16" s="508"/>
      <c r="LU16" s="508"/>
      <c r="LV16" s="508"/>
      <c r="LW16" s="508"/>
      <c r="LX16" s="508"/>
      <c r="LY16" s="509"/>
      <c r="LZ16" s="507"/>
      <c r="MA16" s="508"/>
      <c r="MB16" s="508"/>
      <c r="MC16" s="508"/>
      <c r="MD16" s="508"/>
      <c r="ME16" s="508"/>
      <c r="MF16" s="509"/>
      <c r="MG16" s="507"/>
      <c r="MH16" s="508"/>
      <c r="MI16" s="508"/>
      <c r="MJ16" s="508"/>
      <c r="MK16" s="508"/>
      <c r="ML16" s="508"/>
      <c r="MM16" s="509"/>
      <c r="MN16" s="507"/>
      <c r="MO16" s="508"/>
      <c r="MP16" s="508"/>
      <c r="MQ16" s="508"/>
      <c r="MR16" s="508"/>
      <c r="MS16" s="508"/>
      <c r="MT16" s="509"/>
      <c r="MU16" s="507"/>
      <c r="MV16" s="508"/>
      <c r="MW16" s="508"/>
      <c r="MX16" s="508"/>
      <c r="MY16" s="508"/>
      <c r="MZ16" s="508"/>
      <c r="NA16" s="509"/>
      <c r="NB16" s="507"/>
      <c r="NC16" s="508"/>
      <c r="ND16" s="508"/>
      <c r="NE16" s="508"/>
      <c r="NF16" s="508"/>
      <c r="NG16" s="508"/>
      <c r="NH16" s="509"/>
      <c r="NI16" s="507"/>
      <c r="NJ16" s="508"/>
      <c r="NK16" s="508"/>
      <c r="NL16" s="508"/>
      <c r="NM16" s="508"/>
      <c r="NN16" s="508"/>
      <c r="NO16" s="509"/>
      <c r="NP16" s="507"/>
      <c r="NQ16" s="508"/>
      <c r="NR16" s="508"/>
      <c r="NS16" s="508"/>
      <c r="NT16" s="508"/>
      <c r="NU16" s="508"/>
      <c r="NV16" s="509"/>
      <c r="NW16" s="507"/>
      <c r="NX16" s="508"/>
      <c r="NY16" s="508"/>
      <c r="NZ16" s="508"/>
      <c r="OA16" s="508"/>
      <c r="OB16" s="508"/>
      <c r="OC16" s="509"/>
      <c r="OD16" s="507"/>
      <c r="OE16" s="508"/>
      <c r="OF16" s="508"/>
      <c r="OG16" s="508"/>
      <c r="OH16" s="508"/>
      <c r="OI16" s="508"/>
      <c r="OJ16" s="509"/>
      <c r="OK16" s="507"/>
      <c r="OL16" s="508"/>
      <c r="OM16" s="508"/>
      <c r="ON16" s="508"/>
      <c r="OO16" s="508"/>
      <c r="OP16" s="508"/>
      <c r="OQ16" s="509"/>
    </row>
    <row r="17" spans="1:407" s="15" customFormat="1" ht="15" hidden="1" customHeight="1">
      <c r="A17" s="431" t="s">
        <v>445</v>
      </c>
      <c r="B17" s="1788"/>
      <c r="C17" s="1790"/>
      <c r="D17" s="1792"/>
      <c r="E17" s="1792"/>
      <c r="F17" s="1792"/>
      <c r="G17" s="1795"/>
      <c r="H17" s="1796"/>
      <c r="I17" s="1798"/>
      <c r="J17" s="500"/>
      <c r="K17" s="510" t="s">
        <v>446</v>
      </c>
      <c r="L17" s="490">
        <v>1</v>
      </c>
      <c r="M17" s="490"/>
      <c r="N17" s="490"/>
      <c r="O17" s="490">
        <v>1</v>
      </c>
      <c r="P17" s="511"/>
      <c r="Q17" s="1781"/>
      <c r="R17" s="1781"/>
      <c r="S17" s="1781"/>
      <c r="T17" s="1781"/>
      <c r="U17" s="1781"/>
      <c r="V17" s="1782"/>
      <c r="W17" s="511"/>
      <c r="X17" s="1781"/>
      <c r="Y17" s="1781"/>
      <c r="Z17" s="1781"/>
      <c r="AA17" s="1781"/>
      <c r="AB17" s="1781"/>
      <c r="AC17" s="1782"/>
      <c r="AD17" s="511"/>
      <c r="AE17" s="1781"/>
      <c r="AF17" s="1781"/>
      <c r="AG17" s="1781"/>
      <c r="AH17" s="1781"/>
      <c r="AI17" s="1781"/>
      <c r="AJ17" s="1782"/>
      <c r="AK17" s="511"/>
      <c r="AL17" s="1781">
        <v>0</v>
      </c>
      <c r="AM17" s="1781"/>
      <c r="AN17" s="1781"/>
      <c r="AO17" s="1781"/>
      <c r="AP17" s="1781"/>
      <c r="AQ17" s="1782"/>
      <c r="AR17" s="511"/>
      <c r="AS17" s="1781">
        <v>0</v>
      </c>
      <c r="AT17" s="1781"/>
      <c r="AU17" s="1781"/>
      <c r="AV17" s="1781"/>
      <c r="AW17" s="1781"/>
      <c r="AX17" s="1782"/>
      <c r="AY17" s="511"/>
      <c r="AZ17" s="1781">
        <v>0</v>
      </c>
      <c r="BA17" s="1781"/>
      <c r="BB17" s="1781"/>
      <c r="BC17" s="1781"/>
      <c r="BD17" s="1781"/>
      <c r="BE17" s="1782"/>
      <c r="BF17" s="511"/>
      <c r="BG17" s="1781">
        <v>0</v>
      </c>
      <c r="BH17" s="1781"/>
      <c r="BI17" s="1781"/>
      <c r="BJ17" s="1781"/>
      <c r="BK17" s="1781"/>
      <c r="BL17" s="1782"/>
      <c r="BM17" s="511"/>
      <c r="BN17" s="1781">
        <v>0</v>
      </c>
      <c r="BO17" s="1781"/>
      <c r="BP17" s="1781"/>
      <c r="BQ17" s="1781"/>
      <c r="BR17" s="1781"/>
      <c r="BS17" s="1782"/>
      <c r="BT17" s="511"/>
      <c r="BU17" s="1781">
        <v>0</v>
      </c>
      <c r="BV17" s="1781"/>
      <c r="BW17" s="1781"/>
      <c r="BX17" s="1781"/>
      <c r="BY17" s="1781"/>
      <c r="BZ17" s="1782"/>
      <c r="CA17" s="511"/>
      <c r="CB17" s="1781">
        <v>0</v>
      </c>
      <c r="CC17" s="1781"/>
      <c r="CD17" s="1781"/>
      <c r="CE17" s="1781"/>
      <c r="CF17" s="1781"/>
      <c r="CG17" s="1782"/>
      <c r="CH17" s="511"/>
      <c r="CI17" s="1781">
        <v>0</v>
      </c>
      <c r="CJ17" s="1781"/>
      <c r="CK17" s="1781"/>
      <c r="CL17" s="1781"/>
      <c r="CM17" s="1781"/>
      <c r="CN17" s="1782"/>
      <c r="CO17" s="511"/>
      <c r="CP17" s="1781">
        <v>0</v>
      </c>
      <c r="CQ17" s="1781"/>
      <c r="CR17" s="1781"/>
      <c r="CS17" s="1781"/>
      <c r="CT17" s="1781"/>
      <c r="CU17" s="1782"/>
      <c r="CV17" s="511"/>
      <c r="CW17" s="1781">
        <v>0</v>
      </c>
      <c r="CX17" s="1781"/>
      <c r="CY17" s="1781"/>
      <c r="CZ17" s="1781"/>
      <c r="DA17" s="1781"/>
      <c r="DB17" s="1782"/>
      <c r="DC17" s="511"/>
      <c r="DD17" s="1781">
        <v>0</v>
      </c>
      <c r="DE17" s="1781"/>
      <c r="DF17" s="1781"/>
      <c r="DG17" s="1781"/>
      <c r="DH17" s="1781"/>
      <c r="DI17" s="1782"/>
      <c r="DJ17" s="511"/>
      <c r="DK17" s="1781">
        <v>0</v>
      </c>
      <c r="DL17" s="1781"/>
      <c r="DM17" s="1781"/>
      <c r="DN17" s="1781"/>
      <c r="DO17" s="1781"/>
      <c r="DP17" s="1782"/>
      <c r="DQ17" s="511"/>
      <c r="DR17" s="1781">
        <v>0</v>
      </c>
      <c r="DS17" s="1781"/>
      <c r="DT17" s="1781"/>
      <c r="DU17" s="1781"/>
      <c r="DV17" s="1781"/>
      <c r="DW17" s="1782"/>
      <c r="DX17" s="511"/>
      <c r="DY17" s="1781">
        <v>0</v>
      </c>
      <c r="DZ17" s="1781"/>
      <c r="EA17" s="1781"/>
      <c r="EB17" s="1781"/>
      <c r="EC17" s="1781"/>
      <c r="ED17" s="1782"/>
      <c r="EE17" s="511"/>
      <c r="EF17" s="1781">
        <v>0</v>
      </c>
      <c r="EG17" s="1781"/>
      <c r="EH17" s="1781"/>
      <c r="EI17" s="1781"/>
      <c r="EJ17" s="1781"/>
      <c r="EK17" s="1782"/>
      <c r="EL17" s="511"/>
      <c r="EM17" s="1781">
        <v>0</v>
      </c>
      <c r="EN17" s="1781"/>
      <c r="EO17" s="1781"/>
      <c r="EP17" s="1781"/>
      <c r="EQ17" s="1781"/>
      <c r="ER17" s="1782"/>
      <c r="ES17" s="511"/>
      <c r="ET17" s="1781">
        <v>0</v>
      </c>
      <c r="EU17" s="1781"/>
      <c r="EV17" s="1781"/>
      <c r="EW17" s="1781"/>
      <c r="EX17" s="1781"/>
      <c r="EY17" s="1782"/>
      <c r="EZ17" s="511"/>
      <c r="FA17" s="1781">
        <v>0</v>
      </c>
      <c r="FB17" s="1781"/>
      <c r="FC17" s="1781"/>
      <c r="FD17" s="1781"/>
      <c r="FE17" s="1781"/>
      <c r="FF17" s="1782"/>
      <c r="FG17" s="511"/>
      <c r="FH17" s="1781">
        <v>0</v>
      </c>
      <c r="FI17" s="1781"/>
      <c r="FJ17" s="1781"/>
      <c r="FK17" s="1781"/>
      <c r="FL17" s="1781"/>
      <c r="FM17" s="1782"/>
      <c r="FN17" s="511"/>
      <c r="FO17" s="1781">
        <v>0</v>
      </c>
      <c r="FP17" s="1781"/>
      <c r="FQ17" s="1781"/>
      <c r="FR17" s="1781"/>
      <c r="FS17" s="1781"/>
      <c r="FT17" s="1782"/>
      <c r="FU17" s="511"/>
      <c r="FV17" s="1781">
        <v>0</v>
      </c>
      <c r="FW17" s="1781"/>
      <c r="FX17" s="1781"/>
      <c r="FY17" s="1781"/>
      <c r="FZ17" s="1781"/>
      <c r="GA17" s="1782"/>
      <c r="GB17" s="511"/>
      <c r="GC17" s="1781">
        <v>0</v>
      </c>
      <c r="GD17" s="1781"/>
      <c r="GE17" s="1781"/>
      <c r="GF17" s="1781"/>
      <c r="GG17" s="1781"/>
      <c r="GH17" s="1782"/>
      <c r="GI17" s="511"/>
      <c r="GJ17" s="1781">
        <v>0</v>
      </c>
      <c r="GK17" s="1781"/>
      <c r="GL17" s="1781"/>
      <c r="GM17" s="1781"/>
      <c r="GN17" s="1781"/>
      <c r="GO17" s="1782"/>
      <c r="GP17" s="511"/>
      <c r="GQ17" s="1781">
        <v>0</v>
      </c>
      <c r="GR17" s="1781"/>
      <c r="GS17" s="1781"/>
      <c r="GT17" s="1781"/>
      <c r="GU17" s="1781"/>
      <c r="GV17" s="1782"/>
      <c r="GW17" s="511"/>
      <c r="GX17" s="1781">
        <v>0</v>
      </c>
      <c r="GY17" s="1781"/>
      <c r="GZ17" s="1781"/>
      <c r="HA17" s="1781"/>
      <c r="HB17" s="1781"/>
      <c r="HC17" s="1782"/>
      <c r="HD17" s="511"/>
      <c r="HE17" s="1781">
        <v>0</v>
      </c>
      <c r="HF17" s="1781"/>
      <c r="HG17" s="1781"/>
      <c r="HH17" s="1781"/>
      <c r="HI17" s="1781"/>
      <c r="HJ17" s="1782"/>
      <c r="HK17" s="511"/>
      <c r="HL17" s="1781">
        <v>0</v>
      </c>
      <c r="HM17" s="1781"/>
      <c r="HN17" s="1781"/>
      <c r="HO17" s="1781"/>
      <c r="HP17" s="1781"/>
      <c r="HQ17" s="1782"/>
      <c r="HR17" s="511"/>
      <c r="HS17" s="1781">
        <v>0</v>
      </c>
      <c r="HT17" s="1781"/>
      <c r="HU17" s="1781"/>
      <c r="HV17" s="1781"/>
      <c r="HW17" s="1781"/>
      <c r="HX17" s="1782"/>
      <c r="HY17" s="511"/>
      <c r="HZ17" s="1781">
        <v>0</v>
      </c>
      <c r="IA17" s="1781"/>
      <c r="IB17" s="1781"/>
      <c r="IC17" s="1781"/>
      <c r="ID17" s="1781"/>
      <c r="IE17" s="1782"/>
      <c r="IF17" s="511"/>
      <c r="IG17" s="1781">
        <v>0</v>
      </c>
      <c r="IH17" s="1781"/>
      <c r="II17" s="1781"/>
      <c r="IJ17" s="1781"/>
      <c r="IK17" s="1781"/>
      <c r="IL17" s="1782"/>
      <c r="IM17" s="511"/>
      <c r="IN17" s="1781">
        <v>0</v>
      </c>
      <c r="IO17" s="1781"/>
      <c r="IP17" s="1781"/>
      <c r="IQ17" s="1781"/>
      <c r="IR17" s="1781"/>
      <c r="IS17" s="1782"/>
      <c r="IT17" s="511"/>
      <c r="IU17" s="1781">
        <v>0</v>
      </c>
      <c r="IV17" s="1781"/>
      <c r="IW17" s="1781"/>
      <c r="IX17" s="1781"/>
      <c r="IY17" s="1781"/>
      <c r="IZ17" s="1782"/>
      <c r="JA17" s="511"/>
      <c r="JB17" s="1781">
        <v>0</v>
      </c>
      <c r="JC17" s="1781"/>
      <c r="JD17" s="1781"/>
      <c r="JE17" s="1781"/>
      <c r="JF17" s="1781"/>
      <c r="JG17" s="1782"/>
      <c r="JH17" s="511"/>
      <c r="JI17" s="1781">
        <v>0</v>
      </c>
      <c r="JJ17" s="1781"/>
      <c r="JK17" s="1781"/>
      <c r="JL17" s="1781"/>
      <c r="JM17" s="1781"/>
      <c r="JN17" s="1782"/>
      <c r="JO17" s="511"/>
      <c r="JP17" s="1781">
        <v>0</v>
      </c>
      <c r="JQ17" s="1781"/>
      <c r="JR17" s="1781"/>
      <c r="JS17" s="1781"/>
      <c r="JT17" s="1781"/>
      <c r="JU17" s="1782"/>
      <c r="JV17" s="511"/>
      <c r="JW17" s="1781">
        <v>0</v>
      </c>
      <c r="JX17" s="1781"/>
      <c r="JY17" s="1781"/>
      <c r="JZ17" s="1781"/>
      <c r="KA17" s="1781"/>
      <c r="KB17" s="1782"/>
      <c r="KC17" s="511"/>
      <c r="KD17" s="1781">
        <v>0</v>
      </c>
      <c r="KE17" s="1781"/>
      <c r="KF17" s="1781"/>
      <c r="KG17" s="1781"/>
      <c r="KH17" s="1781"/>
      <c r="KI17" s="1782"/>
      <c r="KJ17" s="511"/>
      <c r="KK17" s="1781">
        <v>0</v>
      </c>
      <c r="KL17" s="1781"/>
      <c r="KM17" s="1781"/>
      <c r="KN17" s="1781"/>
      <c r="KO17" s="1781"/>
      <c r="KP17" s="1782"/>
      <c r="KQ17" s="511"/>
      <c r="KR17" s="1781">
        <v>0</v>
      </c>
      <c r="KS17" s="1781"/>
      <c r="KT17" s="1781"/>
      <c r="KU17" s="1781"/>
      <c r="KV17" s="1781"/>
      <c r="KW17" s="1782"/>
      <c r="KX17" s="511"/>
      <c r="KY17" s="1781">
        <v>0</v>
      </c>
      <c r="KZ17" s="1781"/>
      <c r="LA17" s="1781"/>
      <c r="LB17" s="1781"/>
      <c r="LC17" s="1781"/>
      <c r="LD17" s="1782"/>
      <c r="LE17" s="511"/>
      <c r="LF17" s="1781">
        <v>0</v>
      </c>
      <c r="LG17" s="1781"/>
      <c r="LH17" s="1781"/>
      <c r="LI17" s="1781"/>
      <c r="LJ17" s="1781"/>
      <c r="LK17" s="1782"/>
      <c r="LL17" s="511"/>
      <c r="LM17" s="1781">
        <v>0</v>
      </c>
      <c r="LN17" s="1781"/>
      <c r="LO17" s="1781"/>
      <c r="LP17" s="1781"/>
      <c r="LQ17" s="1781"/>
      <c r="LR17" s="1782"/>
      <c r="LS17" s="511"/>
      <c r="LT17" s="1781">
        <v>0</v>
      </c>
      <c r="LU17" s="1781"/>
      <c r="LV17" s="1781"/>
      <c r="LW17" s="1781"/>
      <c r="LX17" s="1781"/>
      <c r="LY17" s="1782"/>
      <c r="LZ17" s="511"/>
      <c r="MA17" s="1781">
        <v>0</v>
      </c>
      <c r="MB17" s="1781"/>
      <c r="MC17" s="1781"/>
      <c r="MD17" s="1781"/>
      <c r="ME17" s="1781"/>
      <c r="MF17" s="1782"/>
      <c r="MG17" s="511"/>
      <c r="MH17" s="1781">
        <v>0</v>
      </c>
      <c r="MI17" s="1781"/>
      <c r="MJ17" s="1781"/>
      <c r="MK17" s="1781"/>
      <c r="ML17" s="1781"/>
      <c r="MM17" s="1782"/>
      <c r="MN17" s="511"/>
      <c r="MO17" s="1781">
        <v>0</v>
      </c>
      <c r="MP17" s="1781"/>
      <c r="MQ17" s="1781"/>
      <c r="MR17" s="1781"/>
      <c r="MS17" s="1781"/>
      <c r="MT17" s="1782"/>
      <c r="MU17" s="511"/>
      <c r="MV17" s="1781">
        <v>0</v>
      </c>
      <c r="MW17" s="1781"/>
      <c r="MX17" s="1781"/>
      <c r="MY17" s="1781"/>
      <c r="MZ17" s="1781"/>
      <c r="NA17" s="1782"/>
      <c r="NB17" s="511"/>
      <c r="NC17" s="1781">
        <v>0</v>
      </c>
      <c r="ND17" s="1781"/>
      <c r="NE17" s="1781"/>
      <c r="NF17" s="1781"/>
      <c r="NG17" s="1781"/>
      <c r="NH17" s="1782"/>
      <c r="NI17" s="511"/>
      <c r="NJ17" s="1781">
        <v>0</v>
      </c>
      <c r="NK17" s="1781"/>
      <c r="NL17" s="1781"/>
      <c r="NM17" s="1781"/>
      <c r="NN17" s="1781"/>
      <c r="NO17" s="1782"/>
      <c r="NP17" s="511"/>
      <c r="NQ17" s="1781">
        <v>0</v>
      </c>
      <c r="NR17" s="1781"/>
      <c r="NS17" s="1781"/>
      <c r="NT17" s="1781"/>
      <c r="NU17" s="1781"/>
      <c r="NV17" s="1782"/>
      <c r="NW17" s="511"/>
      <c r="NX17" s="1781">
        <v>0</v>
      </c>
      <c r="NY17" s="1781"/>
      <c r="NZ17" s="1781"/>
      <c r="OA17" s="1781"/>
      <c r="OB17" s="1781"/>
      <c r="OC17" s="1782"/>
      <c r="OD17" s="511"/>
      <c r="OE17" s="1781">
        <v>0</v>
      </c>
      <c r="OF17" s="1781"/>
      <c r="OG17" s="1781"/>
      <c r="OH17" s="1781"/>
      <c r="OI17" s="1781"/>
      <c r="OJ17" s="1782"/>
      <c r="OK17" s="511"/>
      <c r="OL17" s="1781">
        <v>0</v>
      </c>
      <c r="OM17" s="1781"/>
      <c r="ON17" s="1781"/>
      <c r="OO17" s="1781"/>
      <c r="OP17" s="1781"/>
      <c r="OQ17" s="1782"/>
    </row>
    <row r="18" spans="1:407" s="15" customFormat="1" ht="15" hidden="1" customHeight="1">
      <c r="A18" s="431"/>
      <c r="B18" s="1788"/>
      <c r="C18" s="1790"/>
      <c r="D18" s="1792"/>
      <c r="E18" s="1792"/>
      <c r="F18" s="1792"/>
      <c r="G18" s="1795"/>
      <c r="H18" s="1796"/>
      <c r="I18" s="1798"/>
      <c r="J18" s="500"/>
      <c r="K18" s="512" t="s">
        <v>158</v>
      </c>
      <c r="L18" s="513">
        <v>0</v>
      </c>
      <c r="M18" s="490"/>
      <c r="N18" s="490"/>
      <c r="O18" s="490"/>
      <c r="P18" s="514"/>
      <c r="Q18" s="1779">
        <v>0</v>
      </c>
      <c r="R18" s="1779"/>
      <c r="S18" s="1779"/>
      <c r="T18" s="1779"/>
      <c r="U18" s="1779"/>
      <c r="V18" s="1780"/>
      <c r="W18" s="514"/>
      <c r="X18" s="1779">
        <v>0</v>
      </c>
      <c r="Y18" s="1779"/>
      <c r="Z18" s="1779"/>
      <c r="AA18" s="1779"/>
      <c r="AB18" s="1779"/>
      <c r="AC18" s="1780"/>
      <c r="AD18" s="514"/>
      <c r="AE18" s="1779">
        <v>0</v>
      </c>
      <c r="AF18" s="1779"/>
      <c r="AG18" s="1779"/>
      <c r="AH18" s="1779"/>
      <c r="AI18" s="1779"/>
      <c r="AJ18" s="1780"/>
      <c r="AK18" s="514"/>
      <c r="AL18" s="1779">
        <v>0</v>
      </c>
      <c r="AM18" s="1779"/>
      <c r="AN18" s="1779"/>
      <c r="AO18" s="1779"/>
      <c r="AP18" s="1779"/>
      <c r="AQ18" s="1780"/>
      <c r="AR18" s="514"/>
      <c r="AS18" s="1779">
        <v>0</v>
      </c>
      <c r="AT18" s="1779"/>
      <c r="AU18" s="1779"/>
      <c r="AV18" s="1779"/>
      <c r="AW18" s="1779"/>
      <c r="AX18" s="1780"/>
      <c r="AY18" s="514"/>
      <c r="AZ18" s="1779">
        <v>0</v>
      </c>
      <c r="BA18" s="1779"/>
      <c r="BB18" s="1779"/>
      <c r="BC18" s="1779"/>
      <c r="BD18" s="1779"/>
      <c r="BE18" s="1780"/>
      <c r="BF18" s="514"/>
      <c r="BG18" s="1779">
        <v>0</v>
      </c>
      <c r="BH18" s="1779"/>
      <c r="BI18" s="1779"/>
      <c r="BJ18" s="1779"/>
      <c r="BK18" s="1779"/>
      <c r="BL18" s="1780"/>
      <c r="BM18" s="514"/>
      <c r="BN18" s="1779">
        <v>0</v>
      </c>
      <c r="BO18" s="1779"/>
      <c r="BP18" s="1779"/>
      <c r="BQ18" s="1779"/>
      <c r="BR18" s="1779"/>
      <c r="BS18" s="1780"/>
      <c r="BT18" s="514"/>
      <c r="BU18" s="1779">
        <v>0</v>
      </c>
      <c r="BV18" s="1779"/>
      <c r="BW18" s="1779"/>
      <c r="BX18" s="1779"/>
      <c r="BY18" s="1779"/>
      <c r="BZ18" s="1780"/>
      <c r="CA18" s="514"/>
      <c r="CB18" s="1779">
        <v>0</v>
      </c>
      <c r="CC18" s="1779"/>
      <c r="CD18" s="1779"/>
      <c r="CE18" s="1779"/>
      <c r="CF18" s="1779"/>
      <c r="CG18" s="1780"/>
      <c r="CH18" s="514"/>
      <c r="CI18" s="1779">
        <v>0</v>
      </c>
      <c r="CJ18" s="1779"/>
      <c r="CK18" s="1779"/>
      <c r="CL18" s="1779"/>
      <c r="CM18" s="1779"/>
      <c r="CN18" s="1780"/>
      <c r="CO18" s="514"/>
      <c r="CP18" s="1779">
        <v>0</v>
      </c>
      <c r="CQ18" s="1779"/>
      <c r="CR18" s="1779"/>
      <c r="CS18" s="1779"/>
      <c r="CT18" s="1779"/>
      <c r="CU18" s="1780"/>
      <c r="CV18" s="514"/>
      <c r="CW18" s="1779">
        <v>0</v>
      </c>
      <c r="CX18" s="1779"/>
      <c r="CY18" s="1779"/>
      <c r="CZ18" s="1779"/>
      <c r="DA18" s="1779"/>
      <c r="DB18" s="1780"/>
      <c r="DC18" s="514"/>
      <c r="DD18" s="1779">
        <v>0</v>
      </c>
      <c r="DE18" s="1779"/>
      <c r="DF18" s="1779"/>
      <c r="DG18" s="1779"/>
      <c r="DH18" s="1779"/>
      <c r="DI18" s="1780"/>
      <c r="DJ18" s="514"/>
      <c r="DK18" s="1779">
        <v>0</v>
      </c>
      <c r="DL18" s="1779"/>
      <c r="DM18" s="1779"/>
      <c r="DN18" s="1779"/>
      <c r="DO18" s="1779"/>
      <c r="DP18" s="1780"/>
      <c r="DQ18" s="514"/>
      <c r="DR18" s="1779">
        <v>0</v>
      </c>
      <c r="DS18" s="1779"/>
      <c r="DT18" s="1779"/>
      <c r="DU18" s="1779"/>
      <c r="DV18" s="1779"/>
      <c r="DW18" s="1780"/>
      <c r="DX18" s="514"/>
      <c r="DY18" s="1779">
        <v>0</v>
      </c>
      <c r="DZ18" s="1779"/>
      <c r="EA18" s="1779"/>
      <c r="EB18" s="1779"/>
      <c r="EC18" s="1779"/>
      <c r="ED18" s="1780"/>
      <c r="EE18" s="514"/>
      <c r="EF18" s="1779">
        <v>0</v>
      </c>
      <c r="EG18" s="1779"/>
      <c r="EH18" s="1779"/>
      <c r="EI18" s="1779"/>
      <c r="EJ18" s="1779"/>
      <c r="EK18" s="1780"/>
      <c r="EL18" s="514"/>
      <c r="EM18" s="1779">
        <v>0</v>
      </c>
      <c r="EN18" s="1779"/>
      <c r="EO18" s="1779"/>
      <c r="EP18" s="1779"/>
      <c r="EQ18" s="1779"/>
      <c r="ER18" s="1780"/>
      <c r="ES18" s="514"/>
      <c r="ET18" s="1779">
        <v>0</v>
      </c>
      <c r="EU18" s="1779"/>
      <c r="EV18" s="1779"/>
      <c r="EW18" s="1779"/>
      <c r="EX18" s="1779"/>
      <c r="EY18" s="1780"/>
      <c r="EZ18" s="514"/>
      <c r="FA18" s="1779">
        <v>0</v>
      </c>
      <c r="FB18" s="1779"/>
      <c r="FC18" s="1779"/>
      <c r="FD18" s="1779"/>
      <c r="FE18" s="1779"/>
      <c r="FF18" s="1780"/>
      <c r="FG18" s="514"/>
      <c r="FH18" s="1779">
        <v>0</v>
      </c>
      <c r="FI18" s="1779"/>
      <c r="FJ18" s="1779"/>
      <c r="FK18" s="1779"/>
      <c r="FL18" s="1779"/>
      <c r="FM18" s="1780"/>
      <c r="FN18" s="514"/>
      <c r="FO18" s="1779">
        <v>0</v>
      </c>
      <c r="FP18" s="1779"/>
      <c r="FQ18" s="1779"/>
      <c r="FR18" s="1779"/>
      <c r="FS18" s="1779"/>
      <c r="FT18" s="1780"/>
      <c r="FU18" s="514"/>
      <c r="FV18" s="1779">
        <v>0</v>
      </c>
      <c r="FW18" s="1779"/>
      <c r="FX18" s="1779"/>
      <c r="FY18" s="1779"/>
      <c r="FZ18" s="1779"/>
      <c r="GA18" s="1780"/>
      <c r="GB18" s="514"/>
      <c r="GC18" s="1779">
        <v>0</v>
      </c>
      <c r="GD18" s="1779"/>
      <c r="GE18" s="1779"/>
      <c r="GF18" s="1779"/>
      <c r="GG18" s="1779"/>
      <c r="GH18" s="1780"/>
      <c r="GI18" s="514"/>
      <c r="GJ18" s="1779">
        <v>0</v>
      </c>
      <c r="GK18" s="1779"/>
      <c r="GL18" s="1779"/>
      <c r="GM18" s="1779"/>
      <c r="GN18" s="1779"/>
      <c r="GO18" s="1780"/>
      <c r="GP18" s="514"/>
      <c r="GQ18" s="1779">
        <v>0</v>
      </c>
      <c r="GR18" s="1779"/>
      <c r="GS18" s="1779"/>
      <c r="GT18" s="1779"/>
      <c r="GU18" s="1779"/>
      <c r="GV18" s="1780"/>
      <c r="GW18" s="514"/>
      <c r="GX18" s="1779">
        <v>0</v>
      </c>
      <c r="GY18" s="1779"/>
      <c r="GZ18" s="1779"/>
      <c r="HA18" s="1779"/>
      <c r="HB18" s="1779"/>
      <c r="HC18" s="1780"/>
      <c r="HD18" s="514"/>
      <c r="HE18" s="1779">
        <v>0</v>
      </c>
      <c r="HF18" s="1779"/>
      <c r="HG18" s="1779"/>
      <c r="HH18" s="1779"/>
      <c r="HI18" s="1779"/>
      <c r="HJ18" s="1780"/>
      <c r="HK18" s="514"/>
      <c r="HL18" s="1779">
        <v>0</v>
      </c>
      <c r="HM18" s="1779"/>
      <c r="HN18" s="1779"/>
      <c r="HO18" s="1779"/>
      <c r="HP18" s="1779"/>
      <c r="HQ18" s="1780"/>
      <c r="HR18" s="514"/>
      <c r="HS18" s="1779">
        <v>0</v>
      </c>
      <c r="HT18" s="1779"/>
      <c r="HU18" s="1779"/>
      <c r="HV18" s="1779"/>
      <c r="HW18" s="1779"/>
      <c r="HX18" s="1780"/>
      <c r="HY18" s="514"/>
      <c r="HZ18" s="1779">
        <v>0</v>
      </c>
      <c r="IA18" s="1779"/>
      <c r="IB18" s="1779"/>
      <c r="IC18" s="1779"/>
      <c r="ID18" s="1779"/>
      <c r="IE18" s="1780"/>
      <c r="IF18" s="514"/>
      <c r="IG18" s="1779">
        <v>0</v>
      </c>
      <c r="IH18" s="1779"/>
      <c r="II18" s="1779"/>
      <c r="IJ18" s="1779"/>
      <c r="IK18" s="1779"/>
      <c r="IL18" s="1780"/>
      <c r="IM18" s="514"/>
      <c r="IN18" s="1779">
        <v>0</v>
      </c>
      <c r="IO18" s="1779"/>
      <c r="IP18" s="1779"/>
      <c r="IQ18" s="1779"/>
      <c r="IR18" s="1779"/>
      <c r="IS18" s="1780"/>
      <c r="IT18" s="514"/>
      <c r="IU18" s="1779">
        <v>0</v>
      </c>
      <c r="IV18" s="1779"/>
      <c r="IW18" s="1779"/>
      <c r="IX18" s="1779"/>
      <c r="IY18" s="1779"/>
      <c r="IZ18" s="1780"/>
      <c r="JA18" s="514"/>
      <c r="JB18" s="1779">
        <v>0</v>
      </c>
      <c r="JC18" s="1779"/>
      <c r="JD18" s="1779"/>
      <c r="JE18" s="1779"/>
      <c r="JF18" s="1779"/>
      <c r="JG18" s="1780"/>
      <c r="JH18" s="514"/>
      <c r="JI18" s="1779">
        <v>0</v>
      </c>
      <c r="JJ18" s="1779"/>
      <c r="JK18" s="1779"/>
      <c r="JL18" s="1779"/>
      <c r="JM18" s="1779"/>
      <c r="JN18" s="1780"/>
      <c r="JO18" s="514"/>
      <c r="JP18" s="1779">
        <v>0</v>
      </c>
      <c r="JQ18" s="1779"/>
      <c r="JR18" s="1779"/>
      <c r="JS18" s="1779"/>
      <c r="JT18" s="1779"/>
      <c r="JU18" s="1780"/>
      <c r="JV18" s="514"/>
      <c r="JW18" s="1779">
        <v>0</v>
      </c>
      <c r="JX18" s="1779"/>
      <c r="JY18" s="1779"/>
      <c r="JZ18" s="1779"/>
      <c r="KA18" s="1779"/>
      <c r="KB18" s="1780"/>
      <c r="KC18" s="514"/>
      <c r="KD18" s="1779">
        <v>0</v>
      </c>
      <c r="KE18" s="1779"/>
      <c r="KF18" s="1779"/>
      <c r="KG18" s="1779"/>
      <c r="KH18" s="1779"/>
      <c r="KI18" s="1780"/>
      <c r="KJ18" s="514"/>
      <c r="KK18" s="1779">
        <v>0</v>
      </c>
      <c r="KL18" s="1779"/>
      <c r="KM18" s="1779"/>
      <c r="KN18" s="1779"/>
      <c r="KO18" s="1779"/>
      <c r="KP18" s="1780"/>
      <c r="KQ18" s="514"/>
      <c r="KR18" s="1779">
        <v>0</v>
      </c>
      <c r="KS18" s="1779"/>
      <c r="KT18" s="1779"/>
      <c r="KU18" s="1779"/>
      <c r="KV18" s="1779"/>
      <c r="KW18" s="1780"/>
      <c r="KX18" s="514"/>
      <c r="KY18" s="1779">
        <v>0</v>
      </c>
      <c r="KZ18" s="1779"/>
      <c r="LA18" s="1779"/>
      <c r="LB18" s="1779"/>
      <c r="LC18" s="1779"/>
      <c r="LD18" s="1780"/>
      <c r="LE18" s="514"/>
      <c r="LF18" s="1779">
        <v>0</v>
      </c>
      <c r="LG18" s="1779"/>
      <c r="LH18" s="1779"/>
      <c r="LI18" s="1779"/>
      <c r="LJ18" s="1779"/>
      <c r="LK18" s="1780"/>
      <c r="LL18" s="514"/>
      <c r="LM18" s="1779">
        <v>0</v>
      </c>
      <c r="LN18" s="1779"/>
      <c r="LO18" s="1779"/>
      <c r="LP18" s="1779"/>
      <c r="LQ18" s="1779"/>
      <c r="LR18" s="1780"/>
      <c r="LS18" s="514"/>
      <c r="LT18" s="1779">
        <v>0</v>
      </c>
      <c r="LU18" s="1779"/>
      <c r="LV18" s="1779"/>
      <c r="LW18" s="1779"/>
      <c r="LX18" s="1779"/>
      <c r="LY18" s="1780"/>
      <c r="LZ18" s="514"/>
      <c r="MA18" s="1779">
        <v>0</v>
      </c>
      <c r="MB18" s="1779"/>
      <c r="MC18" s="1779"/>
      <c r="MD18" s="1779"/>
      <c r="ME18" s="1779"/>
      <c r="MF18" s="1780"/>
      <c r="MG18" s="514"/>
      <c r="MH18" s="1779">
        <v>0</v>
      </c>
      <c r="MI18" s="1779"/>
      <c r="MJ18" s="1779"/>
      <c r="MK18" s="1779"/>
      <c r="ML18" s="1779"/>
      <c r="MM18" s="1780"/>
      <c r="MN18" s="514"/>
      <c r="MO18" s="1779">
        <v>0</v>
      </c>
      <c r="MP18" s="1779"/>
      <c r="MQ18" s="1779"/>
      <c r="MR18" s="1779"/>
      <c r="MS18" s="1779"/>
      <c r="MT18" s="1780"/>
      <c r="MU18" s="514"/>
      <c r="MV18" s="1779">
        <v>0</v>
      </c>
      <c r="MW18" s="1779"/>
      <c r="MX18" s="1779"/>
      <c r="MY18" s="1779"/>
      <c r="MZ18" s="1779"/>
      <c r="NA18" s="1780"/>
      <c r="NB18" s="514"/>
      <c r="NC18" s="1779">
        <v>0</v>
      </c>
      <c r="ND18" s="1779"/>
      <c r="NE18" s="1779"/>
      <c r="NF18" s="1779"/>
      <c r="NG18" s="1779"/>
      <c r="NH18" s="1780"/>
      <c r="NI18" s="514"/>
      <c r="NJ18" s="1779">
        <v>0</v>
      </c>
      <c r="NK18" s="1779"/>
      <c r="NL18" s="1779"/>
      <c r="NM18" s="1779"/>
      <c r="NN18" s="1779"/>
      <c r="NO18" s="1780"/>
      <c r="NP18" s="514"/>
      <c r="NQ18" s="1779">
        <v>0</v>
      </c>
      <c r="NR18" s="1779"/>
      <c r="NS18" s="1779"/>
      <c r="NT18" s="1779"/>
      <c r="NU18" s="1779"/>
      <c r="NV18" s="1780"/>
      <c r="NW18" s="514"/>
      <c r="NX18" s="1779">
        <v>0</v>
      </c>
      <c r="NY18" s="1779"/>
      <c r="NZ18" s="1779"/>
      <c r="OA18" s="1779"/>
      <c r="OB18" s="1779"/>
      <c r="OC18" s="1780"/>
      <c r="OD18" s="514"/>
      <c r="OE18" s="1779">
        <v>0</v>
      </c>
      <c r="OF18" s="1779"/>
      <c r="OG18" s="1779"/>
      <c r="OH18" s="1779"/>
      <c r="OI18" s="1779"/>
      <c r="OJ18" s="1780"/>
      <c r="OK18" s="514"/>
      <c r="OL18" s="1779">
        <v>0</v>
      </c>
      <c r="OM18" s="1779"/>
      <c r="ON18" s="1779"/>
      <c r="OO18" s="1779"/>
      <c r="OP18" s="1779"/>
      <c r="OQ18" s="1780"/>
    </row>
    <row r="19" spans="1:407" s="15" customFormat="1" ht="15" hidden="1" customHeight="1">
      <c r="A19" s="431" t="s">
        <v>447</v>
      </c>
      <c r="B19" s="1788"/>
      <c r="C19" s="1790"/>
      <c r="D19" s="1792"/>
      <c r="E19" s="1792"/>
      <c r="F19" s="1792"/>
      <c r="G19" s="1795"/>
      <c r="H19" s="1796"/>
      <c r="I19" s="1798"/>
      <c r="J19" s="500"/>
      <c r="K19" s="515" t="s">
        <v>448</v>
      </c>
      <c r="L19" s="490">
        <v>0</v>
      </c>
      <c r="M19" s="490"/>
      <c r="N19" s="490"/>
      <c r="O19" s="490"/>
      <c r="P19" s="516"/>
      <c r="Q19" s="1777">
        <v>0</v>
      </c>
      <c r="R19" s="1777"/>
      <c r="S19" s="1777"/>
      <c r="T19" s="1777"/>
      <c r="U19" s="1777"/>
      <c r="V19" s="1778"/>
      <c r="W19" s="516"/>
      <c r="X19" s="1777">
        <v>0</v>
      </c>
      <c r="Y19" s="1777"/>
      <c r="Z19" s="1777"/>
      <c r="AA19" s="1777"/>
      <c r="AB19" s="1777"/>
      <c r="AC19" s="1778"/>
      <c r="AD19" s="516"/>
      <c r="AE19" s="1777">
        <v>0</v>
      </c>
      <c r="AF19" s="1777"/>
      <c r="AG19" s="1777"/>
      <c r="AH19" s="1777"/>
      <c r="AI19" s="1777"/>
      <c r="AJ19" s="1778"/>
      <c r="AK19" s="516"/>
      <c r="AL19" s="1777">
        <v>0</v>
      </c>
      <c r="AM19" s="1777"/>
      <c r="AN19" s="1777"/>
      <c r="AO19" s="1777"/>
      <c r="AP19" s="1777"/>
      <c r="AQ19" s="1778"/>
      <c r="AR19" s="516"/>
      <c r="AS19" s="1777">
        <v>0</v>
      </c>
      <c r="AT19" s="1777"/>
      <c r="AU19" s="1777"/>
      <c r="AV19" s="1777"/>
      <c r="AW19" s="1777"/>
      <c r="AX19" s="1778"/>
      <c r="AY19" s="516"/>
      <c r="AZ19" s="1777">
        <v>0</v>
      </c>
      <c r="BA19" s="1777"/>
      <c r="BB19" s="1777"/>
      <c r="BC19" s="1777"/>
      <c r="BD19" s="1777"/>
      <c r="BE19" s="1778"/>
      <c r="BF19" s="516"/>
      <c r="BG19" s="1777">
        <v>0</v>
      </c>
      <c r="BH19" s="1777"/>
      <c r="BI19" s="1777"/>
      <c r="BJ19" s="1777"/>
      <c r="BK19" s="1777"/>
      <c r="BL19" s="1778"/>
      <c r="BM19" s="516"/>
      <c r="BN19" s="1777">
        <v>0</v>
      </c>
      <c r="BO19" s="1777"/>
      <c r="BP19" s="1777"/>
      <c r="BQ19" s="1777"/>
      <c r="BR19" s="1777"/>
      <c r="BS19" s="1778"/>
      <c r="BT19" s="516"/>
      <c r="BU19" s="1777">
        <v>0</v>
      </c>
      <c r="BV19" s="1777"/>
      <c r="BW19" s="1777"/>
      <c r="BX19" s="1777"/>
      <c r="BY19" s="1777"/>
      <c r="BZ19" s="1778"/>
      <c r="CA19" s="516"/>
      <c r="CB19" s="1777">
        <v>0</v>
      </c>
      <c r="CC19" s="1777"/>
      <c r="CD19" s="1777"/>
      <c r="CE19" s="1777"/>
      <c r="CF19" s="1777"/>
      <c r="CG19" s="1778"/>
      <c r="CH19" s="516"/>
      <c r="CI19" s="1777">
        <v>0</v>
      </c>
      <c r="CJ19" s="1777"/>
      <c r="CK19" s="1777"/>
      <c r="CL19" s="1777"/>
      <c r="CM19" s="1777"/>
      <c r="CN19" s="1778"/>
      <c r="CO19" s="516"/>
      <c r="CP19" s="1777">
        <v>0</v>
      </c>
      <c r="CQ19" s="1777"/>
      <c r="CR19" s="1777"/>
      <c r="CS19" s="1777"/>
      <c r="CT19" s="1777"/>
      <c r="CU19" s="1778"/>
      <c r="CV19" s="516"/>
      <c r="CW19" s="1777">
        <v>0</v>
      </c>
      <c r="CX19" s="1777"/>
      <c r="CY19" s="1777"/>
      <c r="CZ19" s="1777"/>
      <c r="DA19" s="1777"/>
      <c r="DB19" s="1778"/>
      <c r="DC19" s="516"/>
      <c r="DD19" s="1777">
        <v>0</v>
      </c>
      <c r="DE19" s="1777"/>
      <c r="DF19" s="1777"/>
      <c r="DG19" s="1777"/>
      <c r="DH19" s="1777"/>
      <c r="DI19" s="1778"/>
      <c r="DJ19" s="516"/>
      <c r="DK19" s="1777">
        <v>0</v>
      </c>
      <c r="DL19" s="1777"/>
      <c r="DM19" s="1777"/>
      <c r="DN19" s="1777"/>
      <c r="DO19" s="1777"/>
      <c r="DP19" s="1778"/>
      <c r="DQ19" s="516"/>
      <c r="DR19" s="1777">
        <v>0</v>
      </c>
      <c r="DS19" s="1777"/>
      <c r="DT19" s="1777"/>
      <c r="DU19" s="1777"/>
      <c r="DV19" s="1777"/>
      <c r="DW19" s="1778"/>
      <c r="DX19" s="516"/>
      <c r="DY19" s="1777">
        <v>0</v>
      </c>
      <c r="DZ19" s="1777"/>
      <c r="EA19" s="1777"/>
      <c r="EB19" s="1777"/>
      <c r="EC19" s="1777"/>
      <c r="ED19" s="1778"/>
      <c r="EE19" s="516"/>
      <c r="EF19" s="1777">
        <v>0</v>
      </c>
      <c r="EG19" s="1777"/>
      <c r="EH19" s="1777"/>
      <c r="EI19" s="1777"/>
      <c r="EJ19" s="1777"/>
      <c r="EK19" s="1778"/>
      <c r="EL19" s="516"/>
      <c r="EM19" s="1777">
        <v>0</v>
      </c>
      <c r="EN19" s="1777"/>
      <c r="EO19" s="1777"/>
      <c r="EP19" s="1777"/>
      <c r="EQ19" s="1777"/>
      <c r="ER19" s="1778"/>
      <c r="ES19" s="516"/>
      <c r="ET19" s="1777">
        <v>0</v>
      </c>
      <c r="EU19" s="1777"/>
      <c r="EV19" s="1777"/>
      <c r="EW19" s="1777"/>
      <c r="EX19" s="1777"/>
      <c r="EY19" s="1778"/>
      <c r="EZ19" s="516"/>
      <c r="FA19" s="1777">
        <v>0</v>
      </c>
      <c r="FB19" s="1777"/>
      <c r="FC19" s="1777"/>
      <c r="FD19" s="1777"/>
      <c r="FE19" s="1777"/>
      <c r="FF19" s="1778"/>
      <c r="FG19" s="516"/>
      <c r="FH19" s="1777">
        <v>0</v>
      </c>
      <c r="FI19" s="1777"/>
      <c r="FJ19" s="1777"/>
      <c r="FK19" s="1777"/>
      <c r="FL19" s="1777"/>
      <c r="FM19" s="1778"/>
      <c r="FN19" s="516"/>
      <c r="FO19" s="1777">
        <v>0</v>
      </c>
      <c r="FP19" s="1777"/>
      <c r="FQ19" s="1777"/>
      <c r="FR19" s="1777"/>
      <c r="FS19" s="1777"/>
      <c r="FT19" s="1778"/>
      <c r="FU19" s="516"/>
      <c r="FV19" s="1777">
        <v>0</v>
      </c>
      <c r="FW19" s="1777"/>
      <c r="FX19" s="1777"/>
      <c r="FY19" s="1777"/>
      <c r="FZ19" s="1777"/>
      <c r="GA19" s="1778"/>
      <c r="GB19" s="516"/>
      <c r="GC19" s="1777">
        <v>0</v>
      </c>
      <c r="GD19" s="1777"/>
      <c r="GE19" s="1777"/>
      <c r="GF19" s="1777"/>
      <c r="GG19" s="1777"/>
      <c r="GH19" s="1778"/>
      <c r="GI19" s="516"/>
      <c r="GJ19" s="1777">
        <v>0</v>
      </c>
      <c r="GK19" s="1777"/>
      <c r="GL19" s="1777"/>
      <c r="GM19" s="1777"/>
      <c r="GN19" s="1777"/>
      <c r="GO19" s="1778"/>
      <c r="GP19" s="516"/>
      <c r="GQ19" s="1777">
        <v>0</v>
      </c>
      <c r="GR19" s="1777"/>
      <c r="GS19" s="1777"/>
      <c r="GT19" s="1777"/>
      <c r="GU19" s="1777"/>
      <c r="GV19" s="1778"/>
      <c r="GW19" s="516"/>
      <c r="GX19" s="1777">
        <v>0</v>
      </c>
      <c r="GY19" s="1777"/>
      <c r="GZ19" s="1777"/>
      <c r="HA19" s="1777"/>
      <c r="HB19" s="1777"/>
      <c r="HC19" s="1778"/>
      <c r="HD19" s="516"/>
      <c r="HE19" s="1777">
        <v>0</v>
      </c>
      <c r="HF19" s="1777"/>
      <c r="HG19" s="1777"/>
      <c r="HH19" s="1777"/>
      <c r="HI19" s="1777"/>
      <c r="HJ19" s="1778"/>
      <c r="HK19" s="516"/>
      <c r="HL19" s="1777">
        <v>0</v>
      </c>
      <c r="HM19" s="1777"/>
      <c r="HN19" s="1777"/>
      <c r="HO19" s="1777"/>
      <c r="HP19" s="1777"/>
      <c r="HQ19" s="1778"/>
      <c r="HR19" s="516"/>
      <c r="HS19" s="1777">
        <v>0</v>
      </c>
      <c r="HT19" s="1777"/>
      <c r="HU19" s="1777"/>
      <c r="HV19" s="1777"/>
      <c r="HW19" s="1777"/>
      <c r="HX19" s="1778"/>
      <c r="HY19" s="516"/>
      <c r="HZ19" s="1777">
        <v>0</v>
      </c>
      <c r="IA19" s="1777"/>
      <c r="IB19" s="1777"/>
      <c r="IC19" s="1777"/>
      <c r="ID19" s="1777"/>
      <c r="IE19" s="1778"/>
      <c r="IF19" s="516"/>
      <c r="IG19" s="1777">
        <v>0</v>
      </c>
      <c r="IH19" s="1777"/>
      <c r="II19" s="1777"/>
      <c r="IJ19" s="1777"/>
      <c r="IK19" s="1777"/>
      <c r="IL19" s="1778"/>
      <c r="IM19" s="516"/>
      <c r="IN19" s="1777">
        <v>0</v>
      </c>
      <c r="IO19" s="1777"/>
      <c r="IP19" s="1777"/>
      <c r="IQ19" s="1777"/>
      <c r="IR19" s="1777"/>
      <c r="IS19" s="1778"/>
      <c r="IT19" s="516"/>
      <c r="IU19" s="1777">
        <v>0</v>
      </c>
      <c r="IV19" s="1777"/>
      <c r="IW19" s="1777"/>
      <c r="IX19" s="1777"/>
      <c r="IY19" s="1777"/>
      <c r="IZ19" s="1778"/>
      <c r="JA19" s="516"/>
      <c r="JB19" s="1777">
        <v>0</v>
      </c>
      <c r="JC19" s="1777"/>
      <c r="JD19" s="1777"/>
      <c r="JE19" s="1777"/>
      <c r="JF19" s="1777"/>
      <c r="JG19" s="1778"/>
      <c r="JH19" s="516"/>
      <c r="JI19" s="1777">
        <v>0</v>
      </c>
      <c r="JJ19" s="1777"/>
      <c r="JK19" s="1777"/>
      <c r="JL19" s="1777"/>
      <c r="JM19" s="1777"/>
      <c r="JN19" s="1778"/>
      <c r="JO19" s="516"/>
      <c r="JP19" s="1777">
        <v>0</v>
      </c>
      <c r="JQ19" s="1777"/>
      <c r="JR19" s="1777"/>
      <c r="JS19" s="1777"/>
      <c r="JT19" s="1777"/>
      <c r="JU19" s="1778"/>
      <c r="JV19" s="516"/>
      <c r="JW19" s="1777">
        <v>0</v>
      </c>
      <c r="JX19" s="1777"/>
      <c r="JY19" s="1777"/>
      <c r="JZ19" s="1777"/>
      <c r="KA19" s="1777"/>
      <c r="KB19" s="1778"/>
      <c r="KC19" s="516"/>
      <c r="KD19" s="1777">
        <v>0</v>
      </c>
      <c r="KE19" s="1777"/>
      <c r="KF19" s="1777"/>
      <c r="KG19" s="1777"/>
      <c r="KH19" s="1777"/>
      <c r="KI19" s="1778"/>
      <c r="KJ19" s="516"/>
      <c r="KK19" s="1777">
        <v>0</v>
      </c>
      <c r="KL19" s="1777"/>
      <c r="KM19" s="1777"/>
      <c r="KN19" s="1777"/>
      <c r="KO19" s="1777"/>
      <c r="KP19" s="1778"/>
      <c r="KQ19" s="516"/>
      <c r="KR19" s="1777">
        <v>0</v>
      </c>
      <c r="KS19" s="1777"/>
      <c r="KT19" s="1777"/>
      <c r="KU19" s="1777"/>
      <c r="KV19" s="1777"/>
      <c r="KW19" s="1778"/>
      <c r="KX19" s="516"/>
      <c r="KY19" s="1777">
        <v>0</v>
      </c>
      <c r="KZ19" s="1777"/>
      <c r="LA19" s="1777"/>
      <c r="LB19" s="1777"/>
      <c r="LC19" s="1777"/>
      <c r="LD19" s="1778"/>
      <c r="LE19" s="516"/>
      <c r="LF19" s="1777">
        <v>0</v>
      </c>
      <c r="LG19" s="1777"/>
      <c r="LH19" s="1777"/>
      <c r="LI19" s="1777"/>
      <c r="LJ19" s="1777"/>
      <c r="LK19" s="1778"/>
      <c r="LL19" s="516"/>
      <c r="LM19" s="1777">
        <v>0</v>
      </c>
      <c r="LN19" s="1777"/>
      <c r="LO19" s="1777"/>
      <c r="LP19" s="1777"/>
      <c r="LQ19" s="1777"/>
      <c r="LR19" s="1778"/>
      <c r="LS19" s="516"/>
      <c r="LT19" s="1777">
        <v>0</v>
      </c>
      <c r="LU19" s="1777"/>
      <c r="LV19" s="1777"/>
      <c r="LW19" s="1777"/>
      <c r="LX19" s="1777"/>
      <c r="LY19" s="1778"/>
      <c r="LZ19" s="516"/>
      <c r="MA19" s="1777">
        <v>0</v>
      </c>
      <c r="MB19" s="1777"/>
      <c r="MC19" s="1777"/>
      <c r="MD19" s="1777"/>
      <c r="ME19" s="1777"/>
      <c r="MF19" s="1778"/>
      <c r="MG19" s="516"/>
      <c r="MH19" s="1777">
        <v>0</v>
      </c>
      <c r="MI19" s="1777"/>
      <c r="MJ19" s="1777"/>
      <c r="MK19" s="1777"/>
      <c r="ML19" s="1777"/>
      <c r="MM19" s="1778"/>
      <c r="MN19" s="516"/>
      <c r="MO19" s="1777">
        <v>0</v>
      </c>
      <c r="MP19" s="1777"/>
      <c r="MQ19" s="1777"/>
      <c r="MR19" s="1777"/>
      <c r="MS19" s="1777"/>
      <c r="MT19" s="1778"/>
      <c r="MU19" s="516"/>
      <c r="MV19" s="1777">
        <v>0</v>
      </c>
      <c r="MW19" s="1777"/>
      <c r="MX19" s="1777"/>
      <c r="MY19" s="1777"/>
      <c r="MZ19" s="1777"/>
      <c r="NA19" s="1778"/>
      <c r="NB19" s="516"/>
      <c r="NC19" s="1777">
        <v>0</v>
      </c>
      <c r="ND19" s="1777"/>
      <c r="NE19" s="1777"/>
      <c r="NF19" s="1777"/>
      <c r="NG19" s="1777"/>
      <c r="NH19" s="1778"/>
      <c r="NI19" s="516"/>
      <c r="NJ19" s="1777">
        <v>0</v>
      </c>
      <c r="NK19" s="1777"/>
      <c r="NL19" s="1777"/>
      <c r="NM19" s="1777"/>
      <c r="NN19" s="1777"/>
      <c r="NO19" s="1778"/>
      <c r="NP19" s="516"/>
      <c r="NQ19" s="1777">
        <v>0</v>
      </c>
      <c r="NR19" s="1777"/>
      <c r="NS19" s="1777"/>
      <c r="NT19" s="1777"/>
      <c r="NU19" s="1777"/>
      <c r="NV19" s="1778"/>
      <c r="NW19" s="516"/>
      <c r="NX19" s="1777">
        <v>0</v>
      </c>
      <c r="NY19" s="1777"/>
      <c r="NZ19" s="1777"/>
      <c r="OA19" s="1777"/>
      <c r="OB19" s="1777"/>
      <c r="OC19" s="1778"/>
      <c r="OD19" s="516"/>
      <c r="OE19" s="1777">
        <v>0</v>
      </c>
      <c r="OF19" s="1777"/>
      <c r="OG19" s="1777"/>
      <c r="OH19" s="1777"/>
      <c r="OI19" s="1777"/>
      <c r="OJ19" s="1778"/>
      <c r="OK19" s="516"/>
      <c r="OL19" s="1777">
        <v>0</v>
      </c>
      <c r="OM19" s="1777"/>
      <c r="ON19" s="1777"/>
      <c r="OO19" s="1777"/>
      <c r="OP19" s="1777"/>
      <c r="OQ19" s="1778"/>
    </row>
    <row r="20" spans="1:407" s="15" customFormat="1" ht="14.25" hidden="1" customHeight="1">
      <c r="A20" s="431" t="s">
        <v>449</v>
      </c>
      <c r="B20" s="517"/>
      <c r="C20" s="518" t="e">
        <v>#DIV/0!</v>
      </c>
      <c r="D20" s="519" t="s">
        <v>450</v>
      </c>
      <c r="E20" s="520">
        <v>1</v>
      </c>
      <c r="F20" s="521" t="s">
        <v>451</v>
      </c>
      <c r="G20" s="522"/>
      <c r="H20" s="523">
        <v>0</v>
      </c>
      <c r="I20" s="524"/>
      <c r="J20" s="500"/>
      <c r="K20" s="525" t="s">
        <v>452</v>
      </c>
      <c r="L20" s="490">
        <v>0</v>
      </c>
      <c r="M20" s="490"/>
      <c r="N20" s="490"/>
      <c r="O20" s="490"/>
      <c r="P20" s="1772">
        <v>0</v>
      </c>
      <c r="Q20" s="1773"/>
      <c r="R20" s="1773"/>
      <c r="S20" s="1773"/>
      <c r="T20" s="1773"/>
      <c r="U20" s="1773"/>
      <c r="V20" s="1774"/>
      <c r="W20" s="1772">
        <v>0</v>
      </c>
      <c r="X20" s="1773"/>
      <c r="Y20" s="1773"/>
      <c r="Z20" s="1773"/>
      <c r="AA20" s="1773"/>
      <c r="AB20" s="1773"/>
      <c r="AC20" s="1774"/>
      <c r="AD20" s="1772">
        <v>0</v>
      </c>
      <c r="AE20" s="1773"/>
      <c r="AF20" s="1773"/>
      <c r="AG20" s="1773"/>
      <c r="AH20" s="1773"/>
      <c r="AI20" s="1773"/>
      <c r="AJ20" s="1774"/>
      <c r="AK20" s="1772">
        <v>0</v>
      </c>
      <c r="AL20" s="1773"/>
      <c r="AM20" s="1773"/>
      <c r="AN20" s="1773"/>
      <c r="AO20" s="1773"/>
      <c r="AP20" s="1773"/>
      <c r="AQ20" s="1774"/>
      <c r="AR20" s="1772">
        <v>0</v>
      </c>
      <c r="AS20" s="1773"/>
      <c r="AT20" s="1773"/>
      <c r="AU20" s="1773"/>
      <c r="AV20" s="1773"/>
      <c r="AW20" s="1773"/>
      <c r="AX20" s="1774"/>
      <c r="AY20" s="1772">
        <v>0</v>
      </c>
      <c r="AZ20" s="1773"/>
      <c r="BA20" s="1773"/>
      <c r="BB20" s="1773"/>
      <c r="BC20" s="1773"/>
      <c r="BD20" s="1773"/>
      <c r="BE20" s="1774"/>
      <c r="BF20" s="1772">
        <v>0</v>
      </c>
      <c r="BG20" s="1773"/>
      <c r="BH20" s="1773"/>
      <c r="BI20" s="1773"/>
      <c r="BJ20" s="1773"/>
      <c r="BK20" s="1773"/>
      <c r="BL20" s="1774"/>
      <c r="BM20" s="1772">
        <v>0</v>
      </c>
      <c r="BN20" s="1773"/>
      <c r="BO20" s="1773"/>
      <c r="BP20" s="1773"/>
      <c r="BQ20" s="1773"/>
      <c r="BR20" s="1773"/>
      <c r="BS20" s="1774"/>
      <c r="BT20" s="1772">
        <v>0</v>
      </c>
      <c r="BU20" s="1773"/>
      <c r="BV20" s="1773"/>
      <c r="BW20" s="1773"/>
      <c r="BX20" s="1773"/>
      <c r="BY20" s="1773"/>
      <c r="BZ20" s="1774"/>
      <c r="CA20" s="1772">
        <v>0</v>
      </c>
      <c r="CB20" s="1773"/>
      <c r="CC20" s="1773"/>
      <c r="CD20" s="1773"/>
      <c r="CE20" s="1773"/>
      <c r="CF20" s="1773"/>
      <c r="CG20" s="1774"/>
      <c r="CH20" s="1772">
        <v>0</v>
      </c>
      <c r="CI20" s="1773"/>
      <c r="CJ20" s="1773"/>
      <c r="CK20" s="1773"/>
      <c r="CL20" s="1773"/>
      <c r="CM20" s="1773"/>
      <c r="CN20" s="1774"/>
      <c r="CO20" s="1772">
        <v>0</v>
      </c>
      <c r="CP20" s="1773"/>
      <c r="CQ20" s="1773"/>
      <c r="CR20" s="1773"/>
      <c r="CS20" s="1773"/>
      <c r="CT20" s="1773"/>
      <c r="CU20" s="1774"/>
      <c r="CV20" s="1772">
        <v>0</v>
      </c>
      <c r="CW20" s="1773"/>
      <c r="CX20" s="1773"/>
      <c r="CY20" s="1773"/>
      <c r="CZ20" s="1773"/>
      <c r="DA20" s="1773"/>
      <c r="DB20" s="1774"/>
      <c r="DC20" s="1772">
        <v>0</v>
      </c>
      <c r="DD20" s="1773"/>
      <c r="DE20" s="1773"/>
      <c r="DF20" s="1773"/>
      <c r="DG20" s="1773"/>
      <c r="DH20" s="1773"/>
      <c r="DI20" s="1774"/>
      <c r="DJ20" s="1772">
        <v>0</v>
      </c>
      <c r="DK20" s="1773"/>
      <c r="DL20" s="1773"/>
      <c r="DM20" s="1773"/>
      <c r="DN20" s="1773"/>
      <c r="DO20" s="1773"/>
      <c r="DP20" s="1774"/>
      <c r="DQ20" s="1772">
        <v>0</v>
      </c>
      <c r="DR20" s="1773"/>
      <c r="DS20" s="1773"/>
      <c r="DT20" s="1773"/>
      <c r="DU20" s="1773"/>
      <c r="DV20" s="1773"/>
      <c r="DW20" s="1774"/>
      <c r="DX20" s="1772">
        <v>0</v>
      </c>
      <c r="DY20" s="1773"/>
      <c r="DZ20" s="1773"/>
      <c r="EA20" s="1773"/>
      <c r="EB20" s="1773"/>
      <c r="EC20" s="1773"/>
      <c r="ED20" s="1774"/>
      <c r="EE20" s="1772">
        <v>0</v>
      </c>
      <c r="EF20" s="1773"/>
      <c r="EG20" s="1773"/>
      <c r="EH20" s="1773"/>
      <c r="EI20" s="1773"/>
      <c r="EJ20" s="1773"/>
      <c r="EK20" s="1774"/>
      <c r="EL20" s="1772">
        <v>0</v>
      </c>
      <c r="EM20" s="1773"/>
      <c r="EN20" s="1773"/>
      <c r="EO20" s="1773"/>
      <c r="EP20" s="1773"/>
      <c r="EQ20" s="1773"/>
      <c r="ER20" s="1774"/>
      <c r="ES20" s="1772">
        <v>0</v>
      </c>
      <c r="ET20" s="1773"/>
      <c r="EU20" s="1773"/>
      <c r="EV20" s="1773"/>
      <c r="EW20" s="1773"/>
      <c r="EX20" s="1773"/>
      <c r="EY20" s="1774"/>
      <c r="EZ20" s="1772">
        <v>0</v>
      </c>
      <c r="FA20" s="1773"/>
      <c r="FB20" s="1773"/>
      <c r="FC20" s="1773"/>
      <c r="FD20" s="1773"/>
      <c r="FE20" s="1773"/>
      <c r="FF20" s="1774"/>
      <c r="FG20" s="1772">
        <v>0</v>
      </c>
      <c r="FH20" s="1773"/>
      <c r="FI20" s="1773"/>
      <c r="FJ20" s="1773"/>
      <c r="FK20" s="1773"/>
      <c r="FL20" s="1773"/>
      <c r="FM20" s="1774"/>
      <c r="FN20" s="1772">
        <v>0</v>
      </c>
      <c r="FO20" s="1773"/>
      <c r="FP20" s="1773"/>
      <c r="FQ20" s="1773"/>
      <c r="FR20" s="1773"/>
      <c r="FS20" s="1773"/>
      <c r="FT20" s="1774"/>
      <c r="FU20" s="1772">
        <v>0</v>
      </c>
      <c r="FV20" s="1773"/>
      <c r="FW20" s="1773"/>
      <c r="FX20" s="1773"/>
      <c r="FY20" s="1773"/>
      <c r="FZ20" s="1773"/>
      <c r="GA20" s="1774"/>
      <c r="GB20" s="1772">
        <v>0</v>
      </c>
      <c r="GC20" s="1773"/>
      <c r="GD20" s="1773"/>
      <c r="GE20" s="1773"/>
      <c r="GF20" s="1773"/>
      <c r="GG20" s="1773"/>
      <c r="GH20" s="1774"/>
      <c r="GI20" s="1772">
        <v>0</v>
      </c>
      <c r="GJ20" s="1773"/>
      <c r="GK20" s="1773"/>
      <c r="GL20" s="1773"/>
      <c r="GM20" s="1773"/>
      <c r="GN20" s="1773"/>
      <c r="GO20" s="1774"/>
      <c r="GP20" s="1772">
        <v>0</v>
      </c>
      <c r="GQ20" s="1773"/>
      <c r="GR20" s="1773"/>
      <c r="GS20" s="1773"/>
      <c r="GT20" s="1773"/>
      <c r="GU20" s="1773"/>
      <c r="GV20" s="1774"/>
      <c r="GW20" s="1772">
        <v>0</v>
      </c>
      <c r="GX20" s="1773"/>
      <c r="GY20" s="1773"/>
      <c r="GZ20" s="1773"/>
      <c r="HA20" s="1773"/>
      <c r="HB20" s="1773"/>
      <c r="HC20" s="1774"/>
      <c r="HD20" s="1772">
        <v>0</v>
      </c>
      <c r="HE20" s="1773"/>
      <c r="HF20" s="1773"/>
      <c r="HG20" s="1773"/>
      <c r="HH20" s="1773"/>
      <c r="HI20" s="1773"/>
      <c r="HJ20" s="1774"/>
      <c r="HK20" s="1772">
        <v>0</v>
      </c>
      <c r="HL20" s="1773"/>
      <c r="HM20" s="1773"/>
      <c r="HN20" s="1773"/>
      <c r="HO20" s="1773"/>
      <c r="HP20" s="1773"/>
      <c r="HQ20" s="1774"/>
      <c r="HR20" s="1772">
        <v>0</v>
      </c>
      <c r="HS20" s="1773"/>
      <c r="HT20" s="1773"/>
      <c r="HU20" s="1773"/>
      <c r="HV20" s="1773"/>
      <c r="HW20" s="1773"/>
      <c r="HX20" s="1774"/>
      <c r="HY20" s="1772">
        <v>0</v>
      </c>
      <c r="HZ20" s="1773"/>
      <c r="IA20" s="1773"/>
      <c r="IB20" s="1773"/>
      <c r="IC20" s="1773"/>
      <c r="ID20" s="1773"/>
      <c r="IE20" s="1774"/>
      <c r="IF20" s="1772">
        <v>0</v>
      </c>
      <c r="IG20" s="1773"/>
      <c r="IH20" s="1773"/>
      <c r="II20" s="1773"/>
      <c r="IJ20" s="1773"/>
      <c r="IK20" s="1773"/>
      <c r="IL20" s="1774"/>
      <c r="IM20" s="1772">
        <v>0</v>
      </c>
      <c r="IN20" s="1773"/>
      <c r="IO20" s="1773"/>
      <c r="IP20" s="1773"/>
      <c r="IQ20" s="1773"/>
      <c r="IR20" s="1773"/>
      <c r="IS20" s="1774"/>
      <c r="IT20" s="1772">
        <v>0</v>
      </c>
      <c r="IU20" s="1773"/>
      <c r="IV20" s="1773"/>
      <c r="IW20" s="1773"/>
      <c r="IX20" s="1773"/>
      <c r="IY20" s="1773"/>
      <c r="IZ20" s="1774"/>
      <c r="JA20" s="1772">
        <v>0</v>
      </c>
      <c r="JB20" s="1773"/>
      <c r="JC20" s="1773"/>
      <c r="JD20" s="1773"/>
      <c r="JE20" s="1773"/>
      <c r="JF20" s="1773"/>
      <c r="JG20" s="1774"/>
      <c r="JH20" s="1772">
        <v>0</v>
      </c>
      <c r="JI20" s="1773"/>
      <c r="JJ20" s="1773"/>
      <c r="JK20" s="1773"/>
      <c r="JL20" s="1773"/>
      <c r="JM20" s="1773"/>
      <c r="JN20" s="1774"/>
      <c r="JO20" s="1772">
        <v>0</v>
      </c>
      <c r="JP20" s="1773"/>
      <c r="JQ20" s="1773"/>
      <c r="JR20" s="1773"/>
      <c r="JS20" s="1773"/>
      <c r="JT20" s="1773"/>
      <c r="JU20" s="1774"/>
      <c r="JV20" s="1772">
        <v>0</v>
      </c>
      <c r="JW20" s="1773"/>
      <c r="JX20" s="1773"/>
      <c r="JY20" s="1773"/>
      <c r="JZ20" s="1773"/>
      <c r="KA20" s="1773"/>
      <c r="KB20" s="1774"/>
      <c r="KC20" s="1772">
        <v>0</v>
      </c>
      <c r="KD20" s="1773"/>
      <c r="KE20" s="1773"/>
      <c r="KF20" s="1773"/>
      <c r="KG20" s="1773"/>
      <c r="KH20" s="1773"/>
      <c r="KI20" s="1774"/>
      <c r="KJ20" s="1772">
        <v>0</v>
      </c>
      <c r="KK20" s="1773"/>
      <c r="KL20" s="1773"/>
      <c r="KM20" s="1773"/>
      <c r="KN20" s="1773"/>
      <c r="KO20" s="1773"/>
      <c r="KP20" s="1774"/>
      <c r="KQ20" s="1772">
        <v>0</v>
      </c>
      <c r="KR20" s="1773"/>
      <c r="KS20" s="1773"/>
      <c r="KT20" s="1773"/>
      <c r="KU20" s="1773"/>
      <c r="KV20" s="1773"/>
      <c r="KW20" s="1774"/>
      <c r="KX20" s="1772">
        <v>0</v>
      </c>
      <c r="KY20" s="1773"/>
      <c r="KZ20" s="1773"/>
      <c r="LA20" s="1773"/>
      <c r="LB20" s="1773"/>
      <c r="LC20" s="1773"/>
      <c r="LD20" s="1774"/>
      <c r="LE20" s="1772">
        <v>0</v>
      </c>
      <c r="LF20" s="1773"/>
      <c r="LG20" s="1773"/>
      <c r="LH20" s="1773"/>
      <c r="LI20" s="1773"/>
      <c r="LJ20" s="1773"/>
      <c r="LK20" s="1774"/>
      <c r="LL20" s="1772">
        <v>0</v>
      </c>
      <c r="LM20" s="1773"/>
      <c r="LN20" s="1773"/>
      <c r="LO20" s="1773"/>
      <c r="LP20" s="1773"/>
      <c r="LQ20" s="1773"/>
      <c r="LR20" s="1774"/>
      <c r="LS20" s="1772">
        <v>0</v>
      </c>
      <c r="LT20" s="1773"/>
      <c r="LU20" s="1773"/>
      <c r="LV20" s="1773"/>
      <c r="LW20" s="1773"/>
      <c r="LX20" s="1773"/>
      <c r="LY20" s="1774"/>
      <c r="LZ20" s="1772">
        <v>0</v>
      </c>
      <c r="MA20" s="1773"/>
      <c r="MB20" s="1773"/>
      <c r="MC20" s="1773"/>
      <c r="MD20" s="1773"/>
      <c r="ME20" s="1773"/>
      <c r="MF20" s="1774"/>
      <c r="MG20" s="1772">
        <v>0</v>
      </c>
      <c r="MH20" s="1773"/>
      <c r="MI20" s="1773"/>
      <c r="MJ20" s="1773"/>
      <c r="MK20" s="1773"/>
      <c r="ML20" s="1773"/>
      <c r="MM20" s="1774"/>
      <c r="MN20" s="1772">
        <v>0</v>
      </c>
      <c r="MO20" s="1773"/>
      <c r="MP20" s="1773"/>
      <c r="MQ20" s="1773"/>
      <c r="MR20" s="1773"/>
      <c r="MS20" s="1773"/>
      <c r="MT20" s="1774"/>
      <c r="MU20" s="1772">
        <v>0</v>
      </c>
      <c r="MV20" s="1773"/>
      <c r="MW20" s="1773"/>
      <c r="MX20" s="1773"/>
      <c r="MY20" s="1773"/>
      <c r="MZ20" s="1773"/>
      <c r="NA20" s="1774"/>
      <c r="NB20" s="1772">
        <v>0</v>
      </c>
      <c r="NC20" s="1773"/>
      <c r="ND20" s="1773"/>
      <c r="NE20" s="1773"/>
      <c r="NF20" s="1773"/>
      <c r="NG20" s="1773"/>
      <c r="NH20" s="1774"/>
      <c r="NI20" s="1772">
        <v>0</v>
      </c>
      <c r="NJ20" s="1773"/>
      <c r="NK20" s="1773"/>
      <c r="NL20" s="1773"/>
      <c r="NM20" s="1773"/>
      <c r="NN20" s="1773"/>
      <c r="NO20" s="1774"/>
      <c r="NP20" s="1772">
        <v>0</v>
      </c>
      <c r="NQ20" s="1773"/>
      <c r="NR20" s="1773"/>
      <c r="NS20" s="1773"/>
      <c r="NT20" s="1773"/>
      <c r="NU20" s="1773"/>
      <c r="NV20" s="1774"/>
      <c r="NW20" s="1772">
        <v>0</v>
      </c>
      <c r="NX20" s="1773"/>
      <c r="NY20" s="1773"/>
      <c r="NZ20" s="1773"/>
      <c r="OA20" s="1773"/>
      <c r="OB20" s="1773"/>
      <c r="OC20" s="1774"/>
      <c r="OD20" s="1772">
        <v>0</v>
      </c>
      <c r="OE20" s="1773"/>
      <c r="OF20" s="1773"/>
      <c r="OG20" s="1773"/>
      <c r="OH20" s="1773"/>
      <c r="OI20" s="1773"/>
      <c r="OJ20" s="1774"/>
      <c r="OK20" s="1772">
        <v>0</v>
      </c>
      <c r="OL20" s="1773"/>
      <c r="OM20" s="1773"/>
      <c r="ON20" s="1773"/>
      <c r="OO20" s="1773"/>
      <c r="OP20" s="1773"/>
      <c r="OQ20" s="1774"/>
    </row>
    <row r="21" spans="1:407" s="15" customFormat="1" ht="13.5" customHeight="1">
      <c r="A21" s="431" t="s">
        <v>426</v>
      </c>
      <c r="B21" s="526"/>
      <c r="C21" s="527" t="s">
        <v>98</v>
      </c>
      <c r="D21" s="528"/>
      <c r="E21" s="528"/>
      <c r="F21" s="528"/>
      <c r="G21" s="1775">
        <v>0</v>
      </c>
      <c r="H21" s="1776"/>
      <c r="I21" s="529" t="s">
        <v>453</v>
      </c>
      <c r="J21" s="530"/>
      <c r="K21" s="531" t="s">
        <v>452</v>
      </c>
      <c r="L21" s="532">
        <v>0</v>
      </c>
      <c r="M21" s="532"/>
      <c r="N21" s="532"/>
      <c r="O21" s="532"/>
      <c r="P21" s="1769">
        <v>0</v>
      </c>
      <c r="Q21" s="1770"/>
      <c r="R21" s="1770"/>
      <c r="S21" s="1770"/>
      <c r="T21" s="1770"/>
      <c r="U21" s="1770"/>
      <c r="V21" s="1771"/>
      <c r="W21" s="1769">
        <v>0</v>
      </c>
      <c r="X21" s="1770"/>
      <c r="Y21" s="1770"/>
      <c r="Z21" s="1770"/>
      <c r="AA21" s="1770"/>
      <c r="AB21" s="1770"/>
      <c r="AC21" s="1771"/>
      <c r="AD21" s="1769">
        <v>0</v>
      </c>
      <c r="AE21" s="1770"/>
      <c r="AF21" s="1770"/>
      <c r="AG21" s="1770"/>
      <c r="AH21" s="1770"/>
      <c r="AI21" s="1770"/>
      <c r="AJ21" s="1771"/>
      <c r="AK21" s="1769">
        <v>0</v>
      </c>
      <c r="AL21" s="1770"/>
      <c r="AM21" s="1770"/>
      <c r="AN21" s="1770"/>
      <c r="AO21" s="1770"/>
      <c r="AP21" s="1770"/>
      <c r="AQ21" s="1771"/>
      <c r="AR21" s="1769">
        <v>0</v>
      </c>
      <c r="AS21" s="1770"/>
      <c r="AT21" s="1770"/>
      <c r="AU21" s="1770"/>
      <c r="AV21" s="1770"/>
      <c r="AW21" s="1770"/>
      <c r="AX21" s="1771"/>
      <c r="AY21" s="1769">
        <v>0</v>
      </c>
      <c r="AZ21" s="1770"/>
      <c r="BA21" s="1770"/>
      <c r="BB21" s="1770"/>
      <c r="BC21" s="1770"/>
      <c r="BD21" s="1770"/>
      <c r="BE21" s="1771"/>
      <c r="BF21" s="1769">
        <v>0</v>
      </c>
      <c r="BG21" s="1770"/>
      <c r="BH21" s="1770"/>
      <c r="BI21" s="1770"/>
      <c r="BJ21" s="1770"/>
      <c r="BK21" s="1770"/>
      <c r="BL21" s="1771"/>
      <c r="BM21" s="1769">
        <v>0</v>
      </c>
      <c r="BN21" s="1770"/>
      <c r="BO21" s="1770"/>
      <c r="BP21" s="1770"/>
      <c r="BQ21" s="1770"/>
      <c r="BR21" s="1770"/>
      <c r="BS21" s="1771"/>
      <c r="BT21" s="1769">
        <v>0</v>
      </c>
      <c r="BU21" s="1770"/>
      <c r="BV21" s="1770"/>
      <c r="BW21" s="1770"/>
      <c r="BX21" s="1770"/>
      <c r="BY21" s="1770"/>
      <c r="BZ21" s="1771"/>
      <c r="CA21" s="1769">
        <v>0</v>
      </c>
      <c r="CB21" s="1770"/>
      <c r="CC21" s="1770"/>
      <c r="CD21" s="1770"/>
      <c r="CE21" s="1770"/>
      <c r="CF21" s="1770"/>
      <c r="CG21" s="1771"/>
      <c r="CH21" s="1769">
        <v>0</v>
      </c>
      <c r="CI21" s="1770"/>
      <c r="CJ21" s="1770"/>
      <c r="CK21" s="1770"/>
      <c r="CL21" s="1770"/>
      <c r="CM21" s="1770"/>
      <c r="CN21" s="1771"/>
      <c r="CO21" s="1769">
        <v>0</v>
      </c>
      <c r="CP21" s="1770"/>
      <c r="CQ21" s="1770"/>
      <c r="CR21" s="1770"/>
      <c r="CS21" s="1770"/>
      <c r="CT21" s="1770"/>
      <c r="CU21" s="1771"/>
      <c r="CV21" s="1769">
        <v>0</v>
      </c>
      <c r="CW21" s="1770"/>
      <c r="CX21" s="1770"/>
      <c r="CY21" s="1770"/>
      <c r="CZ21" s="1770"/>
      <c r="DA21" s="1770"/>
      <c r="DB21" s="1771"/>
      <c r="DC21" s="1769">
        <v>0</v>
      </c>
      <c r="DD21" s="1770"/>
      <c r="DE21" s="1770"/>
      <c r="DF21" s="1770"/>
      <c r="DG21" s="1770"/>
      <c r="DH21" s="1770"/>
      <c r="DI21" s="1771"/>
      <c r="DJ21" s="1769">
        <v>0</v>
      </c>
      <c r="DK21" s="1770"/>
      <c r="DL21" s="1770"/>
      <c r="DM21" s="1770"/>
      <c r="DN21" s="1770"/>
      <c r="DO21" s="1770"/>
      <c r="DP21" s="1771"/>
      <c r="DQ21" s="1769">
        <v>0</v>
      </c>
      <c r="DR21" s="1770"/>
      <c r="DS21" s="1770"/>
      <c r="DT21" s="1770"/>
      <c r="DU21" s="1770"/>
      <c r="DV21" s="1770"/>
      <c r="DW21" s="1771"/>
      <c r="DX21" s="1769">
        <v>0</v>
      </c>
      <c r="DY21" s="1770"/>
      <c r="DZ21" s="1770"/>
      <c r="EA21" s="1770"/>
      <c r="EB21" s="1770"/>
      <c r="EC21" s="1770"/>
      <c r="ED21" s="1771"/>
      <c r="EE21" s="1769">
        <v>0</v>
      </c>
      <c r="EF21" s="1770"/>
      <c r="EG21" s="1770"/>
      <c r="EH21" s="1770"/>
      <c r="EI21" s="1770"/>
      <c r="EJ21" s="1770"/>
      <c r="EK21" s="1771"/>
      <c r="EL21" s="1769">
        <v>0</v>
      </c>
      <c r="EM21" s="1770"/>
      <c r="EN21" s="1770"/>
      <c r="EO21" s="1770"/>
      <c r="EP21" s="1770"/>
      <c r="EQ21" s="1770"/>
      <c r="ER21" s="1771"/>
      <c r="ES21" s="1769">
        <v>0</v>
      </c>
      <c r="ET21" s="1770"/>
      <c r="EU21" s="1770"/>
      <c r="EV21" s="1770"/>
      <c r="EW21" s="1770"/>
      <c r="EX21" s="1770"/>
      <c r="EY21" s="1771"/>
      <c r="EZ21" s="1769">
        <v>0</v>
      </c>
      <c r="FA21" s="1770"/>
      <c r="FB21" s="1770"/>
      <c r="FC21" s="1770"/>
      <c r="FD21" s="1770"/>
      <c r="FE21" s="1770"/>
      <c r="FF21" s="1771"/>
      <c r="FG21" s="1769">
        <v>0</v>
      </c>
      <c r="FH21" s="1770"/>
      <c r="FI21" s="1770"/>
      <c r="FJ21" s="1770"/>
      <c r="FK21" s="1770"/>
      <c r="FL21" s="1770"/>
      <c r="FM21" s="1771"/>
      <c r="FN21" s="1769">
        <v>0</v>
      </c>
      <c r="FO21" s="1770"/>
      <c r="FP21" s="1770"/>
      <c r="FQ21" s="1770"/>
      <c r="FR21" s="1770"/>
      <c r="FS21" s="1770"/>
      <c r="FT21" s="1771"/>
      <c r="FU21" s="1769">
        <v>0</v>
      </c>
      <c r="FV21" s="1770"/>
      <c r="FW21" s="1770"/>
      <c r="FX21" s="1770"/>
      <c r="FY21" s="1770"/>
      <c r="FZ21" s="1770"/>
      <c r="GA21" s="1771"/>
      <c r="GB21" s="1769">
        <v>0</v>
      </c>
      <c r="GC21" s="1770"/>
      <c r="GD21" s="1770"/>
      <c r="GE21" s="1770"/>
      <c r="GF21" s="1770"/>
      <c r="GG21" s="1770"/>
      <c r="GH21" s="1771"/>
      <c r="GI21" s="1769">
        <v>0</v>
      </c>
      <c r="GJ21" s="1770"/>
      <c r="GK21" s="1770"/>
      <c r="GL21" s="1770"/>
      <c r="GM21" s="1770"/>
      <c r="GN21" s="1770"/>
      <c r="GO21" s="1771"/>
      <c r="GP21" s="1769">
        <v>0</v>
      </c>
      <c r="GQ21" s="1770"/>
      <c r="GR21" s="1770"/>
      <c r="GS21" s="1770"/>
      <c r="GT21" s="1770"/>
      <c r="GU21" s="1770"/>
      <c r="GV21" s="1771"/>
      <c r="GW21" s="1769">
        <v>0</v>
      </c>
      <c r="GX21" s="1770"/>
      <c r="GY21" s="1770"/>
      <c r="GZ21" s="1770"/>
      <c r="HA21" s="1770"/>
      <c r="HB21" s="1770"/>
      <c r="HC21" s="1771"/>
      <c r="HD21" s="1769">
        <v>0</v>
      </c>
      <c r="HE21" s="1770"/>
      <c r="HF21" s="1770"/>
      <c r="HG21" s="1770"/>
      <c r="HH21" s="1770"/>
      <c r="HI21" s="1770"/>
      <c r="HJ21" s="1771"/>
      <c r="HK21" s="1769">
        <v>0</v>
      </c>
      <c r="HL21" s="1770"/>
      <c r="HM21" s="1770"/>
      <c r="HN21" s="1770"/>
      <c r="HO21" s="1770"/>
      <c r="HP21" s="1770"/>
      <c r="HQ21" s="1771"/>
      <c r="HR21" s="1769">
        <v>0</v>
      </c>
      <c r="HS21" s="1770"/>
      <c r="HT21" s="1770"/>
      <c r="HU21" s="1770"/>
      <c r="HV21" s="1770"/>
      <c r="HW21" s="1770"/>
      <c r="HX21" s="1771"/>
      <c r="HY21" s="1769">
        <v>0</v>
      </c>
      <c r="HZ21" s="1770"/>
      <c r="IA21" s="1770"/>
      <c r="IB21" s="1770"/>
      <c r="IC21" s="1770"/>
      <c r="ID21" s="1770"/>
      <c r="IE21" s="1771"/>
      <c r="IF21" s="1769">
        <v>0</v>
      </c>
      <c r="IG21" s="1770"/>
      <c r="IH21" s="1770"/>
      <c r="II21" s="1770"/>
      <c r="IJ21" s="1770"/>
      <c r="IK21" s="1770"/>
      <c r="IL21" s="1771"/>
      <c r="IM21" s="1769">
        <v>0</v>
      </c>
      <c r="IN21" s="1770"/>
      <c r="IO21" s="1770"/>
      <c r="IP21" s="1770"/>
      <c r="IQ21" s="1770"/>
      <c r="IR21" s="1770"/>
      <c r="IS21" s="1771"/>
      <c r="IT21" s="1769">
        <v>0</v>
      </c>
      <c r="IU21" s="1770"/>
      <c r="IV21" s="1770"/>
      <c r="IW21" s="1770"/>
      <c r="IX21" s="1770"/>
      <c r="IY21" s="1770"/>
      <c r="IZ21" s="1771"/>
      <c r="JA21" s="1769">
        <v>0</v>
      </c>
      <c r="JB21" s="1770"/>
      <c r="JC21" s="1770"/>
      <c r="JD21" s="1770"/>
      <c r="JE21" s="1770"/>
      <c r="JF21" s="1770"/>
      <c r="JG21" s="1771"/>
      <c r="JH21" s="1769">
        <v>0</v>
      </c>
      <c r="JI21" s="1770"/>
      <c r="JJ21" s="1770"/>
      <c r="JK21" s="1770"/>
      <c r="JL21" s="1770"/>
      <c r="JM21" s="1770"/>
      <c r="JN21" s="1771"/>
      <c r="JO21" s="1769">
        <v>0</v>
      </c>
      <c r="JP21" s="1770"/>
      <c r="JQ21" s="1770"/>
      <c r="JR21" s="1770"/>
      <c r="JS21" s="1770"/>
      <c r="JT21" s="1770"/>
      <c r="JU21" s="1771"/>
      <c r="JV21" s="1769">
        <v>0</v>
      </c>
      <c r="JW21" s="1770"/>
      <c r="JX21" s="1770"/>
      <c r="JY21" s="1770"/>
      <c r="JZ21" s="1770"/>
      <c r="KA21" s="1770"/>
      <c r="KB21" s="1771"/>
      <c r="KC21" s="1769">
        <v>0</v>
      </c>
      <c r="KD21" s="1770"/>
      <c r="KE21" s="1770"/>
      <c r="KF21" s="1770"/>
      <c r="KG21" s="1770"/>
      <c r="KH21" s="1770"/>
      <c r="KI21" s="1771"/>
      <c r="KJ21" s="1769">
        <v>0</v>
      </c>
      <c r="KK21" s="1770"/>
      <c r="KL21" s="1770"/>
      <c r="KM21" s="1770"/>
      <c r="KN21" s="1770"/>
      <c r="KO21" s="1770"/>
      <c r="KP21" s="1771"/>
      <c r="KQ21" s="1769">
        <v>0</v>
      </c>
      <c r="KR21" s="1770"/>
      <c r="KS21" s="1770"/>
      <c r="KT21" s="1770"/>
      <c r="KU21" s="1770"/>
      <c r="KV21" s="1770"/>
      <c r="KW21" s="1771"/>
      <c r="KX21" s="1769">
        <v>0</v>
      </c>
      <c r="KY21" s="1770"/>
      <c r="KZ21" s="1770"/>
      <c r="LA21" s="1770"/>
      <c r="LB21" s="1770"/>
      <c r="LC21" s="1770"/>
      <c r="LD21" s="1771"/>
      <c r="LE21" s="1769">
        <v>0</v>
      </c>
      <c r="LF21" s="1770"/>
      <c r="LG21" s="1770"/>
      <c r="LH21" s="1770"/>
      <c r="LI21" s="1770"/>
      <c r="LJ21" s="1770"/>
      <c r="LK21" s="1771"/>
      <c r="LL21" s="1769">
        <v>0</v>
      </c>
      <c r="LM21" s="1770"/>
      <c r="LN21" s="1770"/>
      <c r="LO21" s="1770"/>
      <c r="LP21" s="1770"/>
      <c r="LQ21" s="1770"/>
      <c r="LR21" s="1771"/>
      <c r="LS21" s="1769">
        <v>0</v>
      </c>
      <c r="LT21" s="1770"/>
      <c r="LU21" s="1770"/>
      <c r="LV21" s="1770"/>
      <c r="LW21" s="1770"/>
      <c r="LX21" s="1770"/>
      <c r="LY21" s="1771"/>
      <c r="LZ21" s="1769">
        <v>0</v>
      </c>
      <c r="MA21" s="1770"/>
      <c r="MB21" s="1770"/>
      <c r="MC21" s="1770"/>
      <c r="MD21" s="1770"/>
      <c r="ME21" s="1770"/>
      <c r="MF21" s="1771"/>
      <c r="MG21" s="1769">
        <v>0</v>
      </c>
      <c r="MH21" s="1770"/>
      <c r="MI21" s="1770"/>
      <c r="MJ21" s="1770"/>
      <c r="MK21" s="1770"/>
      <c r="ML21" s="1770"/>
      <c r="MM21" s="1771"/>
      <c r="MN21" s="1769">
        <v>0</v>
      </c>
      <c r="MO21" s="1770"/>
      <c r="MP21" s="1770"/>
      <c r="MQ21" s="1770"/>
      <c r="MR21" s="1770"/>
      <c r="MS21" s="1770"/>
      <c r="MT21" s="1771"/>
      <c r="MU21" s="1769">
        <v>0</v>
      </c>
      <c r="MV21" s="1770"/>
      <c r="MW21" s="1770"/>
      <c r="MX21" s="1770"/>
      <c r="MY21" s="1770"/>
      <c r="MZ21" s="1770"/>
      <c r="NA21" s="1771"/>
      <c r="NB21" s="1769">
        <v>0</v>
      </c>
      <c r="NC21" s="1770"/>
      <c r="ND21" s="1770"/>
      <c r="NE21" s="1770"/>
      <c r="NF21" s="1770"/>
      <c r="NG21" s="1770"/>
      <c r="NH21" s="1771"/>
      <c r="NI21" s="1769">
        <v>0</v>
      </c>
      <c r="NJ21" s="1770"/>
      <c r="NK21" s="1770"/>
      <c r="NL21" s="1770"/>
      <c r="NM21" s="1770"/>
      <c r="NN21" s="1770"/>
      <c r="NO21" s="1771"/>
      <c r="NP21" s="1769">
        <v>0</v>
      </c>
      <c r="NQ21" s="1770"/>
      <c r="NR21" s="1770"/>
      <c r="NS21" s="1770"/>
      <c r="NT21" s="1770"/>
      <c r="NU21" s="1770"/>
      <c r="NV21" s="1771"/>
      <c r="NW21" s="1769">
        <v>0</v>
      </c>
      <c r="NX21" s="1770"/>
      <c r="NY21" s="1770"/>
      <c r="NZ21" s="1770"/>
      <c r="OA21" s="1770"/>
      <c r="OB21" s="1770"/>
      <c r="OC21" s="1771"/>
      <c r="OD21" s="1769">
        <v>0</v>
      </c>
      <c r="OE21" s="1770"/>
      <c r="OF21" s="1770"/>
      <c r="OG21" s="1770"/>
      <c r="OH21" s="1770"/>
      <c r="OI21" s="1770"/>
      <c r="OJ21" s="1771"/>
      <c r="OK21" s="1769">
        <v>0</v>
      </c>
      <c r="OL21" s="1770"/>
      <c r="OM21" s="1770"/>
      <c r="ON21" s="1770"/>
      <c r="OO21" s="1770"/>
      <c r="OP21" s="1770"/>
      <c r="OQ21" s="1771"/>
    </row>
    <row r="22" spans="1:407" s="15" customFormat="1" ht="13.5" customHeight="1">
      <c r="A22" s="431" t="s">
        <v>454</v>
      </c>
      <c r="B22" s="533"/>
      <c r="C22" s="534" t="s">
        <v>96</v>
      </c>
      <c r="D22" s="535"/>
      <c r="E22" s="535"/>
      <c r="F22" s="535"/>
      <c r="G22" s="1767">
        <v>408578100</v>
      </c>
      <c r="H22" s="1768"/>
      <c r="I22" s="536"/>
      <c r="J22" s="537"/>
      <c r="K22" s="512"/>
      <c r="L22" s="538"/>
      <c r="M22" s="538"/>
      <c r="N22" s="538"/>
      <c r="O22" s="538"/>
      <c r="P22" s="1761">
        <v>0</v>
      </c>
      <c r="Q22" s="1762"/>
      <c r="R22" s="1762"/>
      <c r="S22" s="1762"/>
      <c r="T22" s="1762"/>
      <c r="U22" s="1762"/>
      <c r="V22" s="1763"/>
      <c r="W22" s="1761">
        <v>0</v>
      </c>
      <c r="X22" s="1762"/>
      <c r="Y22" s="1762"/>
      <c r="Z22" s="1762"/>
      <c r="AA22" s="1762"/>
      <c r="AB22" s="1762"/>
      <c r="AC22" s="1763"/>
      <c r="AD22" s="1761">
        <v>0</v>
      </c>
      <c r="AE22" s="1762"/>
      <c r="AF22" s="1762"/>
      <c r="AG22" s="1762"/>
      <c r="AH22" s="1762"/>
      <c r="AI22" s="1762"/>
      <c r="AJ22" s="1763"/>
      <c r="AK22" s="1761">
        <v>0</v>
      </c>
      <c r="AL22" s="1762"/>
      <c r="AM22" s="1762"/>
      <c r="AN22" s="1762"/>
      <c r="AO22" s="1762"/>
      <c r="AP22" s="1762"/>
      <c r="AQ22" s="1763"/>
      <c r="AR22" s="1761">
        <v>0</v>
      </c>
      <c r="AS22" s="1762"/>
      <c r="AT22" s="1762"/>
      <c r="AU22" s="1762"/>
      <c r="AV22" s="1762"/>
      <c r="AW22" s="1762"/>
      <c r="AX22" s="1763"/>
      <c r="AY22" s="1761">
        <v>0</v>
      </c>
      <c r="AZ22" s="1762"/>
      <c r="BA22" s="1762"/>
      <c r="BB22" s="1762"/>
      <c r="BC22" s="1762"/>
      <c r="BD22" s="1762"/>
      <c r="BE22" s="1763"/>
      <c r="BF22" s="1761">
        <v>0</v>
      </c>
      <c r="BG22" s="1762"/>
      <c r="BH22" s="1762"/>
      <c r="BI22" s="1762"/>
      <c r="BJ22" s="1762"/>
      <c r="BK22" s="1762"/>
      <c r="BL22" s="1763"/>
      <c r="BM22" s="1761">
        <v>0</v>
      </c>
      <c r="BN22" s="1762"/>
      <c r="BO22" s="1762"/>
      <c r="BP22" s="1762"/>
      <c r="BQ22" s="1762"/>
      <c r="BR22" s="1762"/>
      <c r="BS22" s="1763"/>
      <c r="BT22" s="1761">
        <v>0</v>
      </c>
      <c r="BU22" s="1762"/>
      <c r="BV22" s="1762"/>
      <c r="BW22" s="1762"/>
      <c r="BX22" s="1762"/>
      <c r="BY22" s="1762"/>
      <c r="BZ22" s="1763"/>
      <c r="CA22" s="1761">
        <v>0</v>
      </c>
      <c r="CB22" s="1762"/>
      <c r="CC22" s="1762"/>
      <c r="CD22" s="1762"/>
      <c r="CE22" s="1762"/>
      <c r="CF22" s="1762"/>
      <c r="CG22" s="1763"/>
      <c r="CH22" s="1761">
        <v>0</v>
      </c>
      <c r="CI22" s="1762"/>
      <c r="CJ22" s="1762"/>
      <c r="CK22" s="1762"/>
      <c r="CL22" s="1762"/>
      <c r="CM22" s="1762"/>
      <c r="CN22" s="1763"/>
      <c r="CO22" s="1761">
        <v>0</v>
      </c>
      <c r="CP22" s="1762"/>
      <c r="CQ22" s="1762"/>
      <c r="CR22" s="1762"/>
      <c r="CS22" s="1762"/>
      <c r="CT22" s="1762"/>
      <c r="CU22" s="1763"/>
      <c r="CV22" s="1761">
        <v>0</v>
      </c>
      <c r="CW22" s="1762"/>
      <c r="CX22" s="1762"/>
      <c r="CY22" s="1762"/>
      <c r="CZ22" s="1762"/>
      <c r="DA22" s="1762"/>
      <c r="DB22" s="1763"/>
      <c r="DC22" s="1761">
        <v>0</v>
      </c>
      <c r="DD22" s="1762"/>
      <c r="DE22" s="1762"/>
      <c r="DF22" s="1762"/>
      <c r="DG22" s="1762"/>
      <c r="DH22" s="1762"/>
      <c r="DI22" s="1763"/>
      <c r="DJ22" s="1761">
        <v>0</v>
      </c>
      <c r="DK22" s="1762"/>
      <c r="DL22" s="1762"/>
      <c r="DM22" s="1762"/>
      <c r="DN22" s="1762"/>
      <c r="DO22" s="1762"/>
      <c r="DP22" s="1763"/>
      <c r="DQ22" s="1761">
        <v>0</v>
      </c>
      <c r="DR22" s="1762"/>
      <c r="DS22" s="1762"/>
      <c r="DT22" s="1762"/>
      <c r="DU22" s="1762"/>
      <c r="DV22" s="1762"/>
      <c r="DW22" s="1763"/>
      <c r="DX22" s="1761">
        <v>0</v>
      </c>
      <c r="DY22" s="1762"/>
      <c r="DZ22" s="1762"/>
      <c r="EA22" s="1762"/>
      <c r="EB22" s="1762"/>
      <c r="EC22" s="1762"/>
      <c r="ED22" s="1763"/>
      <c r="EE22" s="1761">
        <v>0</v>
      </c>
      <c r="EF22" s="1762"/>
      <c r="EG22" s="1762"/>
      <c r="EH22" s="1762"/>
      <c r="EI22" s="1762"/>
      <c r="EJ22" s="1762"/>
      <c r="EK22" s="1763"/>
      <c r="EL22" s="1761">
        <v>0</v>
      </c>
      <c r="EM22" s="1762"/>
      <c r="EN22" s="1762"/>
      <c r="EO22" s="1762"/>
      <c r="EP22" s="1762"/>
      <c r="EQ22" s="1762"/>
      <c r="ER22" s="1763"/>
      <c r="ES22" s="1761">
        <v>0</v>
      </c>
      <c r="ET22" s="1762"/>
      <c r="EU22" s="1762"/>
      <c r="EV22" s="1762"/>
      <c r="EW22" s="1762"/>
      <c r="EX22" s="1762"/>
      <c r="EY22" s="1763"/>
      <c r="EZ22" s="1761">
        <v>0</v>
      </c>
      <c r="FA22" s="1762"/>
      <c r="FB22" s="1762"/>
      <c r="FC22" s="1762"/>
      <c r="FD22" s="1762"/>
      <c r="FE22" s="1762"/>
      <c r="FF22" s="1763"/>
      <c r="FG22" s="1761">
        <v>0</v>
      </c>
      <c r="FH22" s="1762"/>
      <c r="FI22" s="1762"/>
      <c r="FJ22" s="1762"/>
      <c r="FK22" s="1762"/>
      <c r="FL22" s="1762"/>
      <c r="FM22" s="1763"/>
      <c r="FN22" s="1761">
        <v>0</v>
      </c>
      <c r="FO22" s="1762"/>
      <c r="FP22" s="1762"/>
      <c r="FQ22" s="1762"/>
      <c r="FR22" s="1762"/>
      <c r="FS22" s="1762"/>
      <c r="FT22" s="1763"/>
      <c r="FU22" s="1761">
        <v>0</v>
      </c>
      <c r="FV22" s="1762"/>
      <c r="FW22" s="1762"/>
      <c r="FX22" s="1762"/>
      <c r="FY22" s="1762"/>
      <c r="FZ22" s="1762"/>
      <c r="GA22" s="1763"/>
      <c r="GB22" s="1761">
        <v>0</v>
      </c>
      <c r="GC22" s="1762"/>
      <c r="GD22" s="1762"/>
      <c r="GE22" s="1762"/>
      <c r="GF22" s="1762"/>
      <c r="GG22" s="1762"/>
      <c r="GH22" s="1763"/>
      <c r="GI22" s="1761">
        <v>0</v>
      </c>
      <c r="GJ22" s="1762"/>
      <c r="GK22" s="1762"/>
      <c r="GL22" s="1762"/>
      <c r="GM22" s="1762"/>
      <c r="GN22" s="1762"/>
      <c r="GO22" s="1763"/>
      <c r="GP22" s="1761">
        <v>0</v>
      </c>
      <c r="GQ22" s="1762"/>
      <c r="GR22" s="1762"/>
      <c r="GS22" s="1762"/>
      <c r="GT22" s="1762"/>
      <c r="GU22" s="1762"/>
      <c r="GV22" s="1763"/>
      <c r="GW22" s="1761">
        <v>0</v>
      </c>
      <c r="GX22" s="1762"/>
      <c r="GY22" s="1762"/>
      <c r="GZ22" s="1762"/>
      <c r="HA22" s="1762"/>
      <c r="HB22" s="1762"/>
      <c r="HC22" s="1763"/>
      <c r="HD22" s="1761">
        <v>0</v>
      </c>
      <c r="HE22" s="1762"/>
      <c r="HF22" s="1762"/>
      <c r="HG22" s="1762"/>
      <c r="HH22" s="1762"/>
      <c r="HI22" s="1762"/>
      <c r="HJ22" s="1763"/>
      <c r="HK22" s="1761">
        <v>0</v>
      </c>
      <c r="HL22" s="1762"/>
      <c r="HM22" s="1762"/>
      <c r="HN22" s="1762"/>
      <c r="HO22" s="1762"/>
      <c r="HP22" s="1762"/>
      <c r="HQ22" s="1763"/>
      <c r="HR22" s="1761">
        <v>0</v>
      </c>
      <c r="HS22" s="1762"/>
      <c r="HT22" s="1762"/>
      <c r="HU22" s="1762"/>
      <c r="HV22" s="1762"/>
      <c r="HW22" s="1762"/>
      <c r="HX22" s="1763"/>
      <c r="HY22" s="1761">
        <v>0</v>
      </c>
      <c r="HZ22" s="1762"/>
      <c r="IA22" s="1762"/>
      <c r="IB22" s="1762"/>
      <c r="IC22" s="1762"/>
      <c r="ID22" s="1762"/>
      <c r="IE22" s="1763"/>
      <c r="IF22" s="1761">
        <v>0</v>
      </c>
      <c r="IG22" s="1762"/>
      <c r="IH22" s="1762"/>
      <c r="II22" s="1762"/>
      <c r="IJ22" s="1762"/>
      <c r="IK22" s="1762"/>
      <c r="IL22" s="1763"/>
      <c r="IM22" s="1761">
        <v>0</v>
      </c>
      <c r="IN22" s="1762"/>
      <c r="IO22" s="1762"/>
      <c r="IP22" s="1762"/>
      <c r="IQ22" s="1762"/>
      <c r="IR22" s="1762"/>
      <c r="IS22" s="1763"/>
      <c r="IT22" s="1761">
        <v>0</v>
      </c>
      <c r="IU22" s="1762"/>
      <c r="IV22" s="1762"/>
      <c r="IW22" s="1762"/>
      <c r="IX22" s="1762"/>
      <c r="IY22" s="1762"/>
      <c r="IZ22" s="1763"/>
      <c r="JA22" s="1761">
        <v>0</v>
      </c>
      <c r="JB22" s="1762"/>
      <c r="JC22" s="1762"/>
      <c r="JD22" s="1762"/>
      <c r="JE22" s="1762"/>
      <c r="JF22" s="1762"/>
      <c r="JG22" s="1763"/>
      <c r="JH22" s="1761">
        <v>0</v>
      </c>
      <c r="JI22" s="1762"/>
      <c r="JJ22" s="1762"/>
      <c r="JK22" s="1762"/>
      <c r="JL22" s="1762"/>
      <c r="JM22" s="1762"/>
      <c r="JN22" s="1763"/>
      <c r="JO22" s="1761">
        <v>0</v>
      </c>
      <c r="JP22" s="1762"/>
      <c r="JQ22" s="1762"/>
      <c r="JR22" s="1762"/>
      <c r="JS22" s="1762"/>
      <c r="JT22" s="1762"/>
      <c r="JU22" s="1763"/>
      <c r="JV22" s="1761">
        <v>0</v>
      </c>
      <c r="JW22" s="1762"/>
      <c r="JX22" s="1762"/>
      <c r="JY22" s="1762"/>
      <c r="JZ22" s="1762"/>
      <c r="KA22" s="1762"/>
      <c r="KB22" s="1763"/>
      <c r="KC22" s="1761">
        <v>0</v>
      </c>
      <c r="KD22" s="1762"/>
      <c r="KE22" s="1762"/>
      <c r="KF22" s="1762"/>
      <c r="KG22" s="1762"/>
      <c r="KH22" s="1762"/>
      <c r="KI22" s="1763"/>
      <c r="KJ22" s="1761">
        <v>0</v>
      </c>
      <c r="KK22" s="1762"/>
      <c r="KL22" s="1762"/>
      <c r="KM22" s="1762"/>
      <c r="KN22" s="1762"/>
      <c r="KO22" s="1762"/>
      <c r="KP22" s="1763"/>
      <c r="KQ22" s="1761">
        <v>0</v>
      </c>
      <c r="KR22" s="1762"/>
      <c r="KS22" s="1762"/>
      <c r="KT22" s="1762"/>
      <c r="KU22" s="1762"/>
      <c r="KV22" s="1762"/>
      <c r="KW22" s="1763"/>
      <c r="KX22" s="1761">
        <v>0</v>
      </c>
      <c r="KY22" s="1762"/>
      <c r="KZ22" s="1762"/>
      <c r="LA22" s="1762"/>
      <c r="LB22" s="1762"/>
      <c r="LC22" s="1762"/>
      <c r="LD22" s="1763"/>
      <c r="LE22" s="1761">
        <v>0</v>
      </c>
      <c r="LF22" s="1762"/>
      <c r="LG22" s="1762"/>
      <c r="LH22" s="1762"/>
      <c r="LI22" s="1762"/>
      <c r="LJ22" s="1762"/>
      <c r="LK22" s="1763"/>
      <c r="LL22" s="1761">
        <v>0</v>
      </c>
      <c r="LM22" s="1762"/>
      <c r="LN22" s="1762"/>
      <c r="LO22" s="1762"/>
      <c r="LP22" s="1762"/>
      <c r="LQ22" s="1762"/>
      <c r="LR22" s="1763"/>
      <c r="LS22" s="1761">
        <v>0</v>
      </c>
      <c r="LT22" s="1762"/>
      <c r="LU22" s="1762"/>
      <c r="LV22" s="1762"/>
      <c r="LW22" s="1762"/>
      <c r="LX22" s="1762"/>
      <c r="LY22" s="1763"/>
      <c r="LZ22" s="1761">
        <v>0</v>
      </c>
      <c r="MA22" s="1762"/>
      <c r="MB22" s="1762"/>
      <c r="MC22" s="1762"/>
      <c r="MD22" s="1762"/>
      <c r="ME22" s="1762"/>
      <c r="MF22" s="1763"/>
      <c r="MG22" s="1761">
        <v>0</v>
      </c>
      <c r="MH22" s="1762"/>
      <c r="MI22" s="1762"/>
      <c r="MJ22" s="1762"/>
      <c r="MK22" s="1762"/>
      <c r="ML22" s="1762"/>
      <c r="MM22" s="1763"/>
      <c r="MN22" s="1761">
        <v>0</v>
      </c>
      <c r="MO22" s="1762"/>
      <c r="MP22" s="1762"/>
      <c r="MQ22" s="1762"/>
      <c r="MR22" s="1762"/>
      <c r="MS22" s="1762"/>
      <c r="MT22" s="1763"/>
      <c r="MU22" s="1761">
        <v>0</v>
      </c>
      <c r="MV22" s="1762"/>
      <c r="MW22" s="1762"/>
      <c r="MX22" s="1762"/>
      <c r="MY22" s="1762"/>
      <c r="MZ22" s="1762"/>
      <c r="NA22" s="1763"/>
      <c r="NB22" s="1761">
        <v>0</v>
      </c>
      <c r="NC22" s="1762"/>
      <c r="ND22" s="1762"/>
      <c r="NE22" s="1762"/>
      <c r="NF22" s="1762"/>
      <c r="NG22" s="1762"/>
      <c r="NH22" s="1763"/>
      <c r="NI22" s="1761">
        <v>0</v>
      </c>
      <c r="NJ22" s="1762"/>
      <c r="NK22" s="1762"/>
      <c r="NL22" s="1762"/>
      <c r="NM22" s="1762"/>
      <c r="NN22" s="1762"/>
      <c r="NO22" s="1763"/>
      <c r="NP22" s="1761">
        <v>0</v>
      </c>
      <c r="NQ22" s="1762"/>
      <c r="NR22" s="1762"/>
      <c r="NS22" s="1762"/>
      <c r="NT22" s="1762"/>
      <c r="NU22" s="1762"/>
      <c r="NV22" s="1763"/>
      <c r="NW22" s="1761">
        <v>0</v>
      </c>
      <c r="NX22" s="1762"/>
      <c r="NY22" s="1762"/>
      <c r="NZ22" s="1762"/>
      <c r="OA22" s="1762"/>
      <c r="OB22" s="1762"/>
      <c r="OC22" s="1763"/>
      <c r="OD22" s="1761">
        <v>0</v>
      </c>
      <c r="OE22" s="1762"/>
      <c r="OF22" s="1762"/>
      <c r="OG22" s="1762"/>
      <c r="OH22" s="1762"/>
      <c r="OI22" s="1762"/>
      <c r="OJ22" s="1763"/>
      <c r="OK22" s="1761">
        <v>0</v>
      </c>
      <c r="OL22" s="1762"/>
      <c r="OM22" s="1762"/>
      <c r="ON22" s="1762"/>
      <c r="OO22" s="1762"/>
      <c r="OP22" s="1762"/>
      <c r="OQ22" s="1763"/>
    </row>
    <row r="23" spans="1:407" s="15" customFormat="1" ht="13.5" customHeight="1">
      <c r="A23" s="431" t="s">
        <v>454</v>
      </c>
      <c r="B23" s="533"/>
      <c r="C23" s="534" t="s">
        <v>455</v>
      </c>
      <c r="D23" s="535"/>
      <c r="E23" s="535"/>
      <c r="F23" s="535"/>
      <c r="G23" s="1767">
        <v>408578100</v>
      </c>
      <c r="H23" s="1768"/>
      <c r="I23" s="536"/>
      <c r="J23" s="537"/>
      <c r="K23" s="512"/>
      <c r="L23" s="539"/>
      <c r="M23" s="539"/>
      <c r="N23" s="539"/>
      <c r="O23" s="539"/>
      <c r="P23" s="1761">
        <v>0</v>
      </c>
      <c r="Q23" s="1762"/>
      <c r="R23" s="1762"/>
      <c r="S23" s="1762"/>
      <c r="T23" s="1762"/>
      <c r="U23" s="1762"/>
      <c r="V23" s="1763"/>
      <c r="W23" s="1761">
        <v>0</v>
      </c>
      <c r="X23" s="1762"/>
      <c r="Y23" s="1762"/>
      <c r="Z23" s="1762"/>
      <c r="AA23" s="1762"/>
      <c r="AB23" s="1762"/>
      <c r="AC23" s="1763"/>
      <c r="AD23" s="1761">
        <v>0</v>
      </c>
      <c r="AE23" s="1762"/>
      <c r="AF23" s="1762"/>
      <c r="AG23" s="1762"/>
      <c r="AH23" s="1762"/>
      <c r="AI23" s="1762"/>
      <c r="AJ23" s="1763"/>
      <c r="AK23" s="1761">
        <v>0</v>
      </c>
      <c r="AL23" s="1762"/>
      <c r="AM23" s="1762"/>
      <c r="AN23" s="1762"/>
      <c r="AO23" s="1762"/>
      <c r="AP23" s="1762"/>
      <c r="AQ23" s="1763"/>
      <c r="AR23" s="1761">
        <v>0</v>
      </c>
      <c r="AS23" s="1762"/>
      <c r="AT23" s="1762"/>
      <c r="AU23" s="1762"/>
      <c r="AV23" s="1762"/>
      <c r="AW23" s="1762"/>
      <c r="AX23" s="1763"/>
      <c r="AY23" s="1761">
        <v>0</v>
      </c>
      <c r="AZ23" s="1762"/>
      <c r="BA23" s="1762"/>
      <c r="BB23" s="1762"/>
      <c r="BC23" s="1762"/>
      <c r="BD23" s="1762"/>
      <c r="BE23" s="1763"/>
      <c r="BF23" s="1761">
        <v>0</v>
      </c>
      <c r="BG23" s="1762"/>
      <c r="BH23" s="1762"/>
      <c r="BI23" s="1762"/>
      <c r="BJ23" s="1762"/>
      <c r="BK23" s="1762"/>
      <c r="BL23" s="1763"/>
      <c r="BM23" s="1761">
        <v>0</v>
      </c>
      <c r="BN23" s="1762"/>
      <c r="BO23" s="1762"/>
      <c r="BP23" s="1762"/>
      <c r="BQ23" s="1762"/>
      <c r="BR23" s="1762"/>
      <c r="BS23" s="1763"/>
      <c r="BT23" s="1761">
        <v>0</v>
      </c>
      <c r="BU23" s="1762"/>
      <c r="BV23" s="1762"/>
      <c r="BW23" s="1762"/>
      <c r="BX23" s="1762"/>
      <c r="BY23" s="1762"/>
      <c r="BZ23" s="1763"/>
      <c r="CA23" s="1761">
        <v>0</v>
      </c>
      <c r="CB23" s="1762"/>
      <c r="CC23" s="1762"/>
      <c r="CD23" s="1762"/>
      <c r="CE23" s="1762"/>
      <c r="CF23" s="1762"/>
      <c r="CG23" s="1763"/>
      <c r="CH23" s="1761">
        <v>0</v>
      </c>
      <c r="CI23" s="1762"/>
      <c r="CJ23" s="1762"/>
      <c r="CK23" s="1762"/>
      <c r="CL23" s="1762"/>
      <c r="CM23" s="1762"/>
      <c r="CN23" s="1763"/>
      <c r="CO23" s="1761">
        <v>0</v>
      </c>
      <c r="CP23" s="1762"/>
      <c r="CQ23" s="1762"/>
      <c r="CR23" s="1762"/>
      <c r="CS23" s="1762"/>
      <c r="CT23" s="1762"/>
      <c r="CU23" s="1763"/>
      <c r="CV23" s="1761">
        <v>0</v>
      </c>
      <c r="CW23" s="1762"/>
      <c r="CX23" s="1762"/>
      <c r="CY23" s="1762"/>
      <c r="CZ23" s="1762"/>
      <c r="DA23" s="1762"/>
      <c r="DB23" s="1763"/>
      <c r="DC23" s="1761">
        <v>0</v>
      </c>
      <c r="DD23" s="1762"/>
      <c r="DE23" s="1762"/>
      <c r="DF23" s="1762"/>
      <c r="DG23" s="1762"/>
      <c r="DH23" s="1762"/>
      <c r="DI23" s="1763"/>
      <c r="DJ23" s="1761">
        <v>0</v>
      </c>
      <c r="DK23" s="1762"/>
      <c r="DL23" s="1762"/>
      <c r="DM23" s="1762"/>
      <c r="DN23" s="1762"/>
      <c r="DO23" s="1762"/>
      <c r="DP23" s="1763"/>
      <c r="DQ23" s="1761">
        <v>0</v>
      </c>
      <c r="DR23" s="1762"/>
      <c r="DS23" s="1762"/>
      <c r="DT23" s="1762"/>
      <c r="DU23" s="1762"/>
      <c r="DV23" s="1762"/>
      <c r="DW23" s="1763"/>
      <c r="DX23" s="1761">
        <v>0</v>
      </c>
      <c r="DY23" s="1762"/>
      <c r="DZ23" s="1762"/>
      <c r="EA23" s="1762"/>
      <c r="EB23" s="1762"/>
      <c r="EC23" s="1762"/>
      <c r="ED23" s="1763"/>
      <c r="EE23" s="1761">
        <v>0</v>
      </c>
      <c r="EF23" s="1762"/>
      <c r="EG23" s="1762"/>
      <c r="EH23" s="1762"/>
      <c r="EI23" s="1762"/>
      <c r="EJ23" s="1762"/>
      <c r="EK23" s="1763"/>
      <c r="EL23" s="1761">
        <v>0</v>
      </c>
      <c r="EM23" s="1762"/>
      <c r="EN23" s="1762"/>
      <c r="EO23" s="1762"/>
      <c r="EP23" s="1762"/>
      <c r="EQ23" s="1762"/>
      <c r="ER23" s="1763"/>
      <c r="ES23" s="1761">
        <v>0</v>
      </c>
      <c r="ET23" s="1762"/>
      <c r="EU23" s="1762"/>
      <c r="EV23" s="1762"/>
      <c r="EW23" s="1762"/>
      <c r="EX23" s="1762"/>
      <c r="EY23" s="1763"/>
      <c r="EZ23" s="1761">
        <v>0</v>
      </c>
      <c r="FA23" s="1762"/>
      <c r="FB23" s="1762"/>
      <c r="FC23" s="1762"/>
      <c r="FD23" s="1762"/>
      <c r="FE23" s="1762"/>
      <c r="FF23" s="1763"/>
      <c r="FG23" s="1761">
        <v>0</v>
      </c>
      <c r="FH23" s="1762"/>
      <c r="FI23" s="1762"/>
      <c r="FJ23" s="1762"/>
      <c r="FK23" s="1762"/>
      <c r="FL23" s="1762"/>
      <c r="FM23" s="1763"/>
      <c r="FN23" s="1761">
        <v>0</v>
      </c>
      <c r="FO23" s="1762"/>
      <c r="FP23" s="1762"/>
      <c r="FQ23" s="1762"/>
      <c r="FR23" s="1762"/>
      <c r="FS23" s="1762"/>
      <c r="FT23" s="1763"/>
      <c r="FU23" s="1761">
        <v>0</v>
      </c>
      <c r="FV23" s="1762"/>
      <c r="FW23" s="1762"/>
      <c r="FX23" s="1762"/>
      <c r="FY23" s="1762"/>
      <c r="FZ23" s="1762"/>
      <c r="GA23" s="1763"/>
      <c r="GB23" s="1761">
        <v>0</v>
      </c>
      <c r="GC23" s="1762"/>
      <c r="GD23" s="1762"/>
      <c r="GE23" s="1762"/>
      <c r="GF23" s="1762"/>
      <c r="GG23" s="1762"/>
      <c r="GH23" s="1763"/>
      <c r="GI23" s="1761">
        <v>0</v>
      </c>
      <c r="GJ23" s="1762"/>
      <c r="GK23" s="1762"/>
      <c r="GL23" s="1762"/>
      <c r="GM23" s="1762"/>
      <c r="GN23" s="1762"/>
      <c r="GO23" s="1763"/>
      <c r="GP23" s="1761">
        <v>0</v>
      </c>
      <c r="GQ23" s="1762"/>
      <c r="GR23" s="1762"/>
      <c r="GS23" s="1762"/>
      <c r="GT23" s="1762"/>
      <c r="GU23" s="1762"/>
      <c r="GV23" s="1763"/>
      <c r="GW23" s="1761">
        <v>0</v>
      </c>
      <c r="GX23" s="1762"/>
      <c r="GY23" s="1762"/>
      <c r="GZ23" s="1762"/>
      <c r="HA23" s="1762"/>
      <c r="HB23" s="1762"/>
      <c r="HC23" s="1763"/>
      <c r="HD23" s="1761">
        <v>0</v>
      </c>
      <c r="HE23" s="1762"/>
      <c r="HF23" s="1762"/>
      <c r="HG23" s="1762"/>
      <c r="HH23" s="1762"/>
      <c r="HI23" s="1762"/>
      <c r="HJ23" s="1763"/>
      <c r="HK23" s="1761">
        <v>0</v>
      </c>
      <c r="HL23" s="1762"/>
      <c r="HM23" s="1762"/>
      <c r="HN23" s="1762"/>
      <c r="HO23" s="1762"/>
      <c r="HP23" s="1762"/>
      <c r="HQ23" s="1763"/>
      <c r="HR23" s="1761">
        <v>0</v>
      </c>
      <c r="HS23" s="1762"/>
      <c r="HT23" s="1762"/>
      <c r="HU23" s="1762"/>
      <c r="HV23" s="1762"/>
      <c r="HW23" s="1762"/>
      <c r="HX23" s="1763"/>
      <c r="HY23" s="1761">
        <v>0</v>
      </c>
      <c r="HZ23" s="1762"/>
      <c r="IA23" s="1762"/>
      <c r="IB23" s="1762"/>
      <c r="IC23" s="1762"/>
      <c r="ID23" s="1762"/>
      <c r="IE23" s="1763"/>
      <c r="IF23" s="1761">
        <v>0</v>
      </c>
      <c r="IG23" s="1762"/>
      <c r="IH23" s="1762"/>
      <c r="II23" s="1762"/>
      <c r="IJ23" s="1762"/>
      <c r="IK23" s="1762"/>
      <c r="IL23" s="1763"/>
      <c r="IM23" s="1761">
        <v>0</v>
      </c>
      <c r="IN23" s="1762"/>
      <c r="IO23" s="1762"/>
      <c r="IP23" s="1762"/>
      <c r="IQ23" s="1762"/>
      <c r="IR23" s="1762"/>
      <c r="IS23" s="1763"/>
      <c r="IT23" s="1761">
        <v>0</v>
      </c>
      <c r="IU23" s="1762"/>
      <c r="IV23" s="1762"/>
      <c r="IW23" s="1762"/>
      <c r="IX23" s="1762"/>
      <c r="IY23" s="1762"/>
      <c r="IZ23" s="1763"/>
      <c r="JA23" s="1761">
        <v>0</v>
      </c>
      <c r="JB23" s="1762"/>
      <c r="JC23" s="1762"/>
      <c r="JD23" s="1762"/>
      <c r="JE23" s="1762"/>
      <c r="JF23" s="1762"/>
      <c r="JG23" s="1763"/>
      <c r="JH23" s="1761">
        <v>0</v>
      </c>
      <c r="JI23" s="1762"/>
      <c r="JJ23" s="1762"/>
      <c r="JK23" s="1762"/>
      <c r="JL23" s="1762"/>
      <c r="JM23" s="1762"/>
      <c r="JN23" s="1763"/>
      <c r="JO23" s="1761">
        <v>0</v>
      </c>
      <c r="JP23" s="1762"/>
      <c r="JQ23" s="1762"/>
      <c r="JR23" s="1762"/>
      <c r="JS23" s="1762"/>
      <c r="JT23" s="1762"/>
      <c r="JU23" s="1763"/>
      <c r="JV23" s="1761">
        <v>0</v>
      </c>
      <c r="JW23" s="1762"/>
      <c r="JX23" s="1762"/>
      <c r="JY23" s="1762"/>
      <c r="JZ23" s="1762"/>
      <c r="KA23" s="1762"/>
      <c r="KB23" s="1763"/>
      <c r="KC23" s="1761">
        <v>0</v>
      </c>
      <c r="KD23" s="1762"/>
      <c r="KE23" s="1762"/>
      <c r="KF23" s="1762"/>
      <c r="KG23" s="1762"/>
      <c r="KH23" s="1762"/>
      <c r="KI23" s="1763"/>
      <c r="KJ23" s="1761">
        <v>0</v>
      </c>
      <c r="KK23" s="1762"/>
      <c r="KL23" s="1762"/>
      <c r="KM23" s="1762"/>
      <c r="KN23" s="1762"/>
      <c r="KO23" s="1762"/>
      <c r="KP23" s="1763"/>
      <c r="KQ23" s="1761">
        <v>0</v>
      </c>
      <c r="KR23" s="1762"/>
      <c r="KS23" s="1762"/>
      <c r="KT23" s="1762"/>
      <c r="KU23" s="1762"/>
      <c r="KV23" s="1762"/>
      <c r="KW23" s="1763"/>
      <c r="KX23" s="1761">
        <v>0</v>
      </c>
      <c r="KY23" s="1762"/>
      <c r="KZ23" s="1762"/>
      <c r="LA23" s="1762"/>
      <c r="LB23" s="1762"/>
      <c r="LC23" s="1762"/>
      <c r="LD23" s="1763"/>
      <c r="LE23" s="1761">
        <v>0</v>
      </c>
      <c r="LF23" s="1762"/>
      <c r="LG23" s="1762"/>
      <c r="LH23" s="1762"/>
      <c r="LI23" s="1762"/>
      <c r="LJ23" s="1762"/>
      <c r="LK23" s="1763"/>
      <c r="LL23" s="1761">
        <v>0</v>
      </c>
      <c r="LM23" s="1762"/>
      <c r="LN23" s="1762"/>
      <c r="LO23" s="1762"/>
      <c r="LP23" s="1762"/>
      <c r="LQ23" s="1762"/>
      <c r="LR23" s="1763"/>
      <c r="LS23" s="1761">
        <v>0</v>
      </c>
      <c r="LT23" s="1762"/>
      <c r="LU23" s="1762"/>
      <c r="LV23" s="1762"/>
      <c r="LW23" s="1762"/>
      <c r="LX23" s="1762"/>
      <c r="LY23" s="1763"/>
      <c r="LZ23" s="1761">
        <v>0</v>
      </c>
      <c r="MA23" s="1762"/>
      <c r="MB23" s="1762"/>
      <c r="MC23" s="1762"/>
      <c r="MD23" s="1762"/>
      <c r="ME23" s="1762"/>
      <c r="MF23" s="1763"/>
      <c r="MG23" s="1761">
        <v>0</v>
      </c>
      <c r="MH23" s="1762"/>
      <c r="MI23" s="1762"/>
      <c r="MJ23" s="1762"/>
      <c r="MK23" s="1762"/>
      <c r="ML23" s="1762"/>
      <c r="MM23" s="1763"/>
      <c r="MN23" s="1761">
        <v>0</v>
      </c>
      <c r="MO23" s="1762"/>
      <c r="MP23" s="1762"/>
      <c r="MQ23" s="1762"/>
      <c r="MR23" s="1762"/>
      <c r="MS23" s="1762"/>
      <c r="MT23" s="1763"/>
      <c r="MU23" s="1761">
        <v>0</v>
      </c>
      <c r="MV23" s="1762"/>
      <c r="MW23" s="1762"/>
      <c r="MX23" s="1762"/>
      <c r="MY23" s="1762"/>
      <c r="MZ23" s="1762"/>
      <c r="NA23" s="1763"/>
      <c r="NB23" s="1761">
        <v>0</v>
      </c>
      <c r="NC23" s="1762"/>
      <c r="ND23" s="1762"/>
      <c r="NE23" s="1762"/>
      <c r="NF23" s="1762"/>
      <c r="NG23" s="1762"/>
      <c r="NH23" s="1763"/>
      <c r="NI23" s="1761">
        <v>0</v>
      </c>
      <c r="NJ23" s="1762"/>
      <c r="NK23" s="1762"/>
      <c r="NL23" s="1762"/>
      <c r="NM23" s="1762"/>
      <c r="NN23" s="1762"/>
      <c r="NO23" s="1763"/>
      <c r="NP23" s="1761">
        <v>0</v>
      </c>
      <c r="NQ23" s="1762"/>
      <c r="NR23" s="1762"/>
      <c r="NS23" s="1762"/>
      <c r="NT23" s="1762"/>
      <c r="NU23" s="1762"/>
      <c r="NV23" s="1763"/>
      <c r="NW23" s="1761">
        <v>0</v>
      </c>
      <c r="NX23" s="1762"/>
      <c r="NY23" s="1762"/>
      <c r="NZ23" s="1762"/>
      <c r="OA23" s="1762"/>
      <c r="OB23" s="1762"/>
      <c r="OC23" s="1763"/>
      <c r="OD23" s="1761">
        <v>0</v>
      </c>
      <c r="OE23" s="1762"/>
      <c r="OF23" s="1762"/>
      <c r="OG23" s="1762"/>
      <c r="OH23" s="1762"/>
      <c r="OI23" s="1762"/>
      <c r="OJ23" s="1763"/>
      <c r="OK23" s="1761">
        <v>0</v>
      </c>
      <c r="OL23" s="1762"/>
      <c r="OM23" s="1762"/>
      <c r="ON23" s="1762"/>
      <c r="OO23" s="1762"/>
      <c r="OP23" s="1762"/>
      <c r="OQ23" s="1763"/>
    </row>
    <row r="24" spans="1:407" s="15" customFormat="1" ht="13.5" customHeight="1" thickBot="1">
      <c r="A24" s="431"/>
      <c r="B24" s="533"/>
      <c r="C24" s="1764" t="s">
        <v>456</v>
      </c>
      <c r="D24" s="1765"/>
      <c r="E24" s="1765"/>
      <c r="F24" s="1765"/>
      <c r="G24" s="1765"/>
      <c r="H24" s="1765"/>
      <c r="I24" s="1766"/>
      <c r="J24" s="540"/>
      <c r="K24" s="541" t="s">
        <v>158</v>
      </c>
      <c r="L24" s="490">
        <v>0</v>
      </c>
      <c r="M24" s="490"/>
      <c r="N24" s="490"/>
      <c r="O24" s="490"/>
      <c r="P24" s="1755">
        <v>0</v>
      </c>
      <c r="Q24" s="1756"/>
      <c r="R24" s="1756"/>
      <c r="S24" s="1756"/>
      <c r="T24" s="1756"/>
      <c r="U24" s="1756"/>
      <c r="V24" s="1757"/>
      <c r="W24" s="1755">
        <v>0</v>
      </c>
      <c r="X24" s="1756"/>
      <c r="Y24" s="1756"/>
      <c r="Z24" s="1756"/>
      <c r="AA24" s="1756"/>
      <c r="AB24" s="1756"/>
      <c r="AC24" s="1757"/>
      <c r="AD24" s="1755">
        <v>0</v>
      </c>
      <c r="AE24" s="1756"/>
      <c r="AF24" s="1756"/>
      <c r="AG24" s="1756"/>
      <c r="AH24" s="1756"/>
      <c r="AI24" s="1756"/>
      <c r="AJ24" s="1757"/>
      <c r="AK24" s="1755">
        <v>0</v>
      </c>
      <c r="AL24" s="1756"/>
      <c r="AM24" s="1756"/>
      <c r="AN24" s="1756"/>
      <c r="AO24" s="1756"/>
      <c r="AP24" s="1756"/>
      <c r="AQ24" s="1757"/>
      <c r="AR24" s="1755">
        <v>0</v>
      </c>
      <c r="AS24" s="1756"/>
      <c r="AT24" s="1756"/>
      <c r="AU24" s="1756"/>
      <c r="AV24" s="1756"/>
      <c r="AW24" s="1756"/>
      <c r="AX24" s="1757"/>
      <c r="AY24" s="1755">
        <v>0</v>
      </c>
      <c r="AZ24" s="1756"/>
      <c r="BA24" s="1756"/>
      <c r="BB24" s="1756"/>
      <c r="BC24" s="1756"/>
      <c r="BD24" s="1756"/>
      <c r="BE24" s="1757"/>
      <c r="BF24" s="1755">
        <v>0</v>
      </c>
      <c r="BG24" s="1756"/>
      <c r="BH24" s="1756"/>
      <c r="BI24" s="1756"/>
      <c r="BJ24" s="1756"/>
      <c r="BK24" s="1756"/>
      <c r="BL24" s="1757"/>
      <c r="BM24" s="1755">
        <v>0</v>
      </c>
      <c r="BN24" s="1756"/>
      <c r="BO24" s="1756"/>
      <c r="BP24" s="1756"/>
      <c r="BQ24" s="1756"/>
      <c r="BR24" s="1756"/>
      <c r="BS24" s="1757"/>
      <c r="BT24" s="1755">
        <v>0</v>
      </c>
      <c r="BU24" s="1756"/>
      <c r="BV24" s="1756"/>
      <c r="BW24" s="1756"/>
      <c r="BX24" s="1756"/>
      <c r="BY24" s="1756"/>
      <c r="BZ24" s="1757"/>
      <c r="CA24" s="1755">
        <v>0</v>
      </c>
      <c r="CB24" s="1756"/>
      <c r="CC24" s="1756"/>
      <c r="CD24" s="1756"/>
      <c r="CE24" s="1756"/>
      <c r="CF24" s="1756"/>
      <c r="CG24" s="1757"/>
      <c r="CH24" s="1755">
        <v>0</v>
      </c>
      <c r="CI24" s="1756"/>
      <c r="CJ24" s="1756"/>
      <c r="CK24" s="1756"/>
      <c r="CL24" s="1756"/>
      <c r="CM24" s="1756"/>
      <c r="CN24" s="1757"/>
      <c r="CO24" s="1755">
        <v>0</v>
      </c>
      <c r="CP24" s="1756"/>
      <c r="CQ24" s="1756"/>
      <c r="CR24" s="1756"/>
      <c r="CS24" s="1756"/>
      <c r="CT24" s="1756"/>
      <c r="CU24" s="1757"/>
      <c r="CV24" s="1755">
        <v>0</v>
      </c>
      <c r="CW24" s="1756"/>
      <c r="CX24" s="1756"/>
      <c r="CY24" s="1756"/>
      <c r="CZ24" s="1756"/>
      <c r="DA24" s="1756"/>
      <c r="DB24" s="1757"/>
      <c r="DC24" s="1755">
        <v>0</v>
      </c>
      <c r="DD24" s="1756"/>
      <c r="DE24" s="1756"/>
      <c r="DF24" s="1756"/>
      <c r="DG24" s="1756"/>
      <c r="DH24" s="1756"/>
      <c r="DI24" s="1757"/>
      <c r="DJ24" s="1755">
        <v>0</v>
      </c>
      <c r="DK24" s="1756"/>
      <c r="DL24" s="1756"/>
      <c r="DM24" s="1756"/>
      <c r="DN24" s="1756"/>
      <c r="DO24" s="1756"/>
      <c r="DP24" s="1757"/>
      <c r="DQ24" s="1755">
        <v>0</v>
      </c>
      <c r="DR24" s="1756"/>
      <c r="DS24" s="1756"/>
      <c r="DT24" s="1756"/>
      <c r="DU24" s="1756"/>
      <c r="DV24" s="1756"/>
      <c r="DW24" s="1757"/>
      <c r="DX24" s="1755">
        <v>0</v>
      </c>
      <c r="DY24" s="1756"/>
      <c r="DZ24" s="1756"/>
      <c r="EA24" s="1756"/>
      <c r="EB24" s="1756"/>
      <c r="EC24" s="1756"/>
      <c r="ED24" s="1757"/>
      <c r="EE24" s="1755">
        <v>0</v>
      </c>
      <c r="EF24" s="1756"/>
      <c r="EG24" s="1756"/>
      <c r="EH24" s="1756"/>
      <c r="EI24" s="1756"/>
      <c r="EJ24" s="1756"/>
      <c r="EK24" s="1757"/>
      <c r="EL24" s="1755">
        <v>0</v>
      </c>
      <c r="EM24" s="1756"/>
      <c r="EN24" s="1756"/>
      <c r="EO24" s="1756"/>
      <c r="EP24" s="1756"/>
      <c r="EQ24" s="1756"/>
      <c r="ER24" s="1757"/>
      <c r="ES24" s="1755">
        <v>0</v>
      </c>
      <c r="ET24" s="1756"/>
      <c r="EU24" s="1756"/>
      <c r="EV24" s="1756"/>
      <c r="EW24" s="1756"/>
      <c r="EX24" s="1756"/>
      <c r="EY24" s="1757"/>
      <c r="EZ24" s="1755">
        <v>0</v>
      </c>
      <c r="FA24" s="1756"/>
      <c r="FB24" s="1756"/>
      <c r="FC24" s="1756"/>
      <c r="FD24" s="1756"/>
      <c r="FE24" s="1756"/>
      <c r="FF24" s="1757"/>
      <c r="FG24" s="1755">
        <v>0</v>
      </c>
      <c r="FH24" s="1756"/>
      <c r="FI24" s="1756"/>
      <c r="FJ24" s="1756"/>
      <c r="FK24" s="1756"/>
      <c r="FL24" s="1756"/>
      <c r="FM24" s="1757"/>
      <c r="FN24" s="1755">
        <v>0</v>
      </c>
      <c r="FO24" s="1756"/>
      <c r="FP24" s="1756"/>
      <c r="FQ24" s="1756"/>
      <c r="FR24" s="1756"/>
      <c r="FS24" s="1756"/>
      <c r="FT24" s="1757"/>
      <c r="FU24" s="1755">
        <v>0</v>
      </c>
      <c r="FV24" s="1756"/>
      <c r="FW24" s="1756"/>
      <c r="FX24" s="1756"/>
      <c r="FY24" s="1756"/>
      <c r="FZ24" s="1756"/>
      <c r="GA24" s="1757"/>
      <c r="GB24" s="1755">
        <v>0</v>
      </c>
      <c r="GC24" s="1756"/>
      <c r="GD24" s="1756"/>
      <c r="GE24" s="1756"/>
      <c r="GF24" s="1756"/>
      <c r="GG24" s="1756"/>
      <c r="GH24" s="1757"/>
      <c r="GI24" s="1755">
        <v>0</v>
      </c>
      <c r="GJ24" s="1756"/>
      <c r="GK24" s="1756"/>
      <c r="GL24" s="1756"/>
      <c r="GM24" s="1756"/>
      <c r="GN24" s="1756"/>
      <c r="GO24" s="1757"/>
      <c r="GP24" s="1755">
        <v>0</v>
      </c>
      <c r="GQ24" s="1756"/>
      <c r="GR24" s="1756"/>
      <c r="GS24" s="1756"/>
      <c r="GT24" s="1756"/>
      <c r="GU24" s="1756"/>
      <c r="GV24" s="1757"/>
      <c r="GW24" s="1755">
        <v>0</v>
      </c>
      <c r="GX24" s="1756"/>
      <c r="GY24" s="1756"/>
      <c r="GZ24" s="1756"/>
      <c r="HA24" s="1756"/>
      <c r="HB24" s="1756"/>
      <c r="HC24" s="1757"/>
      <c r="HD24" s="1755">
        <v>0</v>
      </c>
      <c r="HE24" s="1756"/>
      <c r="HF24" s="1756"/>
      <c r="HG24" s="1756"/>
      <c r="HH24" s="1756"/>
      <c r="HI24" s="1756"/>
      <c r="HJ24" s="1757"/>
      <c r="HK24" s="1755">
        <v>0</v>
      </c>
      <c r="HL24" s="1756"/>
      <c r="HM24" s="1756"/>
      <c r="HN24" s="1756"/>
      <c r="HO24" s="1756"/>
      <c r="HP24" s="1756"/>
      <c r="HQ24" s="1757"/>
      <c r="HR24" s="1755">
        <v>0</v>
      </c>
      <c r="HS24" s="1756"/>
      <c r="HT24" s="1756"/>
      <c r="HU24" s="1756"/>
      <c r="HV24" s="1756"/>
      <c r="HW24" s="1756"/>
      <c r="HX24" s="1757"/>
      <c r="HY24" s="1755">
        <v>0</v>
      </c>
      <c r="HZ24" s="1756"/>
      <c r="IA24" s="1756"/>
      <c r="IB24" s="1756"/>
      <c r="IC24" s="1756"/>
      <c r="ID24" s="1756"/>
      <c r="IE24" s="1757"/>
      <c r="IF24" s="1755">
        <v>0</v>
      </c>
      <c r="IG24" s="1756"/>
      <c r="IH24" s="1756"/>
      <c r="II24" s="1756"/>
      <c r="IJ24" s="1756"/>
      <c r="IK24" s="1756"/>
      <c r="IL24" s="1757"/>
      <c r="IM24" s="1755">
        <v>0</v>
      </c>
      <c r="IN24" s="1756"/>
      <c r="IO24" s="1756"/>
      <c r="IP24" s="1756"/>
      <c r="IQ24" s="1756"/>
      <c r="IR24" s="1756"/>
      <c r="IS24" s="1757"/>
      <c r="IT24" s="1755">
        <v>0</v>
      </c>
      <c r="IU24" s="1756"/>
      <c r="IV24" s="1756"/>
      <c r="IW24" s="1756"/>
      <c r="IX24" s="1756"/>
      <c r="IY24" s="1756"/>
      <c r="IZ24" s="1757"/>
      <c r="JA24" s="1755">
        <v>0</v>
      </c>
      <c r="JB24" s="1756"/>
      <c r="JC24" s="1756"/>
      <c r="JD24" s="1756"/>
      <c r="JE24" s="1756"/>
      <c r="JF24" s="1756"/>
      <c r="JG24" s="1757"/>
      <c r="JH24" s="1755">
        <v>0</v>
      </c>
      <c r="JI24" s="1756"/>
      <c r="JJ24" s="1756"/>
      <c r="JK24" s="1756"/>
      <c r="JL24" s="1756"/>
      <c r="JM24" s="1756"/>
      <c r="JN24" s="1757"/>
      <c r="JO24" s="1755">
        <v>0</v>
      </c>
      <c r="JP24" s="1756"/>
      <c r="JQ24" s="1756"/>
      <c r="JR24" s="1756"/>
      <c r="JS24" s="1756"/>
      <c r="JT24" s="1756"/>
      <c r="JU24" s="1757"/>
      <c r="JV24" s="1755">
        <v>0</v>
      </c>
      <c r="JW24" s="1756"/>
      <c r="JX24" s="1756"/>
      <c r="JY24" s="1756"/>
      <c r="JZ24" s="1756"/>
      <c r="KA24" s="1756"/>
      <c r="KB24" s="1757"/>
      <c r="KC24" s="1755">
        <v>0</v>
      </c>
      <c r="KD24" s="1756"/>
      <c r="KE24" s="1756"/>
      <c r="KF24" s="1756"/>
      <c r="KG24" s="1756"/>
      <c r="KH24" s="1756"/>
      <c r="KI24" s="1757"/>
      <c r="KJ24" s="1755">
        <v>0</v>
      </c>
      <c r="KK24" s="1756"/>
      <c r="KL24" s="1756"/>
      <c r="KM24" s="1756"/>
      <c r="KN24" s="1756"/>
      <c r="KO24" s="1756"/>
      <c r="KP24" s="1757"/>
      <c r="KQ24" s="1755">
        <v>0</v>
      </c>
      <c r="KR24" s="1756"/>
      <c r="KS24" s="1756"/>
      <c r="KT24" s="1756"/>
      <c r="KU24" s="1756"/>
      <c r="KV24" s="1756"/>
      <c r="KW24" s="1757"/>
      <c r="KX24" s="1755">
        <v>0</v>
      </c>
      <c r="KY24" s="1756"/>
      <c r="KZ24" s="1756"/>
      <c r="LA24" s="1756"/>
      <c r="LB24" s="1756"/>
      <c r="LC24" s="1756"/>
      <c r="LD24" s="1757"/>
      <c r="LE24" s="1755">
        <v>0</v>
      </c>
      <c r="LF24" s="1756"/>
      <c r="LG24" s="1756"/>
      <c r="LH24" s="1756"/>
      <c r="LI24" s="1756"/>
      <c r="LJ24" s="1756"/>
      <c r="LK24" s="1757"/>
      <c r="LL24" s="1755">
        <v>0</v>
      </c>
      <c r="LM24" s="1756"/>
      <c r="LN24" s="1756"/>
      <c r="LO24" s="1756"/>
      <c r="LP24" s="1756"/>
      <c r="LQ24" s="1756"/>
      <c r="LR24" s="1757"/>
      <c r="LS24" s="1755">
        <v>0</v>
      </c>
      <c r="LT24" s="1756"/>
      <c r="LU24" s="1756"/>
      <c r="LV24" s="1756"/>
      <c r="LW24" s="1756"/>
      <c r="LX24" s="1756"/>
      <c r="LY24" s="1757"/>
      <c r="LZ24" s="1755">
        <v>0</v>
      </c>
      <c r="MA24" s="1756"/>
      <c r="MB24" s="1756"/>
      <c r="MC24" s="1756"/>
      <c r="MD24" s="1756"/>
      <c r="ME24" s="1756"/>
      <c r="MF24" s="1757"/>
      <c r="MG24" s="1755">
        <v>0</v>
      </c>
      <c r="MH24" s="1756"/>
      <c r="MI24" s="1756"/>
      <c r="MJ24" s="1756"/>
      <c r="MK24" s="1756"/>
      <c r="ML24" s="1756"/>
      <c r="MM24" s="1757"/>
      <c r="MN24" s="1755">
        <v>0</v>
      </c>
      <c r="MO24" s="1756"/>
      <c r="MP24" s="1756"/>
      <c r="MQ24" s="1756"/>
      <c r="MR24" s="1756"/>
      <c r="MS24" s="1756"/>
      <c r="MT24" s="1757"/>
      <c r="MU24" s="1755">
        <v>0</v>
      </c>
      <c r="MV24" s="1756"/>
      <c r="MW24" s="1756"/>
      <c r="MX24" s="1756"/>
      <c r="MY24" s="1756"/>
      <c r="MZ24" s="1756"/>
      <c r="NA24" s="1757"/>
      <c r="NB24" s="1755">
        <v>0</v>
      </c>
      <c r="NC24" s="1756"/>
      <c r="ND24" s="1756"/>
      <c r="NE24" s="1756"/>
      <c r="NF24" s="1756"/>
      <c r="NG24" s="1756"/>
      <c r="NH24" s="1757"/>
      <c r="NI24" s="1755">
        <v>0</v>
      </c>
      <c r="NJ24" s="1756"/>
      <c r="NK24" s="1756"/>
      <c r="NL24" s="1756"/>
      <c r="NM24" s="1756"/>
      <c r="NN24" s="1756"/>
      <c r="NO24" s="1757"/>
      <c r="NP24" s="1755">
        <v>0</v>
      </c>
      <c r="NQ24" s="1756"/>
      <c r="NR24" s="1756"/>
      <c r="NS24" s="1756"/>
      <c r="NT24" s="1756"/>
      <c r="NU24" s="1756"/>
      <c r="NV24" s="1757"/>
      <c r="NW24" s="1755">
        <v>0</v>
      </c>
      <c r="NX24" s="1756"/>
      <c r="NY24" s="1756"/>
      <c r="NZ24" s="1756"/>
      <c r="OA24" s="1756"/>
      <c r="OB24" s="1756"/>
      <c r="OC24" s="1757"/>
      <c r="OD24" s="1755">
        <v>0</v>
      </c>
      <c r="OE24" s="1756"/>
      <c r="OF24" s="1756"/>
      <c r="OG24" s="1756"/>
      <c r="OH24" s="1756"/>
      <c r="OI24" s="1756"/>
      <c r="OJ24" s="1757"/>
      <c r="OK24" s="1755">
        <v>0</v>
      </c>
      <c r="OL24" s="1756"/>
      <c r="OM24" s="1756"/>
      <c r="ON24" s="1756"/>
      <c r="OO24" s="1756"/>
      <c r="OP24" s="1756"/>
      <c r="OQ24" s="1757"/>
    </row>
    <row r="25" spans="1:407" s="15" customFormat="1" ht="12.75" customHeight="1" thickBot="1">
      <c r="A25" s="431" t="s">
        <v>426</v>
      </c>
      <c r="B25" s="542"/>
      <c r="C25" s="1746" t="s">
        <v>457</v>
      </c>
      <c r="D25" s="1747"/>
      <c r="E25" s="1747"/>
      <c r="F25" s="1747"/>
      <c r="G25" s="1747"/>
      <c r="H25" s="1747"/>
      <c r="I25" s="1748"/>
      <c r="J25" s="543"/>
      <c r="K25" s="531" t="s">
        <v>452</v>
      </c>
      <c r="L25" s="544"/>
      <c r="M25" s="544"/>
      <c r="N25" s="544"/>
      <c r="O25" s="544"/>
      <c r="P25" s="1758">
        <v>0</v>
      </c>
      <c r="Q25" s="1759"/>
      <c r="R25" s="1759"/>
      <c r="S25" s="1759"/>
      <c r="T25" s="1759"/>
      <c r="U25" s="1759"/>
      <c r="V25" s="1759"/>
      <c r="W25" s="1759"/>
      <c r="X25" s="1759"/>
      <c r="Y25" s="1759"/>
      <c r="Z25" s="1759"/>
      <c r="AA25" s="1759"/>
      <c r="AB25" s="1759"/>
      <c r="AC25" s="1759"/>
      <c r="AD25" s="1759"/>
      <c r="AE25" s="1759"/>
      <c r="AF25" s="1759"/>
      <c r="AG25" s="1759"/>
      <c r="AH25" s="1759"/>
      <c r="AI25" s="1759"/>
      <c r="AJ25" s="1759"/>
      <c r="AK25" s="1759"/>
      <c r="AL25" s="1759"/>
      <c r="AM25" s="1759"/>
      <c r="AN25" s="1759"/>
      <c r="AO25" s="1759"/>
      <c r="AP25" s="1759"/>
      <c r="AQ25" s="1760"/>
      <c r="AR25" s="1752">
        <v>0</v>
      </c>
      <c r="AS25" s="1753"/>
      <c r="AT25" s="1753"/>
      <c r="AU25" s="1753"/>
      <c r="AV25" s="1753"/>
      <c r="AW25" s="1753"/>
      <c r="AX25" s="1753"/>
      <c r="AY25" s="1753"/>
      <c r="AZ25" s="1753"/>
      <c r="BA25" s="1753"/>
      <c r="BB25" s="1753"/>
      <c r="BC25" s="1753"/>
      <c r="BD25" s="1753"/>
      <c r="BE25" s="1753"/>
      <c r="BF25" s="1753"/>
      <c r="BG25" s="1753"/>
      <c r="BH25" s="1753"/>
      <c r="BI25" s="1753"/>
      <c r="BJ25" s="1753"/>
      <c r="BK25" s="1753"/>
      <c r="BL25" s="1753"/>
      <c r="BM25" s="1753"/>
      <c r="BN25" s="1753"/>
      <c r="BO25" s="1753"/>
      <c r="BP25" s="1753"/>
      <c r="BQ25" s="1753"/>
      <c r="BR25" s="1753"/>
      <c r="BS25" s="1754"/>
      <c r="BT25" s="1752">
        <v>0</v>
      </c>
      <c r="BU25" s="1753"/>
      <c r="BV25" s="1753"/>
      <c r="BW25" s="1753"/>
      <c r="BX25" s="1753"/>
      <c r="BY25" s="1753"/>
      <c r="BZ25" s="1753"/>
      <c r="CA25" s="1753"/>
      <c r="CB25" s="1753"/>
      <c r="CC25" s="1753"/>
      <c r="CD25" s="1753"/>
      <c r="CE25" s="1753"/>
      <c r="CF25" s="1753"/>
      <c r="CG25" s="1753"/>
      <c r="CH25" s="1753"/>
      <c r="CI25" s="1753"/>
      <c r="CJ25" s="1753"/>
      <c r="CK25" s="1753"/>
      <c r="CL25" s="1753"/>
      <c r="CM25" s="1753"/>
      <c r="CN25" s="1753"/>
      <c r="CO25" s="1753"/>
      <c r="CP25" s="1753"/>
      <c r="CQ25" s="1753"/>
      <c r="CR25" s="1753"/>
      <c r="CS25" s="1753"/>
      <c r="CT25" s="1753"/>
      <c r="CU25" s="1754"/>
      <c r="CV25" s="1752">
        <v>0</v>
      </c>
      <c r="CW25" s="1753"/>
      <c r="CX25" s="1753"/>
      <c r="CY25" s="1753"/>
      <c r="CZ25" s="1753"/>
      <c r="DA25" s="1753"/>
      <c r="DB25" s="1753"/>
      <c r="DC25" s="1753"/>
      <c r="DD25" s="1753"/>
      <c r="DE25" s="1753"/>
      <c r="DF25" s="1753"/>
      <c r="DG25" s="1753"/>
      <c r="DH25" s="1753"/>
      <c r="DI25" s="1753"/>
      <c r="DJ25" s="1753"/>
      <c r="DK25" s="1753"/>
      <c r="DL25" s="1753"/>
      <c r="DM25" s="1753"/>
      <c r="DN25" s="1753"/>
      <c r="DO25" s="1753"/>
      <c r="DP25" s="1753"/>
      <c r="DQ25" s="1753"/>
      <c r="DR25" s="1753"/>
      <c r="DS25" s="1753"/>
      <c r="DT25" s="1753"/>
      <c r="DU25" s="1753"/>
      <c r="DV25" s="1753"/>
      <c r="DW25" s="1754"/>
      <c r="DX25" s="1752">
        <v>0</v>
      </c>
      <c r="DY25" s="1753"/>
      <c r="DZ25" s="1753"/>
      <c r="EA25" s="1753"/>
      <c r="EB25" s="1753"/>
      <c r="EC25" s="1753"/>
      <c r="ED25" s="1753"/>
      <c r="EE25" s="1753"/>
      <c r="EF25" s="1753"/>
      <c r="EG25" s="1753"/>
      <c r="EH25" s="1753"/>
      <c r="EI25" s="1753"/>
      <c r="EJ25" s="1753"/>
      <c r="EK25" s="1753"/>
      <c r="EL25" s="1753"/>
      <c r="EM25" s="1753"/>
      <c r="EN25" s="1753"/>
      <c r="EO25" s="1753"/>
      <c r="EP25" s="1753"/>
      <c r="EQ25" s="1753"/>
      <c r="ER25" s="1753"/>
      <c r="ES25" s="1753"/>
      <c r="ET25" s="1753"/>
      <c r="EU25" s="1753"/>
      <c r="EV25" s="1753"/>
      <c r="EW25" s="1753"/>
      <c r="EX25" s="1753"/>
      <c r="EY25" s="1754"/>
      <c r="EZ25" s="1752">
        <v>0</v>
      </c>
      <c r="FA25" s="1753"/>
      <c r="FB25" s="1753"/>
      <c r="FC25" s="1753"/>
      <c r="FD25" s="1753"/>
      <c r="FE25" s="1753"/>
      <c r="FF25" s="1753"/>
      <c r="FG25" s="1753"/>
      <c r="FH25" s="1753"/>
      <c r="FI25" s="1753"/>
      <c r="FJ25" s="1753"/>
      <c r="FK25" s="1753"/>
      <c r="FL25" s="1753"/>
      <c r="FM25" s="1753"/>
      <c r="FN25" s="1753"/>
      <c r="FO25" s="1753"/>
      <c r="FP25" s="1753"/>
      <c r="FQ25" s="1753"/>
      <c r="FR25" s="1753"/>
      <c r="FS25" s="1753"/>
      <c r="FT25" s="1753"/>
      <c r="FU25" s="1753"/>
      <c r="FV25" s="1753"/>
      <c r="FW25" s="1753"/>
      <c r="FX25" s="1753"/>
      <c r="FY25" s="1753"/>
      <c r="FZ25" s="1753"/>
      <c r="GA25" s="1754"/>
      <c r="GB25" s="1752">
        <v>0</v>
      </c>
      <c r="GC25" s="1753"/>
      <c r="GD25" s="1753"/>
      <c r="GE25" s="1753"/>
      <c r="GF25" s="1753"/>
      <c r="GG25" s="1753"/>
      <c r="GH25" s="1753"/>
      <c r="GI25" s="1753"/>
      <c r="GJ25" s="1753"/>
      <c r="GK25" s="1753"/>
      <c r="GL25" s="1753"/>
      <c r="GM25" s="1753"/>
      <c r="GN25" s="1753"/>
      <c r="GO25" s="1753"/>
      <c r="GP25" s="1753"/>
      <c r="GQ25" s="1753"/>
      <c r="GR25" s="1753"/>
      <c r="GS25" s="1753"/>
      <c r="GT25" s="1753"/>
      <c r="GU25" s="1753"/>
      <c r="GV25" s="1753"/>
      <c r="GW25" s="1753"/>
      <c r="GX25" s="1753"/>
      <c r="GY25" s="1753"/>
      <c r="GZ25" s="1753"/>
      <c r="HA25" s="1753"/>
      <c r="HB25" s="1753"/>
      <c r="HC25" s="1754"/>
      <c r="HD25" s="1752">
        <v>0</v>
      </c>
      <c r="HE25" s="1753"/>
      <c r="HF25" s="1753"/>
      <c r="HG25" s="1753"/>
      <c r="HH25" s="1753"/>
      <c r="HI25" s="1753"/>
      <c r="HJ25" s="1753"/>
      <c r="HK25" s="1753"/>
      <c r="HL25" s="1753"/>
      <c r="HM25" s="1753"/>
      <c r="HN25" s="1753"/>
      <c r="HO25" s="1753"/>
      <c r="HP25" s="1753"/>
      <c r="HQ25" s="1753"/>
      <c r="HR25" s="1753"/>
      <c r="HS25" s="1753"/>
      <c r="HT25" s="1753"/>
      <c r="HU25" s="1753"/>
      <c r="HV25" s="1753"/>
      <c r="HW25" s="1753"/>
      <c r="HX25" s="1753"/>
      <c r="HY25" s="1753"/>
      <c r="HZ25" s="1753"/>
      <c r="IA25" s="1753"/>
      <c r="IB25" s="1753"/>
      <c r="IC25" s="1753"/>
      <c r="ID25" s="1753"/>
      <c r="IE25" s="1754"/>
      <c r="IF25" s="1752">
        <v>0</v>
      </c>
      <c r="IG25" s="1753"/>
      <c r="IH25" s="1753"/>
      <c r="II25" s="1753"/>
      <c r="IJ25" s="1753"/>
      <c r="IK25" s="1753"/>
      <c r="IL25" s="1753"/>
      <c r="IM25" s="1753"/>
      <c r="IN25" s="1753"/>
      <c r="IO25" s="1753"/>
      <c r="IP25" s="1753"/>
      <c r="IQ25" s="1753"/>
      <c r="IR25" s="1753"/>
      <c r="IS25" s="1753"/>
      <c r="IT25" s="1753"/>
      <c r="IU25" s="1753"/>
      <c r="IV25" s="1753"/>
      <c r="IW25" s="1753"/>
      <c r="IX25" s="1753"/>
      <c r="IY25" s="1753"/>
      <c r="IZ25" s="1753"/>
      <c r="JA25" s="1753"/>
      <c r="JB25" s="1753"/>
      <c r="JC25" s="1753"/>
      <c r="JD25" s="1753"/>
      <c r="JE25" s="1753"/>
      <c r="JF25" s="1753"/>
      <c r="JG25" s="1754"/>
      <c r="JH25" s="1752">
        <v>0</v>
      </c>
      <c r="JI25" s="1753"/>
      <c r="JJ25" s="1753"/>
      <c r="JK25" s="1753"/>
      <c r="JL25" s="1753"/>
      <c r="JM25" s="1753"/>
      <c r="JN25" s="1753"/>
      <c r="JO25" s="1753"/>
      <c r="JP25" s="1753"/>
      <c r="JQ25" s="1753"/>
      <c r="JR25" s="1753"/>
      <c r="JS25" s="1753"/>
      <c r="JT25" s="1753"/>
      <c r="JU25" s="1753"/>
      <c r="JV25" s="1753"/>
      <c r="JW25" s="1753"/>
      <c r="JX25" s="1753"/>
      <c r="JY25" s="1753"/>
      <c r="JZ25" s="1753"/>
      <c r="KA25" s="1753"/>
      <c r="KB25" s="1753"/>
      <c r="KC25" s="1753"/>
      <c r="KD25" s="1753"/>
      <c r="KE25" s="1753"/>
      <c r="KF25" s="1753"/>
      <c r="KG25" s="1753"/>
      <c r="KH25" s="1753"/>
      <c r="KI25" s="1754"/>
      <c r="KJ25" s="1752">
        <v>0</v>
      </c>
      <c r="KK25" s="1753"/>
      <c r="KL25" s="1753"/>
      <c r="KM25" s="1753"/>
      <c r="KN25" s="1753"/>
      <c r="KO25" s="1753"/>
      <c r="KP25" s="1753"/>
      <c r="KQ25" s="1753"/>
      <c r="KR25" s="1753"/>
      <c r="KS25" s="1753"/>
      <c r="KT25" s="1753"/>
      <c r="KU25" s="1753"/>
      <c r="KV25" s="1753"/>
      <c r="KW25" s="1753"/>
      <c r="KX25" s="1753"/>
      <c r="KY25" s="1753"/>
      <c r="KZ25" s="1753"/>
      <c r="LA25" s="1753"/>
      <c r="LB25" s="1753"/>
      <c r="LC25" s="1753"/>
      <c r="LD25" s="1753"/>
      <c r="LE25" s="1753"/>
      <c r="LF25" s="1753"/>
      <c r="LG25" s="1753"/>
      <c r="LH25" s="1753"/>
      <c r="LI25" s="1753"/>
      <c r="LJ25" s="1753"/>
      <c r="LK25" s="1754"/>
      <c r="LL25" s="1752">
        <v>0</v>
      </c>
      <c r="LM25" s="1753"/>
      <c r="LN25" s="1753"/>
      <c r="LO25" s="1753"/>
      <c r="LP25" s="1753"/>
      <c r="LQ25" s="1753"/>
      <c r="LR25" s="1753"/>
      <c r="LS25" s="1753"/>
      <c r="LT25" s="1753"/>
      <c r="LU25" s="1753"/>
      <c r="LV25" s="1753"/>
      <c r="LW25" s="1753"/>
      <c r="LX25" s="1753"/>
      <c r="LY25" s="1753"/>
      <c r="LZ25" s="1753"/>
      <c r="MA25" s="1753"/>
      <c r="MB25" s="1753"/>
      <c r="MC25" s="1753"/>
      <c r="MD25" s="1753"/>
      <c r="ME25" s="1753"/>
      <c r="MF25" s="1753"/>
      <c r="MG25" s="1753"/>
      <c r="MH25" s="1753"/>
      <c r="MI25" s="1753"/>
      <c r="MJ25" s="1753"/>
      <c r="MK25" s="1753"/>
      <c r="ML25" s="1753"/>
      <c r="MM25" s="1754"/>
      <c r="MN25" s="1752">
        <v>0</v>
      </c>
      <c r="MO25" s="1753"/>
      <c r="MP25" s="1753"/>
      <c r="MQ25" s="1753"/>
      <c r="MR25" s="1753"/>
      <c r="MS25" s="1753"/>
      <c r="MT25" s="1753"/>
      <c r="MU25" s="1753"/>
      <c r="MV25" s="1753"/>
      <c r="MW25" s="1753"/>
      <c r="MX25" s="1753"/>
      <c r="MY25" s="1753"/>
      <c r="MZ25" s="1753"/>
      <c r="NA25" s="1753"/>
      <c r="NB25" s="1753"/>
      <c r="NC25" s="1753"/>
      <c r="ND25" s="1753"/>
      <c r="NE25" s="1753"/>
      <c r="NF25" s="1753"/>
      <c r="NG25" s="1753"/>
      <c r="NH25" s="1753"/>
      <c r="NI25" s="1753"/>
      <c r="NJ25" s="1753"/>
      <c r="NK25" s="1753"/>
      <c r="NL25" s="1753"/>
      <c r="NM25" s="1753"/>
      <c r="NN25" s="1753"/>
      <c r="NO25" s="1754"/>
      <c r="NP25" s="1752">
        <v>0</v>
      </c>
      <c r="NQ25" s="1753"/>
      <c r="NR25" s="1753"/>
      <c r="NS25" s="1753"/>
      <c r="NT25" s="1753"/>
      <c r="NU25" s="1753"/>
      <c r="NV25" s="1753"/>
      <c r="NW25" s="1753"/>
      <c r="NX25" s="1753"/>
      <c r="NY25" s="1753"/>
      <c r="NZ25" s="1753"/>
      <c r="OA25" s="1753"/>
      <c r="OB25" s="1753"/>
      <c r="OC25" s="1753"/>
      <c r="OD25" s="1753"/>
      <c r="OE25" s="1753"/>
      <c r="OF25" s="1753"/>
      <c r="OG25" s="1753"/>
      <c r="OH25" s="1753"/>
      <c r="OI25" s="1753"/>
      <c r="OJ25" s="1753"/>
      <c r="OK25" s="1753"/>
      <c r="OL25" s="1753"/>
      <c r="OM25" s="1753"/>
      <c r="ON25" s="1753"/>
      <c r="OO25" s="1753"/>
      <c r="OP25" s="1753"/>
      <c r="OQ25" s="1754"/>
    </row>
    <row r="26" spans="1:407" s="15" customFormat="1" ht="12.75" customHeight="1" thickBot="1">
      <c r="A26" s="431" t="s">
        <v>426</v>
      </c>
      <c r="B26" s="542"/>
      <c r="C26" s="1746" t="s">
        <v>458</v>
      </c>
      <c r="D26" s="1747"/>
      <c r="E26" s="1747"/>
      <c r="F26" s="1747"/>
      <c r="G26" s="1747"/>
      <c r="H26" s="1747"/>
      <c r="I26" s="1748"/>
      <c r="J26" s="543"/>
      <c r="K26" s="541" t="s">
        <v>158</v>
      </c>
      <c r="L26" s="544"/>
      <c r="M26" s="544"/>
      <c r="N26" s="544"/>
      <c r="O26" s="544"/>
      <c r="P26" s="1749">
        <v>0</v>
      </c>
      <c r="Q26" s="1750"/>
      <c r="R26" s="1750"/>
      <c r="S26" s="1750"/>
      <c r="T26" s="1750"/>
      <c r="U26" s="1750"/>
      <c r="V26" s="1750"/>
      <c r="W26" s="1750"/>
      <c r="X26" s="1750"/>
      <c r="Y26" s="1750"/>
      <c r="Z26" s="1750"/>
      <c r="AA26" s="1750"/>
      <c r="AB26" s="1750"/>
      <c r="AC26" s="1750"/>
      <c r="AD26" s="1750"/>
      <c r="AE26" s="1750"/>
      <c r="AF26" s="1750"/>
      <c r="AG26" s="1750"/>
      <c r="AH26" s="1750"/>
      <c r="AI26" s="1750"/>
      <c r="AJ26" s="1750"/>
      <c r="AK26" s="1750"/>
      <c r="AL26" s="1750"/>
      <c r="AM26" s="1750"/>
      <c r="AN26" s="1750"/>
      <c r="AO26" s="1750"/>
      <c r="AP26" s="1750"/>
      <c r="AQ26" s="1751"/>
      <c r="AR26" s="1741">
        <v>0</v>
      </c>
      <c r="AS26" s="1742"/>
      <c r="AT26" s="1742"/>
      <c r="AU26" s="1742"/>
      <c r="AV26" s="1742"/>
      <c r="AW26" s="1742"/>
      <c r="AX26" s="1742"/>
      <c r="AY26" s="1742"/>
      <c r="AZ26" s="1742"/>
      <c r="BA26" s="1742"/>
      <c r="BB26" s="1742"/>
      <c r="BC26" s="1742"/>
      <c r="BD26" s="1742"/>
      <c r="BE26" s="1742"/>
      <c r="BF26" s="1742"/>
      <c r="BG26" s="1742"/>
      <c r="BH26" s="1742"/>
      <c r="BI26" s="1742"/>
      <c r="BJ26" s="1742"/>
      <c r="BK26" s="1742"/>
      <c r="BL26" s="1742"/>
      <c r="BM26" s="1742"/>
      <c r="BN26" s="1742"/>
      <c r="BO26" s="1742"/>
      <c r="BP26" s="1742"/>
      <c r="BQ26" s="1742"/>
      <c r="BR26" s="1742"/>
      <c r="BS26" s="1743"/>
      <c r="BT26" s="1741">
        <v>0</v>
      </c>
      <c r="BU26" s="1742"/>
      <c r="BV26" s="1742"/>
      <c r="BW26" s="1742"/>
      <c r="BX26" s="1742"/>
      <c r="BY26" s="1742"/>
      <c r="BZ26" s="1742"/>
      <c r="CA26" s="1742"/>
      <c r="CB26" s="1742"/>
      <c r="CC26" s="1742"/>
      <c r="CD26" s="1742"/>
      <c r="CE26" s="1742"/>
      <c r="CF26" s="1742"/>
      <c r="CG26" s="1742"/>
      <c r="CH26" s="1742"/>
      <c r="CI26" s="1742"/>
      <c r="CJ26" s="1742"/>
      <c r="CK26" s="1742"/>
      <c r="CL26" s="1742"/>
      <c r="CM26" s="1742"/>
      <c r="CN26" s="1742"/>
      <c r="CO26" s="1742"/>
      <c r="CP26" s="1742"/>
      <c r="CQ26" s="1742"/>
      <c r="CR26" s="1742"/>
      <c r="CS26" s="1742"/>
      <c r="CT26" s="1742"/>
      <c r="CU26" s="1743"/>
      <c r="CV26" s="1741">
        <v>0</v>
      </c>
      <c r="CW26" s="1742"/>
      <c r="CX26" s="1742"/>
      <c r="CY26" s="1742"/>
      <c r="CZ26" s="1742"/>
      <c r="DA26" s="1742"/>
      <c r="DB26" s="1742"/>
      <c r="DC26" s="1742"/>
      <c r="DD26" s="1742"/>
      <c r="DE26" s="1742"/>
      <c r="DF26" s="1742"/>
      <c r="DG26" s="1742"/>
      <c r="DH26" s="1742"/>
      <c r="DI26" s="1742"/>
      <c r="DJ26" s="1742"/>
      <c r="DK26" s="1742"/>
      <c r="DL26" s="1742"/>
      <c r="DM26" s="1742"/>
      <c r="DN26" s="1742"/>
      <c r="DO26" s="1742"/>
      <c r="DP26" s="1742"/>
      <c r="DQ26" s="1742"/>
      <c r="DR26" s="1742"/>
      <c r="DS26" s="1742"/>
      <c r="DT26" s="1742"/>
      <c r="DU26" s="1742"/>
      <c r="DV26" s="1742"/>
      <c r="DW26" s="1743"/>
      <c r="DX26" s="1741">
        <v>0</v>
      </c>
      <c r="DY26" s="1742"/>
      <c r="DZ26" s="1742"/>
      <c r="EA26" s="1742"/>
      <c r="EB26" s="1742"/>
      <c r="EC26" s="1742"/>
      <c r="ED26" s="1742"/>
      <c r="EE26" s="1742"/>
      <c r="EF26" s="1742"/>
      <c r="EG26" s="1742"/>
      <c r="EH26" s="1742"/>
      <c r="EI26" s="1742"/>
      <c r="EJ26" s="1742"/>
      <c r="EK26" s="1742"/>
      <c r="EL26" s="1742"/>
      <c r="EM26" s="1742"/>
      <c r="EN26" s="1742"/>
      <c r="EO26" s="1742"/>
      <c r="EP26" s="1742"/>
      <c r="EQ26" s="1742"/>
      <c r="ER26" s="1742"/>
      <c r="ES26" s="1742"/>
      <c r="ET26" s="1742"/>
      <c r="EU26" s="1742"/>
      <c r="EV26" s="1742"/>
      <c r="EW26" s="1742"/>
      <c r="EX26" s="1742"/>
      <c r="EY26" s="1743"/>
      <c r="EZ26" s="1741">
        <v>0</v>
      </c>
      <c r="FA26" s="1742"/>
      <c r="FB26" s="1742"/>
      <c r="FC26" s="1742"/>
      <c r="FD26" s="1742"/>
      <c r="FE26" s="1742"/>
      <c r="FF26" s="1742"/>
      <c r="FG26" s="1742"/>
      <c r="FH26" s="1742"/>
      <c r="FI26" s="1742"/>
      <c r="FJ26" s="1742"/>
      <c r="FK26" s="1742"/>
      <c r="FL26" s="1742"/>
      <c r="FM26" s="1742"/>
      <c r="FN26" s="1742"/>
      <c r="FO26" s="1742"/>
      <c r="FP26" s="1742"/>
      <c r="FQ26" s="1742"/>
      <c r="FR26" s="1742"/>
      <c r="FS26" s="1742"/>
      <c r="FT26" s="1742"/>
      <c r="FU26" s="1742"/>
      <c r="FV26" s="1742"/>
      <c r="FW26" s="1742"/>
      <c r="FX26" s="1742"/>
      <c r="FY26" s="1742"/>
      <c r="FZ26" s="1742"/>
      <c r="GA26" s="1743"/>
      <c r="GB26" s="1741">
        <v>0</v>
      </c>
      <c r="GC26" s="1742"/>
      <c r="GD26" s="1742"/>
      <c r="GE26" s="1742"/>
      <c r="GF26" s="1742"/>
      <c r="GG26" s="1742"/>
      <c r="GH26" s="1742"/>
      <c r="GI26" s="1742"/>
      <c r="GJ26" s="1742"/>
      <c r="GK26" s="1742"/>
      <c r="GL26" s="1742"/>
      <c r="GM26" s="1742"/>
      <c r="GN26" s="1742"/>
      <c r="GO26" s="1742"/>
      <c r="GP26" s="1742"/>
      <c r="GQ26" s="1742"/>
      <c r="GR26" s="1742"/>
      <c r="GS26" s="1742"/>
      <c r="GT26" s="1742"/>
      <c r="GU26" s="1742"/>
      <c r="GV26" s="1742"/>
      <c r="GW26" s="1742"/>
      <c r="GX26" s="1742"/>
      <c r="GY26" s="1742"/>
      <c r="GZ26" s="1742"/>
      <c r="HA26" s="1742"/>
      <c r="HB26" s="1742"/>
      <c r="HC26" s="1743"/>
      <c r="HD26" s="1741">
        <v>0</v>
      </c>
      <c r="HE26" s="1742"/>
      <c r="HF26" s="1742"/>
      <c r="HG26" s="1742"/>
      <c r="HH26" s="1742"/>
      <c r="HI26" s="1742"/>
      <c r="HJ26" s="1742"/>
      <c r="HK26" s="1742"/>
      <c r="HL26" s="1742"/>
      <c r="HM26" s="1742"/>
      <c r="HN26" s="1742"/>
      <c r="HO26" s="1742"/>
      <c r="HP26" s="1742"/>
      <c r="HQ26" s="1742"/>
      <c r="HR26" s="1742"/>
      <c r="HS26" s="1742"/>
      <c r="HT26" s="1742"/>
      <c r="HU26" s="1742"/>
      <c r="HV26" s="1742"/>
      <c r="HW26" s="1742"/>
      <c r="HX26" s="1742"/>
      <c r="HY26" s="1742"/>
      <c r="HZ26" s="1742"/>
      <c r="IA26" s="1742"/>
      <c r="IB26" s="1742"/>
      <c r="IC26" s="1742"/>
      <c r="ID26" s="1742"/>
      <c r="IE26" s="1743"/>
      <c r="IF26" s="1741">
        <v>0</v>
      </c>
      <c r="IG26" s="1742"/>
      <c r="IH26" s="1742"/>
      <c r="II26" s="1742"/>
      <c r="IJ26" s="1742"/>
      <c r="IK26" s="1742"/>
      <c r="IL26" s="1742"/>
      <c r="IM26" s="1742"/>
      <c r="IN26" s="1742"/>
      <c r="IO26" s="1742"/>
      <c r="IP26" s="1742"/>
      <c r="IQ26" s="1742"/>
      <c r="IR26" s="1742"/>
      <c r="IS26" s="1742"/>
      <c r="IT26" s="1742"/>
      <c r="IU26" s="1742"/>
      <c r="IV26" s="1742"/>
      <c r="IW26" s="1742"/>
      <c r="IX26" s="1742"/>
      <c r="IY26" s="1742"/>
      <c r="IZ26" s="1742"/>
      <c r="JA26" s="1742"/>
      <c r="JB26" s="1742"/>
      <c r="JC26" s="1742"/>
      <c r="JD26" s="1742"/>
      <c r="JE26" s="1742"/>
      <c r="JF26" s="1742"/>
      <c r="JG26" s="1743"/>
      <c r="JH26" s="1741">
        <v>0</v>
      </c>
      <c r="JI26" s="1742"/>
      <c r="JJ26" s="1742"/>
      <c r="JK26" s="1742"/>
      <c r="JL26" s="1742"/>
      <c r="JM26" s="1742"/>
      <c r="JN26" s="1742"/>
      <c r="JO26" s="1742"/>
      <c r="JP26" s="1742"/>
      <c r="JQ26" s="1742"/>
      <c r="JR26" s="1742"/>
      <c r="JS26" s="1742"/>
      <c r="JT26" s="1742"/>
      <c r="JU26" s="1742"/>
      <c r="JV26" s="1742"/>
      <c r="JW26" s="1742"/>
      <c r="JX26" s="1742"/>
      <c r="JY26" s="1742"/>
      <c r="JZ26" s="1742"/>
      <c r="KA26" s="1742"/>
      <c r="KB26" s="1742"/>
      <c r="KC26" s="1742"/>
      <c r="KD26" s="1742"/>
      <c r="KE26" s="1742"/>
      <c r="KF26" s="1742"/>
      <c r="KG26" s="1742"/>
      <c r="KH26" s="1742"/>
      <c r="KI26" s="1743"/>
      <c r="KJ26" s="1741">
        <v>0</v>
      </c>
      <c r="KK26" s="1742"/>
      <c r="KL26" s="1742"/>
      <c r="KM26" s="1742"/>
      <c r="KN26" s="1742"/>
      <c r="KO26" s="1742"/>
      <c r="KP26" s="1742"/>
      <c r="KQ26" s="1742"/>
      <c r="KR26" s="1742"/>
      <c r="KS26" s="1742"/>
      <c r="KT26" s="1742"/>
      <c r="KU26" s="1742"/>
      <c r="KV26" s="1742"/>
      <c r="KW26" s="1742"/>
      <c r="KX26" s="1742"/>
      <c r="KY26" s="1742"/>
      <c r="KZ26" s="1742"/>
      <c r="LA26" s="1742"/>
      <c r="LB26" s="1742"/>
      <c r="LC26" s="1742"/>
      <c r="LD26" s="1742"/>
      <c r="LE26" s="1742"/>
      <c r="LF26" s="1742"/>
      <c r="LG26" s="1742"/>
      <c r="LH26" s="1742"/>
      <c r="LI26" s="1742"/>
      <c r="LJ26" s="1742"/>
      <c r="LK26" s="1743"/>
      <c r="LL26" s="1741">
        <v>0</v>
      </c>
      <c r="LM26" s="1742"/>
      <c r="LN26" s="1742"/>
      <c r="LO26" s="1742"/>
      <c r="LP26" s="1742"/>
      <c r="LQ26" s="1742"/>
      <c r="LR26" s="1742"/>
      <c r="LS26" s="1742"/>
      <c r="LT26" s="1742"/>
      <c r="LU26" s="1742"/>
      <c r="LV26" s="1742"/>
      <c r="LW26" s="1742"/>
      <c r="LX26" s="1742"/>
      <c r="LY26" s="1742"/>
      <c r="LZ26" s="1742"/>
      <c r="MA26" s="1742"/>
      <c r="MB26" s="1742"/>
      <c r="MC26" s="1742"/>
      <c r="MD26" s="1742"/>
      <c r="ME26" s="1742"/>
      <c r="MF26" s="1742"/>
      <c r="MG26" s="1742"/>
      <c r="MH26" s="1742"/>
      <c r="MI26" s="1742"/>
      <c r="MJ26" s="1742"/>
      <c r="MK26" s="1742"/>
      <c r="ML26" s="1742"/>
      <c r="MM26" s="1743"/>
      <c r="MN26" s="1741">
        <v>0</v>
      </c>
      <c r="MO26" s="1742"/>
      <c r="MP26" s="1742"/>
      <c r="MQ26" s="1742"/>
      <c r="MR26" s="1742"/>
      <c r="MS26" s="1742"/>
      <c r="MT26" s="1742"/>
      <c r="MU26" s="1742"/>
      <c r="MV26" s="1742"/>
      <c r="MW26" s="1742"/>
      <c r="MX26" s="1742"/>
      <c r="MY26" s="1742"/>
      <c r="MZ26" s="1742"/>
      <c r="NA26" s="1742"/>
      <c r="NB26" s="1742"/>
      <c r="NC26" s="1742"/>
      <c r="ND26" s="1742"/>
      <c r="NE26" s="1742"/>
      <c r="NF26" s="1742"/>
      <c r="NG26" s="1742"/>
      <c r="NH26" s="1742"/>
      <c r="NI26" s="1742"/>
      <c r="NJ26" s="1742"/>
      <c r="NK26" s="1742"/>
      <c r="NL26" s="1742"/>
      <c r="NM26" s="1742"/>
      <c r="NN26" s="1742"/>
      <c r="NO26" s="1743"/>
      <c r="NP26" s="1741">
        <v>0</v>
      </c>
      <c r="NQ26" s="1742"/>
      <c r="NR26" s="1742"/>
      <c r="NS26" s="1742"/>
      <c r="NT26" s="1742"/>
      <c r="NU26" s="1742"/>
      <c r="NV26" s="1742"/>
      <c r="NW26" s="1742"/>
      <c r="NX26" s="1742"/>
      <c r="NY26" s="1742"/>
      <c r="NZ26" s="1742"/>
      <c r="OA26" s="1742"/>
      <c r="OB26" s="1742"/>
      <c r="OC26" s="1742"/>
      <c r="OD26" s="1742"/>
      <c r="OE26" s="1742"/>
      <c r="OF26" s="1742"/>
      <c r="OG26" s="1742"/>
      <c r="OH26" s="1742"/>
      <c r="OI26" s="1742"/>
      <c r="OJ26" s="1742"/>
      <c r="OK26" s="1742"/>
      <c r="OL26" s="1742"/>
      <c r="OM26" s="1742"/>
      <c r="ON26" s="1742"/>
      <c r="OO26" s="1742"/>
      <c r="OP26" s="1742"/>
      <c r="OQ26" s="1743"/>
    </row>
    <row r="27" spans="1:407" s="15" customFormat="1" ht="13.5" customHeight="1">
      <c r="A27" s="431" t="s">
        <v>426</v>
      </c>
      <c r="B27" s="533"/>
      <c r="C27" s="545" t="s">
        <v>459</v>
      </c>
      <c r="D27" s="546"/>
      <c r="E27" s="546"/>
      <c r="F27" s="547"/>
      <c r="G27" s="548">
        <v>408578100</v>
      </c>
      <c r="H27" s="1744">
        <v>0</v>
      </c>
      <c r="I27" s="1745"/>
      <c r="J27" s="549"/>
      <c r="K27" s="531" t="s">
        <v>460</v>
      </c>
      <c r="L27" s="544"/>
      <c r="M27" s="544"/>
      <c r="N27" s="544"/>
      <c r="O27" s="544"/>
      <c r="P27" s="1736">
        <v>0</v>
      </c>
      <c r="Q27" s="1737"/>
      <c r="R27" s="1737"/>
      <c r="S27" s="1737"/>
      <c r="T27" s="1737"/>
      <c r="U27" s="1737"/>
      <c r="V27" s="1738"/>
      <c r="W27" s="1736">
        <v>0</v>
      </c>
      <c r="X27" s="1737"/>
      <c r="Y27" s="1737"/>
      <c r="Z27" s="1737"/>
      <c r="AA27" s="1737"/>
      <c r="AB27" s="1737"/>
      <c r="AC27" s="1738"/>
      <c r="AD27" s="1736">
        <v>0</v>
      </c>
      <c r="AE27" s="1737"/>
      <c r="AF27" s="1737"/>
      <c r="AG27" s="1737"/>
      <c r="AH27" s="1737"/>
      <c r="AI27" s="1737"/>
      <c r="AJ27" s="1738"/>
      <c r="AK27" s="1736">
        <v>0</v>
      </c>
      <c r="AL27" s="1737"/>
      <c r="AM27" s="1737"/>
      <c r="AN27" s="1737"/>
      <c r="AO27" s="1737"/>
      <c r="AP27" s="1737"/>
      <c r="AQ27" s="1738"/>
      <c r="AR27" s="1736">
        <v>0</v>
      </c>
      <c r="AS27" s="1737"/>
      <c r="AT27" s="1737"/>
      <c r="AU27" s="1737"/>
      <c r="AV27" s="1737"/>
      <c r="AW27" s="1737"/>
      <c r="AX27" s="1738"/>
      <c r="AY27" s="1736">
        <v>0</v>
      </c>
      <c r="AZ27" s="1737"/>
      <c r="BA27" s="1737"/>
      <c r="BB27" s="1737"/>
      <c r="BC27" s="1737"/>
      <c r="BD27" s="1737"/>
      <c r="BE27" s="1738"/>
      <c r="BF27" s="1736">
        <v>0</v>
      </c>
      <c r="BG27" s="1737"/>
      <c r="BH27" s="1737"/>
      <c r="BI27" s="1737"/>
      <c r="BJ27" s="1737"/>
      <c r="BK27" s="1737"/>
      <c r="BL27" s="1738"/>
      <c r="BM27" s="1736">
        <v>0</v>
      </c>
      <c r="BN27" s="1737"/>
      <c r="BO27" s="1737"/>
      <c r="BP27" s="1737"/>
      <c r="BQ27" s="1737"/>
      <c r="BR27" s="1737"/>
      <c r="BS27" s="1738"/>
      <c r="BT27" s="1736">
        <v>0</v>
      </c>
      <c r="BU27" s="1737"/>
      <c r="BV27" s="1737"/>
      <c r="BW27" s="1737"/>
      <c r="BX27" s="1737"/>
      <c r="BY27" s="1737"/>
      <c r="BZ27" s="1738"/>
      <c r="CA27" s="1736">
        <v>0</v>
      </c>
      <c r="CB27" s="1737"/>
      <c r="CC27" s="1737"/>
      <c r="CD27" s="1737"/>
      <c r="CE27" s="1737"/>
      <c r="CF27" s="1737"/>
      <c r="CG27" s="1738"/>
      <c r="CH27" s="1736">
        <v>0</v>
      </c>
      <c r="CI27" s="1737"/>
      <c r="CJ27" s="1737"/>
      <c r="CK27" s="1737"/>
      <c r="CL27" s="1737"/>
      <c r="CM27" s="1737"/>
      <c r="CN27" s="1738"/>
      <c r="CO27" s="1736">
        <v>0</v>
      </c>
      <c r="CP27" s="1737"/>
      <c r="CQ27" s="1737"/>
      <c r="CR27" s="1737"/>
      <c r="CS27" s="1737"/>
      <c r="CT27" s="1737"/>
      <c r="CU27" s="1738"/>
      <c r="CV27" s="1736">
        <v>0</v>
      </c>
      <c r="CW27" s="1737"/>
      <c r="CX27" s="1737"/>
      <c r="CY27" s="1737"/>
      <c r="CZ27" s="1737"/>
      <c r="DA27" s="1737"/>
      <c r="DB27" s="1738"/>
      <c r="DC27" s="1736">
        <v>0</v>
      </c>
      <c r="DD27" s="1737"/>
      <c r="DE27" s="1737"/>
      <c r="DF27" s="1737"/>
      <c r="DG27" s="1737"/>
      <c r="DH27" s="1737"/>
      <c r="DI27" s="1738"/>
      <c r="DJ27" s="1736">
        <v>0</v>
      </c>
      <c r="DK27" s="1737"/>
      <c r="DL27" s="1737"/>
      <c r="DM27" s="1737"/>
      <c r="DN27" s="1737"/>
      <c r="DO27" s="1737"/>
      <c r="DP27" s="1738"/>
      <c r="DQ27" s="1736">
        <v>0</v>
      </c>
      <c r="DR27" s="1737"/>
      <c r="DS27" s="1737"/>
      <c r="DT27" s="1737"/>
      <c r="DU27" s="1737"/>
      <c r="DV27" s="1737"/>
      <c r="DW27" s="1738"/>
      <c r="DX27" s="1736">
        <v>0</v>
      </c>
      <c r="DY27" s="1737"/>
      <c r="DZ27" s="1737"/>
      <c r="EA27" s="1737"/>
      <c r="EB27" s="1737"/>
      <c r="EC27" s="1737"/>
      <c r="ED27" s="1738"/>
      <c r="EE27" s="1736">
        <v>0</v>
      </c>
      <c r="EF27" s="1737"/>
      <c r="EG27" s="1737"/>
      <c r="EH27" s="1737"/>
      <c r="EI27" s="1737"/>
      <c r="EJ27" s="1737"/>
      <c r="EK27" s="1738"/>
      <c r="EL27" s="1736">
        <v>0</v>
      </c>
      <c r="EM27" s="1737"/>
      <c r="EN27" s="1737"/>
      <c r="EO27" s="1737"/>
      <c r="EP27" s="1737"/>
      <c r="EQ27" s="1737"/>
      <c r="ER27" s="1738"/>
      <c r="ES27" s="1736">
        <v>0</v>
      </c>
      <c r="ET27" s="1737"/>
      <c r="EU27" s="1737"/>
      <c r="EV27" s="1737"/>
      <c r="EW27" s="1737"/>
      <c r="EX27" s="1737"/>
      <c r="EY27" s="1738"/>
      <c r="EZ27" s="1736">
        <v>0</v>
      </c>
      <c r="FA27" s="1737"/>
      <c r="FB27" s="1737"/>
      <c r="FC27" s="1737"/>
      <c r="FD27" s="1737"/>
      <c r="FE27" s="1737"/>
      <c r="FF27" s="1738"/>
      <c r="FG27" s="1736">
        <v>0</v>
      </c>
      <c r="FH27" s="1737"/>
      <c r="FI27" s="1737"/>
      <c r="FJ27" s="1737"/>
      <c r="FK27" s="1737"/>
      <c r="FL27" s="1737"/>
      <c r="FM27" s="1738"/>
      <c r="FN27" s="1736">
        <v>0</v>
      </c>
      <c r="FO27" s="1737"/>
      <c r="FP27" s="1737"/>
      <c r="FQ27" s="1737"/>
      <c r="FR27" s="1737"/>
      <c r="FS27" s="1737"/>
      <c r="FT27" s="1738"/>
      <c r="FU27" s="1736">
        <v>0</v>
      </c>
      <c r="FV27" s="1737"/>
      <c r="FW27" s="1737"/>
      <c r="FX27" s="1737"/>
      <c r="FY27" s="1737"/>
      <c r="FZ27" s="1737"/>
      <c r="GA27" s="1738"/>
      <c r="GB27" s="1736">
        <v>0</v>
      </c>
      <c r="GC27" s="1737"/>
      <c r="GD27" s="1737"/>
      <c r="GE27" s="1737"/>
      <c r="GF27" s="1737"/>
      <c r="GG27" s="1737"/>
      <c r="GH27" s="1738"/>
      <c r="GI27" s="1736">
        <v>0</v>
      </c>
      <c r="GJ27" s="1737"/>
      <c r="GK27" s="1737"/>
      <c r="GL27" s="1737"/>
      <c r="GM27" s="1737"/>
      <c r="GN27" s="1737"/>
      <c r="GO27" s="1738"/>
      <c r="GP27" s="1736">
        <v>0</v>
      </c>
      <c r="GQ27" s="1737"/>
      <c r="GR27" s="1737"/>
      <c r="GS27" s="1737"/>
      <c r="GT27" s="1737"/>
      <c r="GU27" s="1737"/>
      <c r="GV27" s="1738"/>
      <c r="GW27" s="1736">
        <v>0</v>
      </c>
      <c r="GX27" s="1737"/>
      <c r="GY27" s="1737"/>
      <c r="GZ27" s="1737"/>
      <c r="HA27" s="1737"/>
      <c r="HB27" s="1737"/>
      <c r="HC27" s="1738"/>
      <c r="HD27" s="1736">
        <v>0</v>
      </c>
      <c r="HE27" s="1737"/>
      <c r="HF27" s="1737"/>
      <c r="HG27" s="1737"/>
      <c r="HH27" s="1737"/>
      <c r="HI27" s="1737"/>
      <c r="HJ27" s="1738"/>
      <c r="HK27" s="1736">
        <v>0</v>
      </c>
      <c r="HL27" s="1737"/>
      <c r="HM27" s="1737"/>
      <c r="HN27" s="1737"/>
      <c r="HO27" s="1737"/>
      <c r="HP27" s="1737"/>
      <c r="HQ27" s="1738"/>
      <c r="HR27" s="1736">
        <v>0</v>
      </c>
      <c r="HS27" s="1737"/>
      <c r="HT27" s="1737"/>
      <c r="HU27" s="1737"/>
      <c r="HV27" s="1737"/>
      <c r="HW27" s="1737"/>
      <c r="HX27" s="1738"/>
      <c r="HY27" s="1736">
        <v>0</v>
      </c>
      <c r="HZ27" s="1737"/>
      <c r="IA27" s="1737"/>
      <c r="IB27" s="1737"/>
      <c r="IC27" s="1737"/>
      <c r="ID27" s="1737"/>
      <c r="IE27" s="1738"/>
      <c r="IF27" s="1736">
        <v>0</v>
      </c>
      <c r="IG27" s="1737"/>
      <c r="IH27" s="1737"/>
      <c r="II27" s="1737"/>
      <c r="IJ27" s="1737"/>
      <c r="IK27" s="1737"/>
      <c r="IL27" s="1738"/>
      <c r="IM27" s="1736">
        <v>0</v>
      </c>
      <c r="IN27" s="1737"/>
      <c r="IO27" s="1737"/>
      <c r="IP27" s="1737"/>
      <c r="IQ27" s="1737"/>
      <c r="IR27" s="1737"/>
      <c r="IS27" s="1738"/>
      <c r="IT27" s="1736">
        <v>0</v>
      </c>
      <c r="IU27" s="1737"/>
      <c r="IV27" s="1737"/>
      <c r="IW27" s="1737"/>
      <c r="IX27" s="1737"/>
      <c r="IY27" s="1737"/>
      <c r="IZ27" s="1738"/>
      <c r="JA27" s="1736">
        <v>0</v>
      </c>
      <c r="JB27" s="1737"/>
      <c r="JC27" s="1737"/>
      <c r="JD27" s="1737"/>
      <c r="JE27" s="1737"/>
      <c r="JF27" s="1737"/>
      <c r="JG27" s="1738"/>
      <c r="JH27" s="1736">
        <v>0</v>
      </c>
      <c r="JI27" s="1737"/>
      <c r="JJ27" s="1737"/>
      <c r="JK27" s="1737"/>
      <c r="JL27" s="1737"/>
      <c r="JM27" s="1737"/>
      <c r="JN27" s="1738"/>
      <c r="JO27" s="1736">
        <v>0</v>
      </c>
      <c r="JP27" s="1737"/>
      <c r="JQ27" s="1737"/>
      <c r="JR27" s="1737"/>
      <c r="JS27" s="1737"/>
      <c r="JT27" s="1737"/>
      <c r="JU27" s="1738"/>
      <c r="JV27" s="1736">
        <v>0</v>
      </c>
      <c r="JW27" s="1737"/>
      <c r="JX27" s="1737"/>
      <c r="JY27" s="1737"/>
      <c r="JZ27" s="1737"/>
      <c r="KA27" s="1737"/>
      <c r="KB27" s="1738"/>
      <c r="KC27" s="1736">
        <v>0</v>
      </c>
      <c r="KD27" s="1737"/>
      <c r="KE27" s="1737"/>
      <c r="KF27" s="1737"/>
      <c r="KG27" s="1737"/>
      <c r="KH27" s="1737"/>
      <c r="KI27" s="1738"/>
      <c r="KJ27" s="1736">
        <v>0</v>
      </c>
      <c r="KK27" s="1737"/>
      <c r="KL27" s="1737"/>
      <c r="KM27" s="1737"/>
      <c r="KN27" s="1737"/>
      <c r="KO27" s="1737"/>
      <c r="KP27" s="1738"/>
      <c r="KQ27" s="1736">
        <v>0</v>
      </c>
      <c r="KR27" s="1737"/>
      <c r="KS27" s="1737"/>
      <c r="KT27" s="1737"/>
      <c r="KU27" s="1737"/>
      <c r="KV27" s="1737"/>
      <c r="KW27" s="1738"/>
      <c r="KX27" s="1736">
        <v>0</v>
      </c>
      <c r="KY27" s="1737"/>
      <c r="KZ27" s="1737"/>
      <c r="LA27" s="1737"/>
      <c r="LB27" s="1737"/>
      <c r="LC27" s="1737"/>
      <c r="LD27" s="1738"/>
      <c r="LE27" s="1736">
        <v>0</v>
      </c>
      <c r="LF27" s="1737"/>
      <c r="LG27" s="1737"/>
      <c r="LH27" s="1737"/>
      <c r="LI27" s="1737"/>
      <c r="LJ27" s="1737"/>
      <c r="LK27" s="1738"/>
      <c r="LL27" s="1736">
        <v>0</v>
      </c>
      <c r="LM27" s="1737"/>
      <c r="LN27" s="1737"/>
      <c r="LO27" s="1737"/>
      <c r="LP27" s="1737"/>
      <c r="LQ27" s="1737"/>
      <c r="LR27" s="1738"/>
      <c r="LS27" s="1736">
        <v>0</v>
      </c>
      <c r="LT27" s="1737"/>
      <c r="LU27" s="1737"/>
      <c r="LV27" s="1737"/>
      <c r="LW27" s="1737"/>
      <c r="LX27" s="1737"/>
      <c r="LY27" s="1738"/>
      <c r="LZ27" s="1736">
        <v>0</v>
      </c>
      <c r="MA27" s="1737"/>
      <c r="MB27" s="1737"/>
      <c r="MC27" s="1737"/>
      <c r="MD27" s="1737"/>
      <c r="ME27" s="1737"/>
      <c r="MF27" s="1738"/>
      <c r="MG27" s="1736">
        <v>0</v>
      </c>
      <c r="MH27" s="1737"/>
      <c r="MI27" s="1737"/>
      <c r="MJ27" s="1737"/>
      <c r="MK27" s="1737"/>
      <c r="ML27" s="1737"/>
      <c r="MM27" s="1738"/>
      <c r="MN27" s="1736">
        <v>0</v>
      </c>
      <c r="MO27" s="1737"/>
      <c r="MP27" s="1737"/>
      <c r="MQ27" s="1737"/>
      <c r="MR27" s="1737"/>
      <c r="MS27" s="1737"/>
      <c r="MT27" s="1738"/>
      <c r="MU27" s="1736">
        <v>0</v>
      </c>
      <c r="MV27" s="1737"/>
      <c r="MW27" s="1737"/>
      <c r="MX27" s="1737"/>
      <c r="MY27" s="1737"/>
      <c r="MZ27" s="1737"/>
      <c r="NA27" s="1738"/>
      <c r="NB27" s="1736">
        <v>0</v>
      </c>
      <c r="NC27" s="1737"/>
      <c r="ND27" s="1737"/>
      <c r="NE27" s="1737"/>
      <c r="NF27" s="1737"/>
      <c r="NG27" s="1737"/>
      <c r="NH27" s="1738"/>
      <c r="NI27" s="1736">
        <v>0</v>
      </c>
      <c r="NJ27" s="1737"/>
      <c r="NK27" s="1737"/>
      <c r="NL27" s="1737"/>
      <c r="NM27" s="1737"/>
      <c r="NN27" s="1737"/>
      <c r="NO27" s="1738"/>
      <c r="NP27" s="1736">
        <v>0</v>
      </c>
      <c r="NQ27" s="1737"/>
      <c r="NR27" s="1737"/>
      <c r="NS27" s="1737"/>
      <c r="NT27" s="1737"/>
      <c r="NU27" s="1737"/>
      <c r="NV27" s="1738"/>
      <c r="NW27" s="1736">
        <v>0</v>
      </c>
      <c r="NX27" s="1737"/>
      <c r="NY27" s="1737"/>
      <c r="NZ27" s="1737"/>
      <c r="OA27" s="1737"/>
      <c r="OB27" s="1737"/>
      <c r="OC27" s="1738"/>
      <c r="OD27" s="1736">
        <v>0</v>
      </c>
      <c r="OE27" s="1737"/>
      <c r="OF27" s="1737"/>
      <c r="OG27" s="1737"/>
      <c r="OH27" s="1737"/>
      <c r="OI27" s="1737"/>
      <c r="OJ27" s="1738"/>
      <c r="OK27" s="1736">
        <v>0</v>
      </c>
      <c r="OL27" s="1737"/>
      <c r="OM27" s="1737"/>
      <c r="ON27" s="1737"/>
      <c r="OO27" s="1737"/>
      <c r="OP27" s="1737"/>
      <c r="OQ27" s="1738"/>
    </row>
    <row r="28" spans="1:407" s="15" customFormat="1" ht="12.75" customHeight="1" thickBot="1">
      <c r="A28" s="431" t="s">
        <v>426</v>
      </c>
      <c r="B28" s="550"/>
      <c r="C28" s="551" t="s">
        <v>461</v>
      </c>
      <c r="D28" s="552"/>
      <c r="E28" s="552"/>
      <c r="F28" s="553"/>
      <c r="G28" s="554" t="e">
        <v>#VALUE!</v>
      </c>
      <c r="H28" s="1739">
        <v>0</v>
      </c>
      <c r="I28" s="1740"/>
      <c r="J28" s="543"/>
      <c r="K28" s="541" t="s">
        <v>462</v>
      </c>
      <c r="L28" s="544"/>
      <c r="M28" s="544"/>
      <c r="N28" s="544"/>
      <c r="O28" s="544"/>
      <c r="P28" s="1721">
        <v>0</v>
      </c>
      <c r="Q28" s="1722"/>
      <c r="R28" s="1722"/>
      <c r="S28" s="1722"/>
      <c r="T28" s="1722"/>
      <c r="U28" s="1722"/>
      <c r="V28" s="1723"/>
      <c r="W28" s="1721">
        <v>0</v>
      </c>
      <c r="X28" s="1722"/>
      <c r="Y28" s="1722"/>
      <c r="Z28" s="1722"/>
      <c r="AA28" s="1722"/>
      <c r="AB28" s="1722"/>
      <c r="AC28" s="1723"/>
      <c r="AD28" s="1721">
        <v>0</v>
      </c>
      <c r="AE28" s="1722"/>
      <c r="AF28" s="1722"/>
      <c r="AG28" s="1722"/>
      <c r="AH28" s="1722"/>
      <c r="AI28" s="1722"/>
      <c r="AJ28" s="1723"/>
      <c r="AK28" s="1721">
        <v>0</v>
      </c>
      <c r="AL28" s="1722"/>
      <c r="AM28" s="1722"/>
      <c r="AN28" s="1722"/>
      <c r="AO28" s="1722"/>
      <c r="AP28" s="1722"/>
      <c r="AQ28" s="1723"/>
      <c r="AR28" s="1721">
        <v>0</v>
      </c>
      <c r="AS28" s="1722"/>
      <c r="AT28" s="1722"/>
      <c r="AU28" s="1722"/>
      <c r="AV28" s="1722"/>
      <c r="AW28" s="1722"/>
      <c r="AX28" s="1723"/>
      <c r="AY28" s="1721">
        <v>0</v>
      </c>
      <c r="AZ28" s="1722"/>
      <c r="BA28" s="1722"/>
      <c r="BB28" s="1722"/>
      <c r="BC28" s="1722"/>
      <c r="BD28" s="1722"/>
      <c r="BE28" s="1723"/>
      <c r="BF28" s="1721">
        <v>0</v>
      </c>
      <c r="BG28" s="1722"/>
      <c r="BH28" s="1722"/>
      <c r="BI28" s="1722"/>
      <c r="BJ28" s="1722"/>
      <c r="BK28" s="1722"/>
      <c r="BL28" s="1723"/>
      <c r="BM28" s="1721">
        <v>0</v>
      </c>
      <c r="BN28" s="1722"/>
      <c r="BO28" s="1722"/>
      <c r="BP28" s="1722"/>
      <c r="BQ28" s="1722"/>
      <c r="BR28" s="1722"/>
      <c r="BS28" s="1723"/>
      <c r="BT28" s="1721">
        <v>0</v>
      </c>
      <c r="BU28" s="1722"/>
      <c r="BV28" s="1722"/>
      <c r="BW28" s="1722"/>
      <c r="BX28" s="1722"/>
      <c r="BY28" s="1722"/>
      <c r="BZ28" s="1723"/>
      <c r="CA28" s="1721">
        <v>0</v>
      </c>
      <c r="CB28" s="1722"/>
      <c r="CC28" s="1722"/>
      <c r="CD28" s="1722"/>
      <c r="CE28" s="1722"/>
      <c r="CF28" s="1722"/>
      <c r="CG28" s="1723"/>
      <c r="CH28" s="1721">
        <v>0</v>
      </c>
      <c r="CI28" s="1722"/>
      <c r="CJ28" s="1722"/>
      <c r="CK28" s="1722"/>
      <c r="CL28" s="1722"/>
      <c r="CM28" s="1722"/>
      <c r="CN28" s="1723"/>
      <c r="CO28" s="1721">
        <v>0</v>
      </c>
      <c r="CP28" s="1722"/>
      <c r="CQ28" s="1722"/>
      <c r="CR28" s="1722"/>
      <c r="CS28" s="1722"/>
      <c r="CT28" s="1722"/>
      <c r="CU28" s="1723"/>
      <c r="CV28" s="1721">
        <v>0</v>
      </c>
      <c r="CW28" s="1722"/>
      <c r="CX28" s="1722"/>
      <c r="CY28" s="1722"/>
      <c r="CZ28" s="1722"/>
      <c r="DA28" s="1722"/>
      <c r="DB28" s="1723"/>
      <c r="DC28" s="1721">
        <v>0</v>
      </c>
      <c r="DD28" s="1722"/>
      <c r="DE28" s="1722"/>
      <c r="DF28" s="1722"/>
      <c r="DG28" s="1722"/>
      <c r="DH28" s="1722"/>
      <c r="DI28" s="1723"/>
      <c r="DJ28" s="1721">
        <v>0</v>
      </c>
      <c r="DK28" s="1722"/>
      <c r="DL28" s="1722"/>
      <c r="DM28" s="1722"/>
      <c r="DN28" s="1722"/>
      <c r="DO28" s="1722"/>
      <c r="DP28" s="1723"/>
      <c r="DQ28" s="1721">
        <v>0</v>
      </c>
      <c r="DR28" s="1722"/>
      <c r="DS28" s="1722"/>
      <c r="DT28" s="1722"/>
      <c r="DU28" s="1722"/>
      <c r="DV28" s="1722"/>
      <c r="DW28" s="1723"/>
      <c r="DX28" s="1721">
        <v>0</v>
      </c>
      <c r="DY28" s="1722"/>
      <c r="DZ28" s="1722"/>
      <c r="EA28" s="1722"/>
      <c r="EB28" s="1722"/>
      <c r="EC28" s="1722"/>
      <c r="ED28" s="1723"/>
      <c r="EE28" s="1721">
        <v>0</v>
      </c>
      <c r="EF28" s="1722"/>
      <c r="EG28" s="1722"/>
      <c r="EH28" s="1722"/>
      <c r="EI28" s="1722"/>
      <c r="EJ28" s="1722"/>
      <c r="EK28" s="1723"/>
      <c r="EL28" s="1721">
        <v>0</v>
      </c>
      <c r="EM28" s="1722"/>
      <c r="EN28" s="1722"/>
      <c r="EO28" s="1722"/>
      <c r="EP28" s="1722"/>
      <c r="EQ28" s="1722"/>
      <c r="ER28" s="1723"/>
      <c r="ES28" s="1721">
        <v>0</v>
      </c>
      <c r="ET28" s="1722"/>
      <c r="EU28" s="1722"/>
      <c r="EV28" s="1722"/>
      <c r="EW28" s="1722"/>
      <c r="EX28" s="1722"/>
      <c r="EY28" s="1723"/>
      <c r="EZ28" s="1721">
        <v>0</v>
      </c>
      <c r="FA28" s="1722"/>
      <c r="FB28" s="1722"/>
      <c r="FC28" s="1722"/>
      <c r="FD28" s="1722"/>
      <c r="FE28" s="1722"/>
      <c r="FF28" s="1723"/>
      <c r="FG28" s="1721">
        <v>0</v>
      </c>
      <c r="FH28" s="1722"/>
      <c r="FI28" s="1722"/>
      <c r="FJ28" s="1722"/>
      <c r="FK28" s="1722"/>
      <c r="FL28" s="1722"/>
      <c r="FM28" s="1723"/>
      <c r="FN28" s="1721">
        <v>0</v>
      </c>
      <c r="FO28" s="1722"/>
      <c r="FP28" s="1722"/>
      <c r="FQ28" s="1722"/>
      <c r="FR28" s="1722"/>
      <c r="FS28" s="1722"/>
      <c r="FT28" s="1723"/>
      <c r="FU28" s="1721">
        <v>0</v>
      </c>
      <c r="FV28" s="1722"/>
      <c r="FW28" s="1722"/>
      <c r="FX28" s="1722"/>
      <c r="FY28" s="1722"/>
      <c r="FZ28" s="1722"/>
      <c r="GA28" s="1723"/>
      <c r="GB28" s="1721">
        <v>0</v>
      </c>
      <c r="GC28" s="1722"/>
      <c r="GD28" s="1722"/>
      <c r="GE28" s="1722"/>
      <c r="GF28" s="1722"/>
      <c r="GG28" s="1722"/>
      <c r="GH28" s="1723"/>
      <c r="GI28" s="1721">
        <v>0</v>
      </c>
      <c r="GJ28" s="1722"/>
      <c r="GK28" s="1722"/>
      <c r="GL28" s="1722"/>
      <c r="GM28" s="1722"/>
      <c r="GN28" s="1722"/>
      <c r="GO28" s="1723"/>
      <c r="GP28" s="1721">
        <v>0</v>
      </c>
      <c r="GQ28" s="1722"/>
      <c r="GR28" s="1722"/>
      <c r="GS28" s="1722"/>
      <c r="GT28" s="1722"/>
      <c r="GU28" s="1722"/>
      <c r="GV28" s="1723"/>
      <c r="GW28" s="1721">
        <v>0</v>
      </c>
      <c r="GX28" s="1722"/>
      <c r="GY28" s="1722"/>
      <c r="GZ28" s="1722"/>
      <c r="HA28" s="1722"/>
      <c r="HB28" s="1722"/>
      <c r="HC28" s="1723"/>
      <c r="HD28" s="1721">
        <v>0</v>
      </c>
      <c r="HE28" s="1722"/>
      <c r="HF28" s="1722"/>
      <c r="HG28" s="1722"/>
      <c r="HH28" s="1722"/>
      <c r="HI28" s="1722"/>
      <c r="HJ28" s="1723"/>
      <c r="HK28" s="1721">
        <v>0</v>
      </c>
      <c r="HL28" s="1722"/>
      <c r="HM28" s="1722"/>
      <c r="HN28" s="1722"/>
      <c r="HO28" s="1722"/>
      <c r="HP28" s="1722"/>
      <c r="HQ28" s="1723"/>
      <c r="HR28" s="1721">
        <v>0</v>
      </c>
      <c r="HS28" s="1722"/>
      <c r="HT28" s="1722"/>
      <c r="HU28" s="1722"/>
      <c r="HV28" s="1722"/>
      <c r="HW28" s="1722"/>
      <c r="HX28" s="1723"/>
      <c r="HY28" s="1721">
        <v>0</v>
      </c>
      <c r="HZ28" s="1722"/>
      <c r="IA28" s="1722"/>
      <c r="IB28" s="1722"/>
      <c r="IC28" s="1722"/>
      <c r="ID28" s="1722"/>
      <c r="IE28" s="1723"/>
      <c r="IF28" s="1721">
        <v>0</v>
      </c>
      <c r="IG28" s="1722"/>
      <c r="IH28" s="1722"/>
      <c r="II28" s="1722"/>
      <c r="IJ28" s="1722"/>
      <c r="IK28" s="1722"/>
      <c r="IL28" s="1723"/>
      <c r="IM28" s="1721">
        <v>0</v>
      </c>
      <c r="IN28" s="1722"/>
      <c r="IO28" s="1722"/>
      <c r="IP28" s="1722"/>
      <c r="IQ28" s="1722"/>
      <c r="IR28" s="1722"/>
      <c r="IS28" s="1723"/>
      <c r="IT28" s="1721">
        <v>0</v>
      </c>
      <c r="IU28" s="1722"/>
      <c r="IV28" s="1722"/>
      <c r="IW28" s="1722"/>
      <c r="IX28" s="1722"/>
      <c r="IY28" s="1722"/>
      <c r="IZ28" s="1723"/>
      <c r="JA28" s="1721">
        <v>0</v>
      </c>
      <c r="JB28" s="1722"/>
      <c r="JC28" s="1722"/>
      <c r="JD28" s="1722"/>
      <c r="JE28" s="1722"/>
      <c r="JF28" s="1722"/>
      <c r="JG28" s="1723"/>
      <c r="JH28" s="1721">
        <v>0</v>
      </c>
      <c r="JI28" s="1722"/>
      <c r="JJ28" s="1722"/>
      <c r="JK28" s="1722"/>
      <c r="JL28" s="1722"/>
      <c r="JM28" s="1722"/>
      <c r="JN28" s="1723"/>
      <c r="JO28" s="1721">
        <v>0</v>
      </c>
      <c r="JP28" s="1722"/>
      <c r="JQ28" s="1722"/>
      <c r="JR28" s="1722"/>
      <c r="JS28" s="1722"/>
      <c r="JT28" s="1722"/>
      <c r="JU28" s="1723"/>
      <c r="JV28" s="1721">
        <v>0</v>
      </c>
      <c r="JW28" s="1722"/>
      <c r="JX28" s="1722"/>
      <c r="JY28" s="1722"/>
      <c r="JZ28" s="1722"/>
      <c r="KA28" s="1722"/>
      <c r="KB28" s="1723"/>
      <c r="KC28" s="1721">
        <v>0</v>
      </c>
      <c r="KD28" s="1722"/>
      <c r="KE28" s="1722"/>
      <c r="KF28" s="1722"/>
      <c r="KG28" s="1722"/>
      <c r="KH28" s="1722"/>
      <c r="KI28" s="1723"/>
      <c r="KJ28" s="1721">
        <v>0</v>
      </c>
      <c r="KK28" s="1722"/>
      <c r="KL28" s="1722"/>
      <c r="KM28" s="1722"/>
      <c r="KN28" s="1722"/>
      <c r="KO28" s="1722"/>
      <c r="KP28" s="1723"/>
      <c r="KQ28" s="1721">
        <v>0</v>
      </c>
      <c r="KR28" s="1722"/>
      <c r="KS28" s="1722"/>
      <c r="KT28" s="1722"/>
      <c r="KU28" s="1722"/>
      <c r="KV28" s="1722"/>
      <c r="KW28" s="1723"/>
      <c r="KX28" s="1721">
        <v>0</v>
      </c>
      <c r="KY28" s="1722"/>
      <c r="KZ28" s="1722"/>
      <c r="LA28" s="1722"/>
      <c r="LB28" s="1722"/>
      <c r="LC28" s="1722"/>
      <c r="LD28" s="1723"/>
      <c r="LE28" s="1721">
        <v>0</v>
      </c>
      <c r="LF28" s="1722"/>
      <c r="LG28" s="1722"/>
      <c r="LH28" s="1722"/>
      <c r="LI28" s="1722"/>
      <c r="LJ28" s="1722"/>
      <c r="LK28" s="1723"/>
      <c r="LL28" s="1721">
        <v>0</v>
      </c>
      <c r="LM28" s="1722"/>
      <c r="LN28" s="1722"/>
      <c r="LO28" s="1722"/>
      <c r="LP28" s="1722"/>
      <c r="LQ28" s="1722"/>
      <c r="LR28" s="1723"/>
      <c r="LS28" s="1721">
        <v>0</v>
      </c>
      <c r="LT28" s="1722"/>
      <c r="LU28" s="1722"/>
      <c r="LV28" s="1722"/>
      <c r="LW28" s="1722"/>
      <c r="LX28" s="1722"/>
      <c r="LY28" s="1723"/>
      <c r="LZ28" s="1721">
        <v>0</v>
      </c>
      <c r="MA28" s="1722"/>
      <c r="MB28" s="1722"/>
      <c r="MC28" s="1722"/>
      <c r="MD28" s="1722"/>
      <c r="ME28" s="1722"/>
      <c r="MF28" s="1723"/>
      <c r="MG28" s="1721">
        <v>0</v>
      </c>
      <c r="MH28" s="1722"/>
      <c r="MI28" s="1722"/>
      <c r="MJ28" s="1722"/>
      <c r="MK28" s="1722"/>
      <c r="ML28" s="1722"/>
      <c r="MM28" s="1723"/>
      <c r="MN28" s="1721">
        <v>0</v>
      </c>
      <c r="MO28" s="1722"/>
      <c r="MP28" s="1722"/>
      <c r="MQ28" s="1722"/>
      <c r="MR28" s="1722"/>
      <c r="MS28" s="1722"/>
      <c r="MT28" s="1723"/>
      <c r="MU28" s="1721">
        <v>0</v>
      </c>
      <c r="MV28" s="1722"/>
      <c r="MW28" s="1722"/>
      <c r="MX28" s="1722"/>
      <c r="MY28" s="1722"/>
      <c r="MZ28" s="1722"/>
      <c r="NA28" s="1723"/>
      <c r="NB28" s="1721">
        <v>0</v>
      </c>
      <c r="NC28" s="1722"/>
      <c r="ND28" s="1722"/>
      <c r="NE28" s="1722"/>
      <c r="NF28" s="1722"/>
      <c r="NG28" s="1722"/>
      <c r="NH28" s="1723"/>
      <c r="NI28" s="1721">
        <v>0</v>
      </c>
      <c r="NJ28" s="1722"/>
      <c r="NK28" s="1722"/>
      <c r="NL28" s="1722"/>
      <c r="NM28" s="1722"/>
      <c r="NN28" s="1722"/>
      <c r="NO28" s="1723"/>
      <c r="NP28" s="1721">
        <v>0</v>
      </c>
      <c r="NQ28" s="1722"/>
      <c r="NR28" s="1722"/>
      <c r="NS28" s="1722"/>
      <c r="NT28" s="1722"/>
      <c r="NU28" s="1722"/>
      <c r="NV28" s="1723"/>
      <c r="NW28" s="1721">
        <v>0</v>
      </c>
      <c r="NX28" s="1722"/>
      <c r="NY28" s="1722"/>
      <c r="NZ28" s="1722"/>
      <c r="OA28" s="1722"/>
      <c r="OB28" s="1722"/>
      <c r="OC28" s="1723"/>
      <c r="OD28" s="1721">
        <v>0</v>
      </c>
      <c r="OE28" s="1722"/>
      <c r="OF28" s="1722"/>
      <c r="OG28" s="1722"/>
      <c r="OH28" s="1722"/>
      <c r="OI28" s="1722"/>
      <c r="OJ28" s="1723"/>
      <c r="OK28" s="1721">
        <v>0</v>
      </c>
      <c r="OL28" s="1722"/>
      <c r="OM28" s="1722"/>
      <c r="ON28" s="1722"/>
      <c r="OO28" s="1722"/>
      <c r="OP28" s="1722"/>
      <c r="OQ28" s="1723"/>
    </row>
    <row r="29" spans="1:407" s="15" customFormat="1">
      <c r="A29" s="431"/>
      <c r="B29" s="555"/>
      <c r="C29" s="556"/>
      <c r="D29" s="555"/>
      <c r="E29" s="462"/>
      <c r="F29" s="460"/>
      <c r="G29" s="460"/>
      <c r="H29" s="460"/>
      <c r="I29" s="460"/>
      <c r="J29" s="462"/>
      <c r="K29" s="463"/>
      <c r="L29" s="463"/>
      <c r="M29" s="463"/>
      <c r="N29" s="463"/>
      <c r="O29" s="463"/>
      <c r="P29" s="555"/>
      <c r="Q29" s="555"/>
      <c r="R29" s="555"/>
      <c r="S29" s="555"/>
      <c r="T29" s="555"/>
      <c r="U29" s="555"/>
      <c r="V29" s="555"/>
      <c r="W29" s="555"/>
      <c r="X29" s="555"/>
      <c r="Y29" s="555"/>
      <c r="Z29" s="555"/>
      <c r="AA29" s="555"/>
      <c r="AB29" s="555"/>
      <c r="AC29" s="555"/>
      <c r="AD29" s="555"/>
      <c r="AE29" s="555"/>
      <c r="AF29" s="555"/>
      <c r="AG29" s="555"/>
      <c r="AH29" s="555"/>
      <c r="AI29" s="555"/>
      <c r="AJ29" s="555"/>
      <c r="AK29" s="555"/>
      <c r="AL29" s="555"/>
      <c r="AM29" s="555"/>
      <c r="AN29" s="555"/>
      <c r="AO29" s="555"/>
      <c r="AP29" s="555"/>
      <c r="AQ29" s="555"/>
      <c r="AR29" s="555"/>
      <c r="AS29" s="555"/>
      <c r="AT29" s="555"/>
      <c r="AU29" s="555"/>
      <c r="AV29" s="555"/>
      <c r="AW29" s="555"/>
      <c r="AX29" s="555"/>
      <c r="AY29" s="555"/>
      <c r="AZ29" s="555"/>
      <c r="BA29" s="555"/>
      <c r="BB29" s="555"/>
      <c r="BC29" s="555"/>
      <c r="BD29" s="555"/>
      <c r="BE29" s="555"/>
      <c r="BF29" s="555"/>
      <c r="BG29" s="555"/>
      <c r="BH29" s="555"/>
      <c r="BI29" s="555"/>
      <c r="BJ29" s="555"/>
      <c r="BK29" s="555"/>
      <c r="BL29" s="555"/>
      <c r="BM29" s="555"/>
      <c r="BN29" s="555"/>
      <c r="BO29" s="555"/>
      <c r="BP29" s="555"/>
      <c r="BQ29" s="555"/>
      <c r="BR29" s="555"/>
      <c r="BS29" s="555"/>
      <c r="BT29" s="555"/>
      <c r="BU29" s="555"/>
      <c r="BV29" s="555"/>
      <c r="BW29" s="555"/>
      <c r="BX29" s="555"/>
      <c r="BY29" s="555"/>
      <c r="BZ29" s="555"/>
      <c r="CA29" s="555"/>
      <c r="CB29" s="555"/>
      <c r="CC29" s="555"/>
      <c r="CD29" s="555"/>
      <c r="CE29" s="555"/>
      <c r="CF29" s="555"/>
      <c r="CG29" s="555"/>
      <c r="CH29" s="555"/>
      <c r="CI29" s="555"/>
      <c r="CJ29" s="555"/>
      <c r="CK29" s="555"/>
      <c r="CL29" s="555"/>
      <c r="CM29" s="555"/>
      <c r="CN29" s="555"/>
      <c r="CO29" s="555"/>
      <c r="CP29" s="555"/>
      <c r="CQ29" s="555"/>
      <c r="CR29" s="555"/>
      <c r="CS29" s="555"/>
      <c r="CT29" s="555"/>
      <c r="CU29" s="555"/>
      <c r="CV29" s="555"/>
      <c r="CW29" s="555"/>
      <c r="CX29" s="555"/>
      <c r="CY29" s="555"/>
      <c r="CZ29" s="555"/>
      <c r="DA29" s="555"/>
      <c r="DB29" s="17"/>
      <c r="DC29" s="17"/>
      <c r="DD29" s="17"/>
      <c r="DE29" s="17"/>
      <c r="DF29" s="17"/>
      <c r="DG29" s="17"/>
      <c r="DH29" s="17"/>
      <c r="DI29" s="17"/>
      <c r="DJ29" s="17"/>
      <c r="DK29" s="17"/>
      <c r="DL29" s="17"/>
      <c r="DM29" s="17"/>
      <c r="DN29" s="17"/>
      <c r="DO29" s="17"/>
      <c r="DP29" s="17"/>
      <c r="DQ29" s="17"/>
      <c r="DR29" s="17"/>
      <c r="DS29" s="17"/>
      <c r="DT29" s="17"/>
      <c r="DU29" s="17"/>
      <c r="DV29" s="17"/>
      <c r="DW29" s="17"/>
      <c r="DX29" s="17"/>
      <c r="DY29" s="17"/>
      <c r="DZ29" s="17"/>
      <c r="EA29" s="17"/>
      <c r="EB29" s="17"/>
      <c r="EC29" s="17"/>
      <c r="ED29" s="17"/>
      <c r="EE29" s="17"/>
      <c r="EF29" s="17"/>
      <c r="EG29" s="17"/>
      <c r="EH29" s="17"/>
      <c r="EI29" s="17"/>
      <c r="EJ29" s="17"/>
      <c r="EK29" s="17"/>
      <c r="EL29" s="17"/>
      <c r="EM29" s="17"/>
      <c r="EN29" s="17"/>
      <c r="EO29" s="17"/>
      <c r="EP29" s="17"/>
      <c r="EQ29" s="17"/>
      <c r="ER29" s="17"/>
      <c r="ES29" s="17"/>
      <c r="ET29" s="17"/>
      <c r="EU29" s="17"/>
      <c r="EV29" s="17"/>
      <c r="EW29" s="17"/>
      <c r="EX29" s="17"/>
      <c r="EY29" s="17"/>
      <c r="EZ29" s="17"/>
      <c r="FA29" s="17"/>
      <c r="FB29" s="17"/>
      <c r="FC29" s="17"/>
      <c r="FD29" s="17"/>
      <c r="FE29" s="17"/>
      <c r="FF29" s="17"/>
      <c r="FG29" s="17"/>
      <c r="FH29" s="17"/>
      <c r="FI29" s="17"/>
      <c r="FJ29" s="17"/>
      <c r="FK29" s="17"/>
      <c r="FL29" s="17"/>
      <c r="FM29" s="17"/>
      <c r="FN29" s="17"/>
      <c r="FO29" s="17"/>
      <c r="FP29" s="17"/>
      <c r="FQ29" s="17"/>
      <c r="FR29" s="17"/>
      <c r="FS29" s="17"/>
      <c r="FT29" s="17"/>
      <c r="FU29" s="17"/>
      <c r="FV29" s="17"/>
      <c r="FW29" s="17"/>
      <c r="FX29" s="17"/>
      <c r="FY29" s="17"/>
      <c r="FZ29" s="17"/>
      <c r="GA29" s="17"/>
      <c r="GB29" s="17"/>
      <c r="GC29" s="17"/>
      <c r="GD29" s="17"/>
      <c r="GE29" s="17"/>
      <c r="GF29" s="17"/>
      <c r="GG29" s="17"/>
      <c r="GH29" s="17"/>
      <c r="GI29" s="17"/>
      <c r="GJ29" s="17"/>
      <c r="GK29" s="17"/>
      <c r="GL29" s="17"/>
      <c r="GM29" s="17"/>
      <c r="GN29" s="17"/>
      <c r="GO29" s="17"/>
      <c r="GP29" s="17"/>
      <c r="GQ29" s="17"/>
      <c r="GR29" s="17"/>
      <c r="GS29" s="17"/>
      <c r="GT29" s="17"/>
      <c r="GU29" s="17"/>
      <c r="GV29" s="17"/>
      <c r="GW29" s="17"/>
      <c r="GX29" s="17"/>
      <c r="GY29" s="17"/>
      <c r="GZ29" s="17"/>
      <c r="HA29" s="17"/>
      <c r="HB29" s="17"/>
      <c r="HC29" s="17"/>
      <c r="HD29" s="17"/>
      <c r="HE29" s="17"/>
      <c r="HF29" s="17"/>
      <c r="HG29" s="17"/>
      <c r="HH29" s="17"/>
      <c r="HI29" s="17"/>
      <c r="HJ29" s="17"/>
      <c r="HK29" s="17"/>
      <c r="HL29" s="17"/>
      <c r="HM29" s="17"/>
      <c r="HN29" s="17"/>
      <c r="HO29" s="17"/>
      <c r="HP29" s="17"/>
      <c r="HQ29" s="17"/>
      <c r="HR29" s="17"/>
      <c r="HS29" s="17"/>
      <c r="HT29" s="17"/>
      <c r="HU29" s="17"/>
      <c r="HV29" s="17"/>
      <c r="HW29" s="17"/>
      <c r="HX29" s="17"/>
      <c r="HY29" s="17"/>
      <c r="HZ29" s="17"/>
      <c r="IA29" s="17"/>
      <c r="IB29" s="17"/>
      <c r="IC29" s="17"/>
      <c r="ID29" s="17"/>
      <c r="IE29" s="17"/>
      <c r="IF29" s="17"/>
      <c r="IG29" s="17"/>
      <c r="IH29" s="17"/>
      <c r="II29" s="17"/>
      <c r="IJ29" s="17"/>
      <c r="IK29" s="17"/>
      <c r="IL29" s="17"/>
      <c r="IM29" s="17"/>
      <c r="IN29" s="17"/>
      <c r="IO29" s="17"/>
      <c r="IP29" s="17"/>
      <c r="IQ29" s="17"/>
      <c r="IR29" s="17"/>
      <c r="IS29" s="17"/>
      <c r="IT29" s="17"/>
      <c r="IU29" s="17"/>
      <c r="IV29" s="17"/>
      <c r="IW29" s="17"/>
      <c r="IX29" s="17"/>
      <c r="IY29" s="17"/>
      <c r="IZ29" s="17"/>
      <c r="JA29" s="17"/>
      <c r="JB29" s="17"/>
      <c r="JC29" s="17"/>
      <c r="JD29" s="17"/>
      <c r="JE29" s="17"/>
      <c r="JF29" s="17"/>
      <c r="JG29" s="17"/>
      <c r="JH29" s="17"/>
      <c r="JI29" s="17"/>
      <c r="JJ29" s="17"/>
      <c r="JK29" s="17"/>
      <c r="JL29" s="17"/>
      <c r="JM29" s="17"/>
      <c r="JN29" s="17"/>
      <c r="JO29" s="17"/>
      <c r="JP29" s="17"/>
      <c r="JQ29" s="17"/>
      <c r="JR29" s="17"/>
      <c r="JS29" s="17"/>
      <c r="JT29" s="17"/>
      <c r="JU29" s="17"/>
      <c r="JV29" s="17"/>
      <c r="JW29" s="17"/>
      <c r="JX29" s="17"/>
      <c r="JY29" s="17"/>
      <c r="JZ29" s="17"/>
      <c r="KA29" s="17"/>
      <c r="KB29" s="17"/>
      <c r="KC29" s="17"/>
      <c r="KD29" s="17"/>
      <c r="KE29" s="17"/>
      <c r="KF29" s="17"/>
      <c r="KG29" s="17"/>
      <c r="KH29" s="17"/>
      <c r="KI29" s="17"/>
      <c r="KJ29" s="17"/>
      <c r="KK29" s="17"/>
      <c r="KL29" s="17"/>
      <c r="KM29" s="17"/>
      <c r="KN29" s="17"/>
      <c r="KO29" s="17"/>
      <c r="KP29" s="17"/>
      <c r="KQ29" s="17"/>
      <c r="KR29" s="17"/>
      <c r="KS29" s="17"/>
      <c r="KT29" s="17"/>
      <c r="KU29" s="17"/>
      <c r="KV29" s="17"/>
      <c r="KW29" s="17"/>
      <c r="KX29" s="17"/>
      <c r="KY29" s="17"/>
      <c r="KZ29" s="17"/>
      <c r="LA29" s="17"/>
      <c r="LB29" s="17"/>
      <c r="LC29" s="17"/>
      <c r="LD29" s="17"/>
      <c r="LE29" s="17"/>
      <c r="LF29" s="17"/>
      <c r="LG29" s="17"/>
      <c r="LH29" s="17"/>
      <c r="LI29" s="17"/>
      <c r="LJ29" s="17"/>
      <c r="LK29" s="17"/>
      <c r="LL29" s="17"/>
      <c r="LM29" s="17"/>
      <c r="LN29" s="17"/>
      <c r="LO29" s="17"/>
      <c r="LP29" s="17"/>
      <c r="LQ29" s="17"/>
      <c r="LR29" s="17"/>
      <c r="LS29" s="17"/>
      <c r="LT29" s="17"/>
      <c r="LU29" s="17"/>
      <c r="LV29" s="17"/>
      <c r="LW29" s="17"/>
      <c r="LX29" s="17"/>
      <c r="LY29" s="17"/>
      <c r="LZ29" s="17"/>
      <c r="MA29" s="17"/>
      <c r="MB29" s="17"/>
      <c r="MC29" s="17"/>
      <c r="MD29" s="17"/>
      <c r="ME29" s="17"/>
      <c r="MF29" s="17"/>
      <c r="MG29" s="17"/>
      <c r="MH29" s="17"/>
      <c r="MI29" s="17"/>
      <c r="MJ29" s="17"/>
      <c r="MK29" s="17"/>
      <c r="ML29" s="17"/>
      <c r="MM29" s="17"/>
      <c r="MN29" s="17"/>
      <c r="MO29" s="17"/>
      <c r="MP29" s="17"/>
      <c r="MQ29" s="17"/>
      <c r="MR29" s="17"/>
      <c r="MS29" s="17"/>
      <c r="MT29" s="17"/>
      <c r="MU29" s="17"/>
      <c r="MV29" s="17"/>
      <c r="MW29" s="17"/>
      <c r="MX29" s="17"/>
      <c r="MY29" s="17"/>
      <c r="MZ29" s="17"/>
      <c r="NA29" s="17"/>
      <c r="NB29" s="17"/>
      <c r="NC29" s="17"/>
      <c r="ND29" s="17"/>
      <c r="NE29" s="17"/>
      <c r="NF29" s="17"/>
      <c r="NG29" s="17"/>
      <c r="NH29" s="17"/>
      <c r="NI29" s="17"/>
      <c r="NJ29" s="17"/>
      <c r="NK29" s="17"/>
      <c r="NL29" s="17"/>
      <c r="NM29" s="17"/>
      <c r="NN29" s="17"/>
      <c r="NO29" s="17"/>
      <c r="NP29" s="17"/>
      <c r="NQ29" s="17"/>
      <c r="NR29" s="17"/>
      <c r="NS29" s="17"/>
      <c r="NT29" s="17"/>
      <c r="NU29" s="17"/>
      <c r="NV29" s="17"/>
      <c r="NW29" s="17"/>
      <c r="NX29" s="17"/>
      <c r="NY29" s="17"/>
      <c r="NZ29" s="17"/>
      <c r="OA29" s="17"/>
      <c r="OB29" s="17"/>
      <c r="OC29" s="17"/>
      <c r="OD29" s="17"/>
      <c r="OE29" s="17"/>
      <c r="OF29" s="17"/>
      <c r="OG29" s="17"/>
      <c r="OH29" s="17"/>
      <c r="OI29" s="17"/>
      <c r="OJ29" s="17"/>
      <c r="OK29" s="17"/>
      <c r="OL29" s="17"/>
      <c r="OM29" s="17"/>
      <c r="ON29" s="17"/>
      <c r="OO29" s="17"/>
      <c r="OP29" s="17"/>
      <c r="OQ29" s="17"/>
    </row>
    <row r="30" spans="1:407" s="15" customFormat="1">
      <c r="A30" s="431"/>
      <c r="B30" s="460"/>
      <c r="C30" s="461"/>
      <c r="D30" s="460"/>
      <c r="E30" s="460"/>
      <c r="F30" s="460"/>
      <c r="G30" s="460"/>
      <c r="H30" s="460"/>
      <c r="I30" s="460"/>
      <c r="J30" s="462"/>
      <c r="K30" s="463"/>
      <c r="L30" s="463"/>
      <c r="M30" s="463"/>
      <c r="N30" s="463"/>
      <c r="O30" s="463"/>
      <c r="P30" s="462"/>
      <c r="Q30" s="462"/>
      <c r="R30" s="462"/>
      <c r="S30" s="462"/>
      <c r="T30" s="462"/>
      <c r="U30" s="462"/>
      <c r="V30" s="462"/>
      <c r="W30" s="462"/>
      <c r="X30" s="462"/>
      <c r="Y30" s="462"/>
      <c r="Z30" s="462"/>
      <c r="AA30" s="462"/>
      <c r="AB30" s="462"/>
      <c r="AC30" s="462"/>
      <c r="AD30" s="462"/>
      <c r="AE30" s="462"/>
      <c r="AF30" s="462"/>
      <c r="AG30" s="462"/>
      <c r="AH30" s="462"/>
      <c r="AI30" s="462"/>
      <c r="AJ30" s="462"/>
      <c r="AK30" s="462"/>
      <c r="AL30" s="462"/>
      <c r="AM30" s="462"/>
      <c r="AN30" s="462"/>
      <c r="AO30" s="462"/>
      <c r="AP30" s="462"/>
      <c r="AQ30" s="462"/>
      <c r="AR30" s="462"/>
      <c r="AS30" s="462"/>
      <c r="AT30" s="462"/>
      <c r="AU30" s="462"/>
      <c r="AV30" s="462"/>
      <c r="AW30" s="462"/>
      <c r="AX30" s="462"/>
      <c r="AY30" s="462"/>
      <c r="AZ30" s="462"/>
      <c r="BA30" s="462"/>
      <c r="BB30" s="462"/>
      <c r="BC30" s="462"/>
      <c r="BD30" s="462"/>
      <c r="BE30" s="462"/>
      <c r="BF30" s="462"/>
      <c r="BG30" s="462"/>
      <c r="BH30" s="462"/>
      <c r="BI30" s="462"/>
      <c r="BJ30" s="462"/>
      <c r="BK30" s="462"/>
      <c r="BL30" s="462"/>
      <c r="BM30" s="462"/>
      <c r="BN30" s="462"/>
      <c r="BO30" s="462"/>
      <c r="BP30" s="462"/>
      <c r="BQ30" s="462"/>
      <c r="BR30" s="462"/>
      <c r="BS30" s="462"/>
      <c r="BT30" s="462"/>
      <c r="BU30" s="462"/>
      <c r="BV30" s="462"/>
      <c r="BW30" s="462"/>
      <c r="BX30" s="462"/>
      <c r="BY30" s="462"/>
      <c r="BZ30" s="462"/>
      <c r="CA30" s="462"/>
      <c r="CB30" s="462"/>
      <c r="CC30" s="462"/>
      <c r="CD30" s="462"/>
      <c r="CE30" s="462"/>
      <c r="CF30" s="462"/>
      <c r="CG30" s="462"/>
      <c r="CH30" s="462"/>
      <c r="CI30" s="462"/>
      <c r="CJ30" s="462"/>
      <c r="CK30" s="462"/>
      <c r="CL30" s="462"/>
      <c r="CM30" s="462"/>
      <c r="CN30" s="462"/>
      <c r="CO30" s="462"/>
      <c r="CP30" s="462"/>
      <c r="CQ30" s="462"/>
      <c r="CR30" s="462"/>
      <c r="CS30" s="462"/>
      <c r="CT30" s="462"/>
      <c r="CU30" s="462"/>
      <c r="CV30" s="462"/>
      <c r="CW30" s="462"/>
      <c r="CX30" s="462"/>
      <c r="CY30" s="462"/>
      <c r="CZ30" s="462"/>
      <c r="DA30" s="462"/>
    </row>
    <row r="31" spans="1:407" s="15" customFormat="1" ht="20.100000000000001" customHeight="1">
      <c r="A31" s="431"/>
      <c r="B31" s="1724" t="s">
        <v>463</v>
      </c>
      <c r="C31" s="1725"/>
      <c r="D31" s="1730" t="s">
        <v>464</v>
      </c>
      <c r="E31" s="1731"/>
      <c r="F31" s="1731"/>
      <c r="G31" s="1731"/>
      <c r="H31" s="1731"/>
      <c r="I31" s="1731"/>
      <c r="J31" s="1731"/>
      <c r="K31" s="1732"/>
      <c r="L31" s="557"/>
      <c r="M31" s="557"/>
      <c r="N31" s="557"/>
      <c r="O31" s="557"/>
      <c r="P31" s="1733" t="s">
        <v>465</v>
      </c>
      <c r="Q31" s="1734"/>
      <c r="R31" s="1734"/>
      <c r="S31" s="1734"/>
      <c r="T31" s="1734"/>
      <c r="U31" s="1734"/>
      <c r="V31" s="1734"/>
      <c r="W31" s="1734"/>
      <c r="X31" s="1734"/>
      <c r="Y31" s="1734"/>
      <c r="Z31" s="1734"/>
      <c r="AA31" s="1734"/>
      <c r="AB31" s="1734"/>
      <c r="AC31" s="1734"/>
      <c r="AD31" s="1734"/>
      <c r="AE31" s="1734"/>
      <c r="AF31" s="1734"/>
      <c r="AG31" s="1734"/>
      <c r="AH31" s="1734"/>
      <c r="AI31" s="1734"/>
      <c r="AJ31" s="1734"/>
      <c r="AK31" s="1734"/>
      <c r="AL31" s="1734"/>
      <c r="AM31" s="1734"/>
      <c r="AN31" s="1734"/>
      <c r="AO31" s="1734"/>
      <c r="AP31" s="1734"/>
      <c r="AQ31" s="1735"/>
      <c r="AR31" s="558" t="s">
        <v>466</v>
      </c>
      <c r="AS31" s="559"/>
      <c r="AT31" s="559"/>
      <c r="AU31" s="559"/>
      <c r="AV31" s="559"/>
      <c r="AW31" s="559"/>
      <c r="AX31" s="559"/>
      <c r="AY31" s="559"/>
      <c r="AZ31" s="559"/>
      <c r="BA31" s="559"/>
      <c r="BB31" s="559"/>
      <c r="BC31" s="559"/>
      <c r="BD31" s="559"/>
      <c r="BE31" s="559"/>
      <c r="BF31" s="559"/>
      <c r="BG31" s="559"/>
      <c r="BH31" s="559"/>
      <c r="BI31" s="559"/>
      <c r="BJ31" s="559"/>
      <c r="BK31" s="559"/>
      <c r="BL31" s="559"/>
      <c r="BM31" s="559"/>
      <c r="BN31" s="559"/>
      <c r="BO31" s="559"/>
      <c r="BP31" s="559"/>
      <c r="BQ31" s="559"/>
      <c r="BR31" s="559"/>
      <c r="BS31" s="560"/>
      <c r="BT31" s="1712"/>
      <c r="BU31" s="1713"/>
      <c r="BV31" s="1713"/>
      <c r="BW31" s="1713"/>
      <c r="BX31" s="1713"/>
      <c r="BY31" s="1713"/>
      <c r="BZ31" s="1713"/>
      <c r="CA31" s="1713"/>
      <c r="CB31" s="1713"/>
      <c r="CC31" s="1713"/>
      <c r="CD31" s="1713"/>
      <c r="CE31" s="1713"/>
      <c r="CF31" s="1713"/>
      <c r="CG31" s="1713"/>
      <c r="CH31" s="1713"/>
      <c r="CI31" s="1713"/>
      <c r="CJ31" s="1713"/>
      <c r="CK31" s="1713"/>
      <c r="CL31" s="1713"/>
      <c r="CM31" s="1713"/>
      <c r="CN31" s="1713"/>
      <c r="CO31" s="1713"/>
      <c r="CP31" s="1713"/>
      <c r="CQ31" s="1713"/>
      <c r="CR31" s="1713"/>
      <c r="CS31" s="1713"/>
      <c r="CT31" s="1713"/>
      <c r="CU31" s="1714"/>
      <c r="CV31" s="1712"/>
      <c r="CW31" s="1713"/>
      <c r="CX31" s="1713"/>
      <c r="CY31" s="1713"/>
      <c r="CZ31" s="1713"/>
      <c r="DA31" s="1713"/>
      <c r="DB31" s="1713"/>
      <c r="DC31" s="1713"/>
      <c r="DD31" s="1713"/>
      <c r="DE31" s="1713"/>
      <c r="DF31" s="1713"/>
      <c r="DG31" s="1713"/>
      <c r="DH31" s="1713"/>
      <c r="DI31" s="1713"/>
      <c r="DJ31" s="1713"/>
      <c r="DK31" s="1713"/>
      <c r="DL31" s="1713"/>
      <c r="DM31" s="1713"/>
      <c r="DN31" s="1713"/>
      <c r="DO31" s="1713"/>
      <c r="DP31" s="1713"/>
      <c r="DQ31" s="1713"/>
      <c r="DR31" s="1713"/>
      <c r="DS31" s="1713"/>
      <c r="DT31" s="1713"/>
      <c r="DU31" s="1713"/>
      <c r="DV31" s="1713"/>
      <c r="DW31" s="1714"/>
      <c r="DX31" s="1712"/>
      <c r="DY31" s="1713"/>
      <c r="DZ31" s="1713"/>
      <c r="EA31" s="1713"/>
      <c r="EB31" s="1713"/>
      <c r="EC31" s="1713"/>
      <c r="ED31" s="1713"/>
      <c r="EE31" s="1713"/>
      <c r="EF31" s="1713"/>
      <c r="EG31" s="1713"/>
      <c r="EH31" s="1713"/>
      <c r="EI31" s="1713"/>
      <c r="EJ31" s="1713"/>
      <c r="EK31" s="1713"/>
      <c r="EL31" s="1713"/>
      <c r="EM31" s="1713"/>
      <c r="EN31" s="1713"/>
      <c r="EO31" s="1713"/>
      <c r="EP31" s="1713"/>
      <c r="EQ31" s="1713"/>
      <c r="ER31" s="1713"/>
      <c r="ES31" s="1713"/>
      <c r="ET31" s="1713"/>
      <c r="EU31" s="1713"/>
      <c r="EV31" s="1713"/>
      <c r="EW31" s="1713"/>
      <c r="EX31" s="1713"/>
      <c r="EY31" s="1714"/>
      <c r="EZ31" s="1712"/>
      <c r="FA31" s="1713"/>
      <c r="FB31" s="1713"/>
      <c r="FC31" s="1713"/>
      <c r="FD31" s="1713"/>
      <c r="FE31" s="1713"/>
      <c r="FF31" s="1713"/>
      <c r="FG31" s="1713"/>
      <c r="FH31" s="1713"/>
      <c r="FI31" s="1713"/>
      <c r="FJ31" s="1713"/>
      <c r="FK31" s="1713"/>
      <c r="FL31" s="1713"/>
      <c r="FM31" s="1713"/>
      <c r="FN31" s="1713"/>
      <c r="FO31" s="1713"/>
      <c r="FP31" s="1713"/>
      <c r="FQ31" s="1713"/>
      <c r="FR31" s="1713"/>
      <c r="FS31" s="1713"/>
      <c r="FT31" s="1713"/>
      <c r="FU31" s="1713"/>
      <c r="FV31" s="1713"/>
      <c r="FW31" s="1713"/>
      <c r="FX31" s="1713"/>
      <c r="FY31" s="1713"/>
      <c r="FZ31" s="1713"/>
      <c r="GA31" s="1714"/>
      <c r="GB31" s="1712"/>
      <c r="GC31" s="1713"/>
      <c r="GD31" s="1713"/>
      <c r="GE31" s="1713"/>
      <c r="GF31" s="1713"/>
      <c r="GG31" s="1713"/>
      <c r="GH31" s="1713"/>
      <c r="GI31" s="1713"/>
      <c r="GJ31" s="1713"/>
      <c r="GK31" s="1713"/>
      <c r="GL31" s="1713"/>
      <c r="GM31" s="1713"/>
      <c r="GN31" s="1713"/>
      <c r="GO31" s="1713"/>
      <c r="GP31" s="1713"/>
      <c r="GQ31" s="1713"/>
      <c r="GR31" s="1713"/>
      <c r="GS31" s="1713"/>
      <c r="GT31" s="1713"/>
      <c r="GU31" s="1713"/>
      <c r="GV31" s="1713"/>
      <c r="GW31" s="1713"/>
      <c r="GX31" s="1713"/>
      <c r="GY31" s="1713"/>
      <c r="GZ31" s="1713"/>
      <c r="HA31" s="1713"/>
      <c r="HB31" s="1713"/>
      <c r="HC31" s="1714"/>
      <c r="HD31" s="1712"/>
      <c r="HE31" s="1713"/>
      <c r="HF31" s="1713"/>
      <c r="HG31" s="1713"/>
      <c r="HH31" s="1713"/>
      <c r="HI31" s="1713"/>
      <c r="HJ31" s="1713"/>
      <c r="HK31" s="1713"/>
      <c r="HL31" s="1713"/>
      <c r="HM31" s="1713"/>
      <c r="HN31" s="1713"/>
      <c r="HO31" s="1713"/>
      <c r="HP31" s="1713"/>
      <c r="HQ31" s="1713"/>
      <c r="HR31" s="1713"/>
      <c r="HS31" s="1713"/>
      <c r="HT31" s="1713"/>
      <c r="HU31" s="1713"/>
      <c r="HV31" s="1713"/>
      <c r="HW31" s="1713"/>
      <c r="HX31" s="1713"/>
      <c r="HY31" s="1713"/>
      <c r="HZ31" s="1713"/>
      <c r="IA31" s="1713"/>
      <c r="IB31" s="1713"/>
      <c r="IC31" s="1713"/>
      <c r="ID31" s="1713"/>
      <c r="IE31" s="1714"/>
      <c r="IF31" s="1712"/>
      <c r="IG31" s="1713"/>
      <c r="IH31" s="1713"/>
      <c r="II31" s="1713"/>
      <c r="IJ31" s="1713"/>
      <c r="IK31" s="1713"/>
      <c r="IL31" s="1713"/>
      <c r="IM31" s="1713"/>
      <c r="IN31" s="1713"/>
      <c r="IO31" s="1713"/>
      <c r="IP31" s="1713"/>
      <c r="IQ31" s="1713"/>
      <c r="IR31" s="1713"/>
      <c r="IS31" s="1713"/>
      <c r="IT31" s="1713"/>
      <c r="IU31" s="1713"/>
      <c r="IV31" s="1713"/>
      <c r="IW31" s="1713"/>
      <c r="IX31" s="1713"/>
      <c r="IY31" s="1713"/>
      <c r="IZ31" s="1713"/>
      <c r="JA31" s="1713"/>
      <c r="JB31" s="1713"/>
      <c r="JC31" s="1713"/>
      <c r="JD31" s="1713"/>
      <c r="JE31" s="1713"/>
      <c r="JF31" s="1713"/>
      <c r="JG31" s="1714"/>
      <c r="JH31" s="1712"/>
      <c r="JI31" s="1713"/>
      <c r="JJ31" s="1713"/>
      <c r="JK31" s="1713"/>
      <c r="JL31" s="1713"/>
      <c r="JM31" s="1713"/>
      <c r="JN31" s="1713"/>
      <c r="JO31" s="1713"/>
      <c r="JP31" s="1713"/>
      <c r="JQ31" s="1713"/>
      <c r="JR31" s="1713"/>
      <c r="JS31" s="1713"/>
      <c r="JT31" s="1713"/>
      <c r="JU31" s="1713"/>
      <c r="JV31" s="1713"/>
      <c r="JW31" s="1713"/>
      <c r="JX31" s="1713"/>
      <c r="JY31" s="1713"/>
      <c r="JZ31" s="1713"/>
      <c r="KA31" s="1713"/>
      <c r="KB31" s="1713"/>
      <c r="KC31" s="1713"/>
      <c r="KD31" s="1713"/>
      <c r="KE31" s="1713"/>
      <c r="KF31" s="1713"/>
      <c r="KG31" s="1713"/>
      <c r="KH31" s="1713"/>
      <c r="KI31" s="1714"/>
      <c r="KJ31" s="1712"/>
      <c r="KK31" s="1713"/>
      <c r="KL31" s="1713"/>
      <c r="KM31" s="1713"/>
      <c r="KN31" s="1713"/>
      <c r="KO31" s="1713"/>
      <c r="KP31" s="1713"/>
      <c r="KQ31" s="1713"/>
      <c r="KR31" s="1713"/>
      <c r="KS31" s="1713"/>
      <c r="KT31" s="1713"/>
      <c r="KU31" s="1713"/>
      <c r="KV31" s="1713"/>
      <c r="KW31" s="1713"/>
      <c r="KX31" s="1713"/>
      <c r="KY31" s="1713"/>
      <c r="KZ31" s="1713"/>
      <c r="LA31" s="1713"/>
      <c r="LB31" s="1713"/>
      <c r="LC31" s="1713"/>
      <c r="LD31" s="1713"/>
      <c r="LE31" s="1713"/>
      <c r="LF31" s="1713"/>
      <c r="LG31" s="1713"/>
      <c r="LH31" s="1713"/>
      <c r="LI31" s="1713"/>
      <c r="LJ31" s="1713"/>
      <c r="LK31" s="1714"/>
      <c r="LL31" s="1712"/>
      <c r="LM31" s="1713"/>
      <c r="LN31" s="1713"/>
      <c r="LO31" s="1713"/>
      <c r="LP31" s="1713"/>
      <c r="LQ31" s="1713"/>
      <c r="LR31" s="1713"/>
      <c r="LS31" s="1713"/>
      <c r="LT31" s="1713"/>
      <c r="LU31" s="1713"/>
      <c r="LV31" s="1713"/>
      <c r="LW31" s="1713"/>
      <c r="LX31" s="1713"/>
      <c r="LY31" s="1713"/>
      <c r="LZ31" s="1713"/>
      <c r="MA31" s="1713"/>
      <c r="MB31" s="1713"/>
      <c r="MC31" s="1713"/>
      <c r="MD31" s="1713"/>
      <c r="ME31" s="1713"/>
      <c r="MF31" s="1713"/>
      <c r="MG31" s="1713"/>
      <c r="MH31" s="1713"/>
      <c r="MI31" s="1713"/>
      <c r="MJ31" s="1713"/>
      <c r="MK31" s="1713"/>
      <c r="ML31" s="1713"/>
      <c r="MM31" s="1714"/>
      <c r="MN31" s="1712"/>
      <c r="MO31" s="1713"/>
      <c r="MP31" s="1713"/>
      <c r="MQ31" s="1713"/>
      <c r="MR31" s="1713"/>
      <c r="MS31" s="1713"/>
      <c r="MT31" s="1713"/>
      <c r="MU31" s="1713"/>
      <c r="MV31" s="1713"/>
      <c r="MW31" s="1713"/>
      <c r="MX31" s="1713"/>
      <c r="MY31" s="1713"/>
      <c r="MZ31" s="1713"/>
      <c r="NA31" s="1713"/>
      <c r="NB31" s="1713"/>
      <c r="NC31" s="1713"/>
      <c r="ND31" s="1713"/>
      <c r="NE31" s="1713"/>
      <c r="NF31" s="1713"/>
      <c r="NG31" s="1713"/>
      <c r="NH31" s="1713"/>
      <c r="NI31" s="1713"/>
      <c r="NJ31" s="1713"/>
      <c r="NK31" s="1713"/>
      <c r="NL31" s="1713"/>
      <c r="NM31" s="1713"/>
      <c r="NN31" s="1713"/>
      <c r="NO31" s="1714"/>
      <c r="NP31" s="1712"/>
      <c r="NQ31" s="1713"/>
      <c r="NR31" s="1713"/>
      <c r="NS31" s="1713"/>
      <c r="NT31" s="1713"/>
      <c r="NU31" s="1713"/>
      <c r="NV31" s="1713"/>
      <c r="NW31" s="1713"/>
      <c r="NX31" s="1713"/>
      <c r="NY31" s="1713"/>
      <c r="NZ31" s="1713"/>
      <c r="OA31" s="1713"/>
      <c r="OB31" s="1713"/>
      <c r="OC31" s="1713"/>
      <c r="OD31" s="1713"/>
      <c r="OE31" s="1713"/>
      <c r="OF31" s="1713"/>
      <c r="OG31" s="1713"/>
      <c r="OH31" s="1713"/>
      <c r="OI31" s="1713"/>
      <c r="OJ31" s="1713"/>
      <c r="OK31" s="1713"/>
      <c r="OL31" s="1713"/>
      <c r="OM31" s="1713"/>
      <c r="ON31" s="1713"/>
      <c r="OO31" s="1713"/>
      <c r="OP31" s="1713"/>
      <c r="OQ31" s="1714"/>
    </row>
    <row r="32" spans="1:407" s="15" customFormat="1" ht="20.100000000000001" customHeight="1">
      <c r="A32" s="561" t="s">
        <v>467</v>
      </c>
      <c r="B32" s="1726"/>
      <c r="C32" s="1727"/>
      <c r="D32" s="1700">
        <v>0</v>
      </c>
      <c r="E32" s="1701"/>
      <c r="F32" s="1701"/>
      <c r="G32" s="1701"/>
      <c r="H32" s="1701"/>
      <c r="I32" s="1701"/>
      <c r="J32" s="1701"/>
      <c r="K32" s="1702"/>
      <c r="L32" s="557"/>
      <c r="M32" s="557"/>
      <c r="N32" s="557"/>
      <c r="O32" s="557"/>
      <c r="P32" s="1703" t="s">
        <v>468</v>
      </c>
      <c r="Q32" s="1704"/>
      <c r="R32" s="1704"/>
      <c r="S32" s="1704"/>
      <c r="T32" s="1704"/>
      <c r="U32" s="1704"/>
      <c r="V32" s="1704"/>
      <c r="W32" s="1704"/>
      <c r="X32" s="1704"/>
      <c r="Y32" s="1704"/>
      <c r="Z32" s="1704"/>
      <c r="AA32" s="1704"/>
      <c r="AB32" s="1704"/>
      <c r="AC32" s="1704"/>
      <c r="AD32" s="1704"/>
      <c r="AE32" s="1704"/>
      <c r="AF32" s="1704"/>
      <c r="AG32" s="1704"/>
      <c r="AH32" s="1704"/>
      <c r="AI32" s="1704"/>
      <c r="AJ32" s="1704"/>
      <c r="AK32" s="1704"/>
      <c r="AL32" s="1704"/>
      <c r="AM32" s="1704"/>
      <c r="AN32" s="1704"/>
      <c r="AO32" s="1704"/>
      <c r="AP32" s="1704"/>
      <c r="AQ32" s="1705"/>
      <c r="AR32" s="562" t="s">
        <v>469</v>
      </c>
      <c r="AS32" s="563"/>
      <c r="AT32" s="563"/>
      <c r="AU32" s="563"/>
      <c r="AV32" s="563"/>
      <c r="AW32" s="563"/>
      <c r="AX32" s="563"/>
      <c r="AY32" s="563"/>
      <c r="AZ32" s="563"/>
      <c r="BA32" s="563"/>
      <c r="BB32" s="563"/>
      <c r="BC32" s="563"/>
      <c r="BD32" s="563"/>
      <c r="BE32" s="563"/>
      <c r="BF32" s="563"/>
      <c r="BG32" s="563"/>
      <c r="BH32" s="563"/>
      <c r="BI32" s="563"/>
      <c r="BJ32" s="563"/>
      <c r="BK32" s="563"/>
      <c r="BL32" s="563"/>
      <c r="BM32" s="563"/>
      <c r="BN32" s="563"/>
      <c r="BO32" s="563"/>
      <c r="BP32" s="563"/>
      <c r="BQ32" s="563"/>
      <c r="BR32" s="563"/>
      <c r="BS32" s="564"/>
      <c r="BT32" s="1715"/>
      <c r="BU32" s="1716"/>
      <c r="BV32" s="1716"/>
      <c r="BW32" s="1716"/>
      <c r="BX32" s="1716"/>
      <c r="BY32" s="1716"/>
      <c r="BZ32" s="1716"/>
      <c r="CA32" s="1716"/>
      <c r="CB32" s="1716"/>
      <c r="CC32" s="1716"/>
      <c r="CD32" s="1716"/>
      <c r="CE32" s="1716"/>
      <c r="CF32" s="1716"/>
      <c r="CG32" s="1716"/>
      <c r="CH32" s="1716"/>
      <c r="CI32" s="1716"/>
      <c r="CJ32" s="1716"/>
      <c r="CK32" s="1716"/>
      <c r="CL32" s="1716"/>
      <c r="CM32" s="1716"/>
      <c r="CN32" s="1716"/>
      <c r="CO32" s="1716"/>
      <c r="CP32" s="1716"/>
      <c r="CQ32" s="1716"/>
      <c r="CR32" s="1716"/>
      <c r="CS32" s="1716"/>
      <c r="CT32" s="1716"/>
      <c r="CU32" s="1717"/>
      <c r="CV32" s="1715"/>
      <c r="CW32" s="1716"/>
      <c r="CX32" s="1716"/>
      <c r="CY32" s="1716"/>
      <c r="CZ32" s="1716"/>
      <c r="DA32" s="1716"/>
      <c r="DB32" s="1716"/>
      <c r="DC32" s="1716"/>
      <c r="DD32" s="1716"/>
      <c r="DE32" s="1716"/>
      <c r="DF32" s="1716"/>
      <c r="DG32" s="1716"/>
      <c r="DH32" s="1716"/>
      <c r="DI32" s="1716"/>
      <c r="DJ32" s="1716"/>
      <c r="DK32" s="1716"/>
      <c r="DL32" s="1716"/>
      <c r="DM32" s="1716"/>
      <c r="DN32" s="1716"/>
      <c r="DO32" s="1716"/>
      <c r="DP32" s="1716"/>
      <c r="DQ32" s="1716"/>
      <c r="DR32" s="1716"/>
      <c r="DS32" s="1716"/>
      <c r="DT32" s="1716"/>
      <c r="DU32" s="1716"/>
      <c r="DV32" s="1716"/>
      <c r="DW32" s="1717"/>
      <c r="DX32" s="1715"/>
      <c r="DY32" s="1716"/>
      <c r="DZ32" s="1716"/>
      <c r="EA32" s="1716"/>
      <c r="EB32" s="1716"/>
      <c r="EC32" s="1716"/>
      <c r="ED32" s="1716"/>
      <c r="EE32" s="1716"/>
      <c r="EF32" s="1716"/>
      <c r="EG32" s="1716"/>
      <c r="EH32" s="1716"/>
      <c r="EI32" s="1716"/>
      <c r="EJ32" s="1716"/>
      <c r="EK32" s="1716"/>
      <c r="EL32" s="1716"/>
      <c r="EM32" s="1716"/>
      <c r="EN32" s="1716"/>
      <c r="EO32" s="1716"/>
      <c r="EP32" s="1716"/>
      <c r="EQ32" s="1716"/>
      <c r="ER32" s="1716"/>
      <c r="ES32" s="1716"/>
      <c r="ET32" s="1716"/>
      <c r="EU32" s="1716"/>
      <c r="EV32" s="1716"/>
      <c r="EW32" s="1716"/>
      <c r="EX32" s="1716"/>
      <c r="EY32" s="1717"/>
      <c r="EZ32" s="1715"/>
      <c r="FA32" s="1716"/>
      <c r="FB32" s="1716"/>
      <c r="FC32" s="1716"/>
      <c r="FD32" s="1716"/>
      <c r="FE32" s="1716"/>
      <c r="FF32" s="1716"/>
      <c r="FG32" s="1716"/>
      <c r="FH32" s="1716"/>
      <c r="FI32" s="1716"/>
      <c r="FJ32" s="1716"/>
      <c r="FK32" s="1716"/>
      <c r="FL32" s="1716"/>
      <c r="FM32" s="1716"/>
      <c r="FN32" s="1716"/>
      <c r="FO32" s="1716"/>
      <c r="FP32" s="1716"/>
      <c r="FQ32" s="1716"/>
      <c r="FR32" s="1716"/>
      <c r="FS32" s="1716"/>
      <c r="FT32" s="1716"/>
      <c r="FU32" s="1716"/>
      <c r="FV32" s="1716"/>
      <c r="FW32" s="1716"/>
      <c r="FX32" s="1716"/>
      <c r="FY32" s="1716"/>
      <c r="FZ32" s="1716"/>
      <c r="GA32" s="1717"/>
      <c r="GB32" s="1715"/>
      <c r="GC32" s="1716"/>
      <c r="GD32" s="1716"/>
      <c r="GE32" s="1716"/>
      <c r="GF32" s="1716"/>
      <c r="GG32" s="1716"/>
      <c r="GH32" s="1716"/>
      <c r="GI32" s="1716"/>
      <c r="GJ32" s="1716"/>
      <c r="GK32" s="1716"/>
      <c r="GL32" s="1716"/>
      <c r="GM32" s="1716"/>
      <c r="GN32" s="1716"/>
      <c r="GO32" s="1716"/>
      <c r="GP32" s="1716"/>
      <c r="GQ32" s="1716"/>
      <c r="GR32" s="1716"/>
      <c r="GS32" s="1716"/>
      <c r="GT32" s="1716"/>
      <c r="GU32" s="1716"/>
      <c r="GV32" s="1716"/>
      <c r="GW32" s="1716"/>
      <c r="GX32" s="1716"/>
      <c r="GY32" s="1716"/>
      <c r="GZ32" s="1716"/>
      <c r="HA32" s="1716"/>
      <c r="HB32" s="1716"/>
      <c r="HC32" s="1717"/>
      <c r="HD32" s="1715"/>
      <c r="HE32" s="1716"/>
      <c r="HF32" s="1716"/>
      <c r="HG32" s="1716"/>
      <c r="HH32" s="1716"/>
      <c r="HI32" s="1716"/>
      <c r="HJ32" s="1716"/>
      <c r="HK32" s="1716"/>
      <c r="HL32" s="1716"/>
      <c r="HM32" s="1716"/>
      <c r="HN32" s="1716"/>
      <c r="HO32" s="1716"/>
      <c r="HP32" s="1716"/>
      <c r="HQ32" s="1716"/>
      <c r="HR32" s="1716"/>
      <c r="HS32" s="1716"/>
      <c r="HT32" s="1716"/>
      <c r="HU32" s="1716"/>
      <c r="HV32" s="1716"/>
      <c r="HW32" s="1716"/>
      <c r="HX32" s="1716"/>
      <c r="HY32" s="1716"/>
      <c r="HZ32" s="1716"/>
      <c r="IA32" s="1716"/>
      <c r="IB32" s="1716"/>
      <c r="IC32" s="1716"/>
      <c r="ID32" s="1716"/>
      <c r="IE32" s="1717"/>
      <c r="IF32" s="1715"/>
      <c r="IG32" s="1716"/>
      <c r="IH32" s="1716"/>
      <c r="II32" s="1716"/>
      <c r="IJ32" s="1716"/>
      <c r="IK32" s="1716"/>
      <c r="IL32" s="1716"/>
      <c r="IM32" s="1716"/>
      <c r="IN32" s="1716"/>
      <c r="IO32" s="1716"/>
      <c r="IP32" s="1716"/>
      <c r="IQ32" s="1716"/>
      <c r="IR32" s="1716"/>
      <c r="IS32" s="1716"/>
      <c r="IT32" s="1716"/>
      <c r="IU32" s="1716"/>
      <c r="IV32" s="1716"/>
      <c r="IW32" s="1716"/>
      <c r="IX32" s="1716"/>
      <c r="IY32" s="1716"/>
      <c r="IZ32" s="1716"/>
      <c r="JA32" s="1716"/>
      <c r="JB32" s="1716"/>
      <c r="JC32" s="1716"/>
      <c r="JD32" s="1716"/>
      <c r="JE32" s="1716"/>
      <c r="JF32" s="1716"/>
      <c r="JG32" s="1717"/>
      <c r="JH32" s="1715"/>
      <c r="JI32" s="1716"/>
      <c r="JJ32" s="1716"/>
      <c r="JK32" s="1716"/>
      <c r="JL32" s="1716"/>
      <c r="JM32" s="1716"/>
      <c r="JN32" s="1716"/>
      <c r="JO32" s="1716"/>
      <c r="JP32" s="1716"/>
      <c r="JQ32" s="1716"/>
      <c r="JR32" s="1716"/>
      <c r="JS32" s="1716"/>
      <c r="JT32" s="1716"/>
      <c r="JU32" s="1716"/>
      <c r="JV32" s="1716"/>
      <c r="JW32" s="1716"/>
      <c r="JX32" s="1716"/>
      <c r="JY32" s="1716"/>
      <c r="JZ32" s="1716"/>
      <c r="KA32" s="1716"/>
      <c r="KB32" s="1716"/>
      <c r="KC32" s="1716"/>
      <c r="KD32" s="1716"/>
      <c r="KE32" s="1716"/>
      <c r="KF32" s="1716"/>
      <c r="KG32" s="1716"/>
      <c r="KH32" s="1716"/>
      <c r="KI32" s="1717"/>
      <c r="KJ32" s="1715"/>
      <c r="KK32" s="1716"/>
      <c r="KL32" s="1716"/>
      <c r="KM32" s="1716"/>
      <c r="KN32" s="1716"/>
      <c r="KO32" s="1716"/>
      <c r="KP32" s="1716"/>
      <c r="KQ32" s="1716"/>
      <c r="KR32" s="1716"/>
      <c r="KS32" s="1716"/>
      <c r="KT32" s="1716"/>
      <c r="KU32" s="1716"/>
      <c r="KV32" s="1716"/>
      <c r="KW32" s="1716"/>
      <c r="KX32" s="1716"/>
      <c r="KY32" s="1716"/>
      <c r="KZ32" s="1716"/>
      <c r="LA32" s="1716"/>
      <c r="LB32" s="1716"/>
      <c r="LC32" s="1716"/>
      <c r="LD32" s="1716"/>
      <c r="LE32" s="1716"/>
      <c r="LF32" s="1716"/>
      <c r="LG32" s="1716"/>
      <c r="LH32" s="1716"/>
      <c r="LI32" s="1716"/>
      <c r="LJ32" s="1716"/>
      <c r="LK32" s="1717"/>
      <c r="LL32" s="1715"/>
      <c r="LM32" s="1716"/>
      <c r="LN32" s="1716"/>
      <c r="LO32" s="1716"/>
      <c r="LP32" s="1716"/>
      <c r="LQ32" s="1716"/>
      <c r="LR32" s="1716"/>
      <c r="LS32" s="1716"/>
      <c r="LT32" s="1716"/>
      <c r="LU32" s="1716"/>
      <c r="LV32" s="1716"/>
      <c r="LW32" s="1716"/>
      <c r="LX32" s="1716"/>
      <c r="LY32" s="1716"/>
      <c r="LZ32" s="1716"/>
      <c r="MA32" s="1716"/>
      <c r="MB32" s="1716"/>
      <c r="MC32" s="1716"/>
      <c r="MD32" s="1716"/>
      <c r="ME32" s="1716"/>
      <c r="MF32" s="1716"/>
      <c r="MG32" s="1716"/>
      <c r="MH32" s="1716"/>
      <c r="MI32" s="1716"/>
      <c r="MJ32" s="1716"/>
      <c r="MK32" s="1716"/>
      <c r="ML32" s="1716"/>
      <c r="MM32" s="1717"/>
      <c r="MN32" s="1715"/>
      <c r="MO32" s="1716"/>
      <c r="MP32" s="1716"/>
      <c r="MQ32" s="1716"/>
      <c r="MR32" s="1716"/>
      <c r="MS32" s="1716"/>
      <c r="MT32" s="1716"/>
      <c r="MU32" s="1716"/>
      <c r="MV32" s="1716"/>
      <c r="MW32" s="1716"/>
      <c r="MX32" s="1716"/>
      <c r="MY32" s="1716"/>
      <c r="MZ32" s="1716"/>
      <c r="NA32" s="1716"/>
      <c r="NB32" s="1716"/>
      <c r="NC32" s="1716"/>
      <c r="ND32" s="1716"/>
      <c r="NE32" s="1716"/>
      <c r="NF32" s="1716"/>
      <c r="NG32" s="1716"/>
      <c r="NH32" s="1716"/>
      <c r="NI32" s="1716"/>
      <c r="NJ32" s="1716"/>
      <c r="NK32" s="1716"/>
      <c r="NL32" s="1716"/>
      <c r="NM32" s="1716"/>
      <c r="NN32" s="1716"/>
      <c r="NO32" s="1717"/>
      <c r="NP32" s="1715"/>
      <c r="NQ32" s="1716"/>
      <c r="NR32" s="1716"/>
      <c r="NS32" s="1716"/>
      <c r="NT32" s="1716"/>
      <c r="NU32" s="1716"/>
      <c r="NV32" s="1716"/>
      <c r="NW32" s="1716"/>
      <c r="NX32" s="1716"/>
      <c r="NY32" s="1716"/>
      <c r="NZ32" s="1716"/>
      <c r="OA32" s="1716"/>
      <c r="OB32" s="1716"/>
      <c r="OC32" s="1716"/>
      <c r="OD32" s="1716"/>
      <c r="OE32" s="1716"/>
      <c r="OF32" s="1716"/>
      <c r="OG32" s="1716"/>
      <c r="OH32" s="1716"/>
      <c r="OI32" s="1716"/>
      <c r="OJ32" s="1716"/>
      <c r="OK32" s="1716"/>
      <c r="OL32" s="1716"/>
      <c r="OM32" s="1716"/>
      <c r="ON32" s="1716"/>
      <c r="OO32" s="1716"/>
      <c r="OP32" s="1716"/>
      <c r="OQ32" s="1717"/>
    </row>
    <row r="33" spans="1:407" s="15" customFormat="1" ht="20.100000000000001" customHeight="1">
      <c r="A33" s="431"/>
      <c r="B33" s="1728"/>
      <c r="C33" s="1729"/>
      <c r="D33" s="1706" t="s">
        <v>470</v>
      </c>
      <c r="E33" s="1707"/>
      <c r="F33" s="1707"/>
      <c r="G33" s="1707"/>
      <c r="H33" s="1707"/>
      <c r="I33" s="1707"/>
      <c r="J33" s="1707"/>
      <c r="K33" s="1708"/>
      <c r="L33" s="565"/>
      <c r="M33" s="565"/>
      <c r="N33" s="565"/>
      <c r="O33" s="565"/>
      <c r="P33" s="1709" t="s">
        <v>471</v>
      </c>
      <c r="Q33" s="1710"/>
      <c r="R33" s="1710"/>
      <c r="S33" s="1710"/>
      <c r="T33" s="1710"/>
      <c r="U33" s="1710"/>
      <c r="V33" s="1710"/>
      <c r="W33" s="1710"/>
      <c r="X33" s="1710"/>
      <c r="Y33" s="1710"/>
      <c r="Z33" s="1710"/>
      <c r="AA33" s="1710"/>
      <c r="AB33" s="1710"/>
      <c r="AC33" s="1710"/>
      <c r="AD33" s="1710"/>
      <c r="AE33" s="1710"/>
      <c r="AF33" s="1710"/>
      <c r="AG33" s="1710"/>
      <c r="AH33" s="1710"/>
      <c r="AI33" s="1710"/>
      <c r="AJ33" s="1710"/>
      <c r="AK33" s="1710"/>
      <c r="AL33" s="1710"/>
      <c r="AM33" s="1710"/>
      <c r="AN33" s="1710"/>
      <c r="AO33" s="1710"/>
      <c r="AP33" s="1710"/>
      <c r="AQ33" s="1711"/>
      <c r="AR33" s="566" t="s">
        <v>472</v>
      </c>
      <c r="AS33" s="567"/>
      <c r="AT33" s="567"/>
      <c r="AU33" s="567"/>
      <c r="AV33" s="567"/>
      <c r="AW33" s="567"/>
      <c r="AX33" s="567"/>
      <c r="AY33" s="567"/>
      <c r="AZ33" s="567"/>
      <c r="BA33" s="567"/>
      <c r="BB33" s="567"/>
      <c r="BC33" s="567"/>
      <c r="BD33" s="567"/>
      <c r="BE33" s="567"/>
      <c r="BF33" s="567"/>
      <c r="BG33" s="567"/>
      <c r="BH33" s="567"/>
      <c r="BI33" s="567"/>
      <c r="BJ33" s="567"/>
      <c r="BK33" s="567"/>
      <c r="BL33" s="567"/>
      <c r="BM33" s="567"/>
      <c r="BN33" s="567"/>
      <c r="BO33" s="567"/>
      <c r="BP33" s="567"/>
      <c r="BQ33" s="567"/>
      <c r="BR33" s="567"/>
      <c r="BS33" s="568"/>
      <c r="BT33" s="1718"/>
      <c r="BU33" s="1719"/>
      <c r="BV33" s="1719"/>
      <c r="BW33" s="1719"/>
      <c r="BX33" s="1719"/>
      <c r="BY33" s="1719"/>
      <c r="BZ33" s="1719"/>
      <c r="CA33" s="1719"/>
      <c r="CB33" s="1719"/>
      <c r="CC33" s="1719"/>
      <c r="CD33" s="1719"/>
      <c r="CE33" s="1719"/>
      <c r="CF33" s="1719"/>
      <c r="CG33" s="1719"/>
      <c r="CH33" s="1719"/>
      <c r="CI33" s="1719"/>
      <c r="CJ33" s="1719"/>
      <c r="CK33" s="1719"/>
      <c r="CL33" s="1719"/>
      <c r="CM33" s="1719"/>
      <c r="CN33" s="1719"/>
      <c r="CO33" s="1719"/>
      <c r="CP33" s="1719"/>
      <c r="CQ33" s="1719"/>
      <c r="CR33" s="1719"/>
      <c r="CS33" s="1719"/>
      <c r="CT33" s="1719"/>
      <c r="CU33" s="1720"/>
      <c r="CV33" s="1718"/>
      <c r="CW33" s="1719"/>
      <c r="CX33" s="1719"/>
      <c r="CY33" s="1719"/>
      <c r="CZ33" s="1719"/>
      <c r="DA33" s="1719"/>
      <c r="DB33" s="1719"/>
      <c r="DC33" s="1719"/>
      <c r="DD33" s="1719"/>
      <c r="DE33" s="1719"/>
      <c r="DF33" s="1719"/>
      <c r="DG33" s="1719"/>
      <c r="DH33" s="1719"/>
      <c r="DI33" s="1719"/>
      <c r="DJ33" s="1719"/>
      <c r="DK33" s="1719"/>
      <c r="DL33" s="1719"/>
      <c r="DM33" s="1719"/>
      <c r="DN33" s="1719"/>
      <c r="DO33" s="1719"/>
      <c r="DP33" s="1719"/>
      <c r="DQ33" s="1719"/>
      <c r="DR33" s="1719"/>
      <c r="DS33" s="1719"/>
      <c r="DT33" s="1719"/>
      <c r="DU33" s="1719"/>
      <c r="DV33" s="1719"/>
      <c r="DW33" s="1720"/>
      <c r="DX33" s="1718"/>
      <c r="DY33" s="1719"/>
      <c r="DZ33" s="1719"/>
      <c r="EA33" s="1719"/>
      <c r="EB33" s="1719"/>
      <c r="EC33" s="1719"/>
      <c r="ED33" s="1719"/>
      <c r="EE33" s="1719"/>
      <c r="EF33" s="1719"/>
      <c r="EG33" s="1719"/>
      <c r="EH33" s="1719"/>
      <c r="EI33" s="1719"/>
      <c r="EJ33" s="1719"/>
      <c r="EK33" s="1719"/>
      <c r="EL33" s="1719"/>
      <c r="EM33" s="1719"/>
      <c r="EN33" s="1719"/>
      <c r="EO33" s="1719"/>
      <c r="EP33" s="1719"/>
      <c r="EQ33" s="1719"/>
      <c r="ER33" s="1719"/>
      <c r="ES33" s="1719"/>
      <c r="ET33" s="1719"/>
      <c r="EU33" s="1719"/>
      <c r="EV33" s="1719"/>
      <c r="EW33" s="1719"/>
      <c r="EX33" s="1719"/>
      <c r="EY33" s="1720"/>
      <c r="EZ33" s="1718"/>
      <c r="FA33" s="1719"/>
      <c r="FB33" s="1719"/>
      <c r="FC33" s="1719"/>
      <c r="FD33" s="1719"/>
      <c r="FE33" s="1719"/>
      <c r="FF33" s="1719"/>
      <c r="FG33" s="1719"/>
      <c r="FH33" s="1719"/>
      <c r="FI33" s="1719"/>
      <c r="FJ33" s="1719"/>
      <c r="FK33" s="1719"/>
      <c r="FL33" s="1719"/>
      <c r="FM33" s="1719"/>
      <c r="FN33" s="1719"/>
      <c r="FO33" s="1719"/>
      <c r="FP33" s="1719"/>
      <c r="FQ33" s="1719"/>
      <c r="FR33" s="1719"/>
      <c r="FS33" s="1719"/>
      <c r="FT33" s="1719"/>
      <c r="FU33" s="1719"/>
      <c r="FV33" s="1719"/>
      <c r="FW33" s="1719"/>
      <c r="FX33" s="1719"/>
      <c r="FY33" s="1719"/>
      <c r="FZ33" s="1719"/>
      <c r="GA33" s="1720"/>
      <c r="GB33" s="1718"/>
      <c r="GC33" s="1719"/>
      <c r="GD33" s="1719"/>
      <c r="GE33" s="1719"/>
      <c r="GF33" s="1719"/>
      <c r="GG33" s="1719"/>
      <c r="GH33" s="1719"/>
      <c r="GI33" s="1719"/>
      <c r="GJ33" s="1719"/>
      <c r="GK33" s="1719"/>
      <c r="GL33" s="1719"/>
      <c r="GM33" s="1719"/>
      <c r="GN33" s="1719"/>
      <c r="GO33" s="1719"/>
      <c r="GP33" s="1719"/>
      <c r="GQ33" s="1719"/>
      <c r="GR33" s="1719"/>
      <c r="GS33" s="1719"/>
      <c r="GT33" s="1719"/>
      <c r="GU33" s="1719"/>
      <c r="GV33" s="1719"/>
      <c r="GW33" s="1719"/>
      <c r="GX33" s="1719"/>
      <c r="GY33" s="1719"/>
      <c r="GZ33" s="1719"/>
      <c r="HA33" s="1719"/>
      <c r="HB33" s="1719"/>
      <c r="HC33" s="1720"/>
      <c r="HD33" s="1718"/>
      <c r="HE33" s="1719"/>
      <c r="HF33" s="1719"/>
      <c r="HG33" s="1719"/>
      <c r="HH33" s="1719"/>
      <c r="HI33" s="1719"/>
      <c r="HJ33" s="1719"/>
      <c r="HK33" s="1719"/>
      <c r="HL33" s="1719"/>
      <c r="HM33" s="1719"/>
      <c r="HN33" s="1719"/>
      <c r="HO33" s="1719"/>
      <c r="HP33" s="1719"/>
      <c r="HQ33" s="1719"/>
      <c r="HR33" s="1719"/>
      <c r="HS33" s="1719"/>
      <c r="HT33" s="1719"/>
      <c r="HU33" s="1719"/>
      <c r="HV33" s="1719"/>
      <c r="HW33" s="1719"/>
      <c r="HX33" s="1719"/>
      <c r="HY33" s="1719"/>
      <c r="HZ33" s="1719"/>
      <c r="IA33" s="1719"/>
      <c r="IB33" s="1719"/>
      <c r="IC33" s="1719"/>
      <c r="ID33" s="1719"/>
      <c r="IE33" s="1720"/>
      <c r="IF33" s="1718"/>
      <c r="IG33" s="1719"/>
      <c r="IH33" s="1719"/>
      <c r="II33" s="1719"/>
      <c r="IJ33" s="1719"/>
      <c r="IK33" s="1719"/>
      <c r="IL33" s="1719"/>
      <c r="IM33" s="1719"/>
      <c r="IN33" s="1719"/>
      <c r="IO33" s="1719"/>
      <c r="IP33" s="1719"/>
      <c r="IQ33" s="1719"/>
      <c r="IR33" s="1719"/>
      <c r="IS33" s="1719"/>
      <c r="IT33" s="1719"/>
      <c r="IU33" s="1719"/>
      <c r="IV33" s="1719"/>
      <c r="IW33" s="1719"/>
      <c r="IX33" s="1719"/>
      <c r="IY33" s="1719"/>
      <c r="IZ33" s="1719"/>
      <c r="JA33" s="1719"/>
      <c r="JB33" s="1719"/>
      <c r="JC33" s="1719"/>
      <c r="JD33" s="1719"/>
      <c r="JE33" s="1719"/>
      <c r="JF33" s="1719"/>
      <c r="JG33" s="1720"/>
      <c r="JH33" s="1718"/>
      <c r="JI33" s="1719"/>
      <c r="JJ33" s="1719"/>
      <c r="JK33" s="1719"/>
      <c r="JL33" s="1719"/>
      <c r="JM33" s="1719"/>
      <c r="JN33" s="1719"/>
      <c r="JO33" s="1719"/>
      <c r="JP33" s="1719"/>
      <c r="JQ33" s="1719"/>
      <c r="JR33" s="1719"/>
      <c r="JS33" s="1719"/>
      <c r="JT33" s="1719"/>
      <c r="JU33" s="1719"/>
      <c r="JV33" s="1719"/>
      <c r="JW33" s="1719"/>
      <c r="JX33" s="1719"/>
      <c r="JY33" s="1719"/>
      <c r="JZ33" s="1719"/>
      <c r="KA33" s="1719"/>
      <c r="KB33" s="1719"/>
      <c r="KC33" s="1719"/>
      <c r="KD33" s="1719"/>
      <c r="KE33" s="1719"/>
      <c r="KF33" s="1719"/>
      <c r="KG33" s="1719"/>
      <c r="KH33" s="1719"/>
      <c r="KI33" s="1720"/>
      <c r="KJ33" s="1718"/>
      <c r="KK33" s="1719"/>
      <c r="KL33" s="1719"/>
      <c r="KM33" s="1719"/>
      <c r="KN33" s="1719"/>
      <c r="KO33" s="1719"/>
      <c r="KP33" s="1719"/>
      <c r="KQ33" s="1719"/>
      <c r="KR33" s="1719"/>
      <c r="KS33" s="1719"/>
      <c r="KT33" s="1719"/>
      <c r="KU33" s="1719"/>
      <c r="KV33" s="1719"/>
      <c r="KW33" s="1719"/>
      <c r="KX33" s="1719"/>
      <c r="KY33" s="1719"/>
      <c r="KZ33" s="1719"/>
      <c r="LA33" s="1719"/>
      <c r="LB33" s="1719"/>
      <c r="LC33" s="1719"/>
      <c r="LD33" s="1719"/>
      <c r="LE33" s="1719"/>
      <c r="LF33" s="1719"/>
      <c r="LG33" s="1719"/>
      <c r="LH33" s="1719"/>
      <c r="LI33" s="1719"/>
      <c r="LJ33" s="1719"/>
      <c r="LK33" s="1720"/>
      <c r="LL33" s="1718"/>
      <c r="LM33" s="1719"/>
      <c r="LN33" s="1719"/>
      <c r="LO33" s="1719"/>
      <c r="LP33" s="1719"/>
      <c r="LQ33" s="1719"/>
      <c r="LR33" s="1719"/>
      <c r="LS33" s="1719"/>
      <c r="LT33" s="1719"/>
      <c r="LU33" s="1719"/>
      <c r="LV33" s="1719"/>
      <c r="LW33" s="1719"/>
      <c r="LX33" s="1719"/>
      <c r="LY33" s="1719"/>
      <c r="LZ33" s="1719"/>
      <c r="MA33" s="1719"/>
      <c r="MB33" s="1719"/>
      <c r="MC33" s="1719"/>
      <c r="MD33" s="1719"/>
      <c r="ME33" s="1719"/>
      <c r="MF33" s="1719"/>
      <c r="MG33" s="1719"/>
      <c r="MH33" s="1719"/>
      <c r="MI33" s="1719"/>
      <c r="MJ33" s="1719"/>
      <c r="MK33" s="1719"/>
      <c r="ML33" s="1719"/>
      <c r="MM33" s="1720"/>
      <c r="MN33" s="1718"/>
      <c r="MO33" s="1719"/>
      <c r="MP33" s="1719"/>
      <c r="MQ33" s="1719"/>
      <c r="MR33" s="1719"/>
      <c r="MS33" s="1719"/>
      <c r="MT33" s="1719"/>
      <c r="MU33" s="1719"/>
      <c r="MV33" s="1719"/>
      <c r="MW33" s="1719"/>
      <c r="MX33" s="1719"/>
      <c r="MY33" s="1719"/>
      <c r="MZ33" s="1719"/>
      <c r="NA33" s="1719"/>
      <c r="NB33" s="1719"/>
      <c r="NC33" s="1719"/>
      <c r="ND33" s="1719"/>
      <c r="NE33" s="1719"/>
      <c r="NF33" s="1719"/>
      <c r="NG33" s="1719"/>
      <c r="NH33" s="1719"/>
      <c r="NI33" s="1719"/>
      <c r="NJ33" s="1719"/>
      <c r="NK33" s="1719"/>
      <c r="NL33" s="1719"/>
      <c r="NM33" s="1719"/>
      <c r="NN33" s="1719"/>
      <c r="NO33" s="1720"/>
      <c r="NP33" s="1718"/>
      <c r="NQ33" s="1719"/>
      <c r="NR33" s="1719"/>
      <c r="NS33" s="1719"/>
      <c r="NT33" s="1719"/>
      <c r="NU33" s="1719"/>
      <c r="NV33" s="1719"/>
      <c r="NW33" s="1719"/>
      <c r="NX33" s="1719"/>
      <c r="NY33" s="1719"/>
      <c r="NZ33" s="1719"/>
      <c r="OA33" s="1719"/>
      <c r="OB33" s="1719"/>
      <c r="OC33" s="1719"/>
      <c r="OD33" s="1719"/>
      <c r="OE33" s="1719"/>
      <c r="OF33" s="1719"/>
      <c r="OG33" s="1719"/>
      <c r="OH33" s="1719"/>
      <c r="OI33" s="1719"/>
      <c r="OJ33" s="1719"/>
      <c r="OK33" s="1719"/>
      <c r="OL33" s="1719"/>
      <c r="OM33" s="1719"/>
      <c r="ON33" s="1719"/>
      <c r="OO33" s="1719"/>
      <c r="OP33" s="1719"/>
      <c r="OQ33" s="1720"/>
    </row>
    <row r="34" spans="1:407" s="15" customFormat="1">
      <c r="A34" s="569" t="s">
        <v>473</v>
      </c>
      <c r="B34" s="460"/>
      <c r="C34" s="570"/>
      <c r="D34" s="571"/>
      <c r="E34" s="571"/>
      <c r="F34" s="571"/>
      <c r="G34" s="571"/>
      <c r="H34" s="571"/>
      <c r="I34" s="571"/>
      <c r="J34" s="572"/>
      <c r="K34" s="573"/>
      <c r="L34" s="573"/>
      <c r="M34" s="573"/>
      <c r="N34" s="573"/>
      <c r="O34" s="573"/>
      <c r="P34" s="572"/>
      <c r="Q34" s="572"/>
      <c r="R34" s="572"/>
      <c r="S34" s="572"/>
      <c r="T34" s="572"/>
      <c r="U34" s="572"/>
      <c r="V34" s="572"/>
      <c r="W34" s="572"/>
      <c r="X34" s="572"/>
      <c r="Y34" s="572"/>
      <c r="Z34" s="572"/>
      <c r="AA34" s="572"/>
      <c r="AB34" s="572"/>
      <c r="AC34" s="572"/>
      <c r="AD34" s="572"/>
      <c r="AE34" s="572"/>
      <c r="AF34" s="572"/>
      <c r="AG34" s="572"/>
      <c r="AH34" s="572"/>
      <c r="AI34" s="572"/>
      <c r="AJ34" s="572"/>
      <c r="AK34" s="572"/>
      <c r="AL34" s="572"/>
      <c r="AM34" s="572"/>
      <c r="AN34" s="572"/>
      <c r="AO34" s="572"/>
      <c r="AP34" s="572"/>
      <c r="AQ34" s="572"/>
      <c r="AR34" s="572"/>
      <c r="AS34" s="572"/>
      <c r="AT34" s="572"/>
      <c r="AU34" s="572"/>
      <c r="AV34" s="572"/>
      <c r="AW34" s="572"/>
      <c r="AX34" s="572"/>
      <c r="AY34" s="572"/>
      <c r="AZ34" s="572"/>
      <c r="BA34" s="572"/>
      <c r="BB34" s="572"/>
      <c r="BC34" s="572"/>
      <c r="BD34" s="572"/>
      <c r="BE34" s="572"/>
      <c r="BF34" s="572"/>
      <c r="BG34" s="572"/>
      <c r="BH34" s="572"/>
      <c r="BI34" s="572"/>
      <c r="BJ34" s="572"/>
      <c r="BK34" s="572"/>
      <c r="BL34" s="572"/>
      <c r="BM34" s="572"/>
      <c r="BN34" s="572"/>
      <c r="BO34" s="572"/>
      <c r="BP34" s="572"/>
      <c r="BQ34" s="572"/>
      <c r="BR34" s="572"/>
      <c r="BS34" s="572"/>
      <c r="BT34" s="572"/>
      <c r="BU34" s="572"/>
      <c r="BV34" s="572"/>
      <c r="BW34" s="572"/>
      <c r="BX34" s="572"/>
      <c r="BY34" s="572"/>
      <c r="BZ34" s="572"/>
      <c r="CA34" s="572"/>
      <c r="CB34" s="572"/>
      <c r="CC34" s="572"/>
      <c r="CD34" s="572"/>
      <c r="CE34" s="572"/>
      <c r="CF34" s="572"/>
      <c r="CG34" s="572"/>
      <c r="CH34" s="572"/>
      <c r="CI34" s="572"/>
      <c r="CJ34" s="572"/>
      <c r="CK34" s="572"/>
      <c r="CL34" s="572"/>
      <c r="CM34" s="572"/>
      <c r="CN34" s="572"/>
      <c r="CO34" s="572"/>
      <c r="CP34" s="572"/>
      <c r="CQ34" s="572"/>
      <c r="CR34" s="572"/>
      <c r="CS34" s="572"/>
      <c r="CT34" s="572"/>
      <c r="CU34" s="572"/>
      <c r="CV34" s="572"/>
      <c r="CW34" s="572"/>
      <c r="CX34" s="572"/>
      <c r="CY34" s="572"/>
      <c r="CZ34" s="572"/>
      <c r="DA34" s="572"/>
    </row>
  </sheetData>
  <mergeCells count="1072">
    <mergeCell ref="CO1:CU1"/>
    <mergeCell ref="CV1:DB1"/>
    <mergeCell ref="DC1:DI1"/>
    <mergeCell ref="DJ1:DP1"/>
    <mergeCell ref="DQ1:DW1"/>
    <mergeCell ref="DX1:ED1"/>
    <mergeCell ref="AY1:BE1"/>
    <mergeCell ref="BF1:BL1"/>
    <mergeCell ref="BM1:BS1"/>
    <mergeCell ref="BT1:BZ1"/>
    <mergeCell ref="CA1:CG1"/>
    <mergeCell ref="CH1:CN1"/>
    <mergeCell ref="G1:H1"/>
    <mergeCell ref="P1:V1"/>
    <mergeCell ref="W1:AC1"/>
    <mergeCell ref="AD1:AJ1"/>
    <mergeCell ref="AK1:AQ1"/>
    <mergeCell ref="AR1:AX1"/>
    <mergeCell ref="KC1:KI1"/>
    <mergeCell ref="KJ1:KP1"/>
    <mergeCell ref="HK1:HQ1"/>
    <mergeCell ref="HR1:HX1"/>
    <mergeCell ref="HY1:IE1"/>
    <mergeCell ref="IF1:IL1"/>
    <mergeCell ref="IM1:IS1"/>
    <mergeCell ref="IT1:IZ1"/>
    <mergeCell ref="FU1:GA1"/>
    <mergeCell ref="GB1:GH1"/>
    <mergeCell ref="GI1:GO1"/>
    <mergeCell ref="GP1:GV1"/>
    <mergeCell ref="GW1:HC1"/>
    <mergeCell ref="HD1:HJ1"/>
    <mergeCell ref="EE1:EK1"/>
    <mergeCell ref="EL1:ER1"/>
    <mergeCell ref="ES1:EY1"/>
    <mergeCell ref="EZ1:FF1"/>
    <mergeCell ref="FG1:FM1"/>
    <mergeCell ref="FN1:FT1"/>
    <mergeCell ref="AK3:AL3"/>
    <mergeCell ref="AP3:AQ3"/>
    <mergeCell ref="AR3:AS3"/>
    <mergeCell ref="AW3:AX3"/>
    <mergeCell ref="AY3:AZ3"/>
    <mergeCell ref="BD3:BE3"/>
    <mergeCell ref="NW1:OC1"/>
    <mergeCell ref="OD1:OJ1"/>
    <mergeCell ref="OK1:OQ1"/>
    <mergeCell ref="G3:H3"/>
    <mergeCell ref="P3:Q3"/>
    <mergeCell ref="U3:V3"/>
    <mergeCell ref="W3:X3"/>
    <mergeCell ref="AB3:AC3"/>
    <mergeCell ref="AD3:AE3"/>
    <mergeCell ref="AI3:AJ3"/>
    <mergeCell ref="MG1:MM1"/>
    <mergeCell ref="MN1:MT1"/>
    <mergeCell ref="MU1:NA1"/>
    <mergeCell ref="NB1:NH1"/>
    <mergeCell ref="NI1:NO1"/>
    <mergeCell ref="NP1:NV1"/>
    <mergeCell ref="KQ1:KW1"/>
    <mergeCell ref="KX1:LD1"/>
    <mergeCell ref="LE1:LK1"/>
    <mergeCell ref="LL1:LR1"/>
    <mergeCell ref="LS1:LY1"/>
    <mergeCell ref="LZ1:MF1"/>
    <mergeCell ref="JA1:JG1"/>
    <mergeCell ref="JH1:JN1"/>
    <mergeCell ref="JO1:JU1"/>
    <mergeCell ref="JV1:KB1"/>
    <mergeCell ref="CV3:CW3"/>
    <mergeCell ref="DA3:DB3"/>
    <mergeCell ref="DC3:DD3"/>
    <mergeCell ref="DH3:DI3"/>
    <mergeCell ref="DJ3:DK3"/>
    <mergeCell ref="DN3:DP3"/>
    <mergeCell ref="CA3:CB3"/>
    <mergeCell ref="CF3:CG3"/>
    <mergeCell ref="CH3:CI3"/>
    <mergeCell ref="CM3:CN3"/>
    <mergeCell ref="CO3:CP3"/>
    <mergeCell ref="CT3:CU3"/>
    <mergeCell ref="BF3:BG3"/>
    <mergeCell ref="BK3:BL3"/>
    <mergeCell ref="BM3:BN3"/>
    <mergeCell ref="BR3:BS3"/>
    <mergeCell ref="BT3:BU3"/>
    <mergeCell ref="BY3:BZ3"/>
    <mergeCell ref="FG3:FI3"/>
    <mergeCell ref="FK3:FM3"/>
    <mergeCell ref="FN3:FP3"/>
    <mergeCell ref="FR3:FT3"/>
    <mergeCell ref="FU3:FW3"/>
    <mergeCell ref="FY3:GA3"/>
    <mergeCell ref="EL3:EN3"/>
    <mergeCell ref="EP3:ER3"/>
    <mergeCell ref="ES3:EU3"/>
    <mergeCell ref="EW3:EY3"/>
    <mergeCell ref="EZ3:FB3"/>
    <mergeCell ref="FD3:FF3"/>
    <mergeCell ref="DQ3:DS3"/>
    <mergeCell ref="DU3:DW3"/>
    <mergeCell ref="DX3:DZ3"/>
    <mergeCell ref="EB3:ED3"/>
    <mergeCell ref="EE3:EG3"/>
    <mergeCell ref="EI3:EK3"/>
    <mergeCell ref="HR3:HT3"/>
    <mergeCell ref="HV3:HX3"/>
    <mergeCell ref="HY3:IA3"/>
    <mergeCell ref="IC3:IE3"/>
    <mergeCell ref="IF3:IH3"/>
    <mergeCell ref="IJ3:IL3"/>
    <mergeCell ref="GW3:GY3"/>
    <mergeCell ref="HA3:HC3"/>
    <mergeCell ref="HD3:HF3"/>
    <mergeCell ref="HH3:HJ3"/>
    <mergeCell ref="HK3:HM3"/>
    <mergeCell ref="HO3:HQ3"/>
    <mergeCell ref="GB3:GD3"/>
    <mergeCell ref="GF3:GH3"/>
    <mergeCell ref="GI3:GK3"/>
    <mergeCell ref="GM3:GO3"/>
    <mergeCell ref="GP3:GR3"/>
    <mergeCell ref="GT3:GV3"/>
    <mergeCell ref="LL3:LN3"/>
    <mergeCell ref="LP3:LR3"/>
    <mergeCell ref="KC3:KE3"/>
    <mergeCell ref="KG3:KI3"/>
    <mergeCell ref="KJ3:KL3"/>
    <mergeCell ref="KN3:KP3"/>
    <mergeCell ref="KQ3:KS3"/>
    <mergeCell ref="KU3:KW3"/>
    <mergeCell ref="JH3:JJ3"/>
    <mergeCell ref="JL3:JN3"/>
    <mergeCell ref="JO3:JQ3"/>
    <mergeCell ref="JS3:JU3"/>
    <mergeCell ref="JV3:JX3"/>
    <mergeCell ref="JZ3:KB3"/>
    <mergeCell ref="IM3:IO3"/>
    <mergeCell ref="IQ3:IS3"/>
    <mergeCell ref="IT3:IV3"/>
    <mergeCell ref="IX3:IZ3"/>
    <mergeCell ref="JA3:JC3"/>
    <mergeCell ref="JE3:JG3"/>
    <mergeCell ref="OD3:OF3"/>
    <mergeCell ref="OH3:OJ3"/>
    <mergeCell ref="OK3:OM3"/>
    <mergeCell ref="OO3:OQ3"/>
    <mergeCell ref="B5:K6"/>
    <mergeCell ref="P5:AQ5"/>
    <mergeCell ref="AR5:BS5"/>
    <mergeCell ref="BT5:CU5"/>
    <mergeCell ref="CV5:DW5"/>
    <mergeCell ref="DX5:EY5"/>
    <mergeCell ref="NI3:NK3"/>
    <mergeCell ref="NM3:NO3"/>
    <mergeCell ref="NP3:NR3"/>
    <mergeCell ref="NT3:NV3"/>
    <mergeCell ref="NW3:NY3"/>
    <mergeCell ref="OA3:OC3"/>
    <mergeCell ref="MN3:MP3"/>
    <mergeCell ref="MR3:MT3"/>
    <mergeCell ref="MU3:MW3"/>
    <mergeCell ref="MY3:NA3"/>
    <mergeCell ref="NB3:ND3"/>
    <mergeCell ref="NF3:NH3"/>
    <mergeCell ref="LS3:LU3"/>
    <mergeCell ref="LW3:LY3"/>
    <mergeCell ref="LZ3:MB3"/>
    <mergeCell ref="MD3:MF3"/>
    <mergeCell ref="MG3:MI3"/>
    <mergeCell ref="MK3:MM3"/>
    <mergeCell ref="KX3:KZ3"/>
    <mergeCell ref="LB3:LD3"/>
    <mergeCell ref="LE3:LG3"/>
    <mergeCell ref="LI3:LK3"/>
    <mergeCell ref="MN6:NO6"/>
    <mergeCell ref="NP6:OQ6"/>
    <mergeCell ref="B7:B8"/>
    <mergeCell ref="C7:K8"/>
    <mergeCell ref="P7:AC7"/>
    <mergeCell ref="AD7:AQ7"/>
    <mergeCell ref="AR7:BS8"/>
    <mergeCell ref="BT7:CU8"/>
    <mergeCell ref="CV7:DW8"/>
    <mergeCell ref="DX7:EY8"/>
    <mergeCell ref="GB6:HC6"/>
    <mergeCell ref="HD6:IE6"/>
    <mergeCell ref="IF6:JG6"/>
    <mergeCell ref="JH6:KI6"/>
    <mergeCell ref="KJ6:LK6"/>
    <mergeCell ref="LL6:MM6"/>
    <mergeCell ref="LL5:MM5"/>
    <mergeCell ref="MN5:NO5"/>
    <mergeCell ref="NP5:OQ5"/>
    <mergeCell ref="P6:AQ6"/>
    <mergeCell ref="AR6:BA6"/>
    <mergeCell ref="BB6:BS6"/>
    <mergeCell ref="BT6:CU6"/>
    <mergeCell ref="CV6:DW6"/>
    <mergeCell ref="DX6:EY6"/>
    <mergeCell ref="EZ6:GA6"/>
    <mergeCell ref="EZ5:GA5"/>
    <mergeCell ref="GB5:HC5"/>
    <mergeCell ref="HD5:IE5"/>
    <mergeCell ref="IF5:JG5"/>
    <mergeCell ref="JH5:KI5"/>
    <mergeCell ref="KJ5:LK5"/>
    <mergeCell ref="G11:H12"/>
    <mergeCell ref="I11:I12"/>
    <mergeCell ref="P11:V11"/>
    <mergeCell ref="W11:AC11"/>
    <mergeCell ref="AD11:AJ11"/>
    <mergeCell ref="AK11:AQ11"/>
    <mergeCell ref="LL7:MM8"/>
    <mergeCell ref="MN7:NO8"/>
    <mergeCell ref="NP7:OQ8"/>
    <mergeCell ref="P8:AC8"/>
    <mergeCell ref="AD8:AQ8"/>
    <mergeCell ref="B11:B12"/>
    <mergeCell ref="C11:C12"/>
    <mergeCell ref="D11:D12"/>
    <mergeCell ref="E11:E12"/>
    <mergeCell ref="F11:F12"/>
    <mergeCell ref="EZ7:GA8"/>
    <mergeCell ref="GB7:HC8"/>
    <mergeCell ref="HD7:IE8"/>
    <mergeCell ref="IF7:JG8"/>
    <mergeCell ref="JH7:KI8"/>
    <mergeCell ref="KJ7:LK8"/>
    <mergeCell ref="DX11:ED11"/>
    <mergeCell ref="EE11:EK11"/>
    <mergeCell ref="EL11:ER11"/>
    <mergeCell ref="ES11:EY11"/>
    <mergeCell ref="EZ11:FF11"/>
    <mergeCell ref="FG11:FM11"/>
    <mergeCell ref="CH11:CN11"/>
    <mergeCell ref="CO11:CU11"/>
    <mergeCell ref="CV11:DB11"/>
    <mergeCell ref="DC11:DI11"/>
    <mergeCell ref="DJ11:DP11"/>
    <mergeCell ref="DQ11:DW11"/>
    <mergeCell ref="AR11:AX11"/>
    <mergeCell ref="AY11:BE11"/>
    <mergeCell ref="BF11:BL11"/>
    <mergeCell ref="BM11:BS11"/>
    <mergeCell ref="BT11:BZ11"/>
    <mergeCell ref="CA11:CG11"/>
    <mergeCell ref="LL11:LR11"/>
    <mergeCell ref="LS11:LY11"/>
    <mergeCell ref="IT11:IZ11"/>
    <mergeCell ref="JA11:JG11"/>
    <mergeCell ref="JH11:JN11"/>
    <mergeCell ref="JO11:JU11"/>
    <mergeCell ref="JV11:KB11"/>
    <mergeCell ref="KC11:KI11"/>
    <mergeCell ref="HD11:HJ11"/>
    <mergeCell ref="HK11:HQ11"/>
    <mergeCell ref="HR11:HX11"/>
    <mergeCell ref="HY11:IE11"/>
    <mergeCell ref="IF11:IL11"/>
    <mergeCell ref="IM11:IS11"/>
    <mergeCell ref="FN11:FT11"/>
    <mergeCell ref="FU11:GA11"/>
    <mergeCell ref="GB11:GH11"/>
    <mergeCell ref="GI11:GO11"/>
    <mergeCell ref="GP11:GV11"/>
    <mergeCell ref="GW11:HC11"/>
    <mergeCell ref="CV12:DB12"/>
    <mergeCell ref="DC12:DI12"/>
    <mergeCell ref="DJ12:DP12"/>
    <mergeCell ref="DQ12:DW12"/>
    <mergeCell ref="DX12:ED12"/>
    <mergeCell ref="EE12:EK12"/>
    <mergeCell ref="BF12:BL12"/>
    <mergeCell ref="BM12:BS12"/>
    <mergeCell ref="BT12:BZ12"/>
    <mergeCell ref="CA12:CG12"/>
    <mergeCell ref="CH12:CN12"/>
    <mergeCell ref="CO12:CU12"/>
    <mergeCell ref="NP11:NV11"/>
    <mergeCell ref="NW11:OC11"/>
    <mergeCell ref="OD11:OJ11"/>
    <mergeCell ref="OK11:OQ11"/>
    <mergeCell ref="P12:V12"/>
    <mergeCell ref="W12:AC12"/>
    <mergeCell ref="AD12:AJ12"/>
    <mergeCell ref="AK12:AQ12"/>
    <mergeCell ref="AR12:AX12"/>
    <mergeCell ref="AY12:BE12"/>
    <mergeCell ref="LZ11:MF11"/>
    <mergeCell ref="MG11:MM11"/>
    <mergeCell ref="MN11:MT11"/>
    <mergeCell ref="MU11:NA11"/>
    <mergeCell ref="NB11:NH11"/>
    <mergeCell ref="NI11:NO11"/>
    <mergeCell ref="KJ11:KP11"/>
    <mergeCell ref="KQ11:KW11"/>
    <mergeCell ref="KX11:LD11"/>
    <mergeCell ref="LE11:LK11"/>
    <mergeCell ref="KJ12:KP12"/>
    <mergeCell ref="KQ12:KW12"/>
    <mergeCell ref="HR12:HX12"/>
    <mergeCell ref="HY12:IE12"/>
    <mergeCell ref="IF12:IL12"/>
    <mergeCell ref="IM12:IS12"/>
    <mergeCell ref="IT12:IZ12"/>
    <mergeCell ref="JA12:JG12"/>
    <mergeCell ref="GB12:GH12"/>
    <mergeCell ref="GI12:GO12"/>
    <mergeCell ref="GP12:GV12"/>
    <mergeCell ref="GW12:HC12"/>
    <mergeCell ref="HD12:HJ12"/>
    <mergeCell ref="HK12:HQ12"/>
    <mergeCell ref="EL12:ER12"/>
    <mergeCell ref="ES12:EY12"/>
    <mergeCell ref="EZ12:FF12"/>
    <mergeCell ref="FG12:FM12"/>
    <mergeCell ref="FN12:FT12"/>
    <mergeCell ref="FU12:GA12"/>
    <mergeCell ref="AR13:AS13"/>
    <mergeCell ref="AW13:AX13"/>
    <mergeCell ref="AY13:AZ13"/>
    <mergeCell ref="BD13:BE13"/>
    <mergeCell ref="BF13:BG13"/>
    <mergeCell ref="BK13:BL13"/>
    <mergeCell ref="OD12:OJ12"/>
    <mergeCell ref="OK12:OQ12"/>
    <mergeCell ref="P13:Q13"/>
    <mergeCell ref="U13:V13"/>
    <mergeCell ref="W13:X13"/>
    <mergeCell ref="AB13:AC13"/>
    <mergeCell ref="AD13:AE13"/>
    <mergeCell ref="AI13:AJ13"/>
    <mergeCell ref="AK13:AL13"/>
    <mergeCell ref="AP13:AQ13"/>
    <mergeCell ref="MN12:MT12"/>
    <mergeCell ref="MU12:NA12"/>
    <mergeCell ref="NB12:NH12"/>
    <mergeCell ref="NI12:NO12"/>
    <mergeCell ref="NP12:NV12"/>
    <mergeCell ref="NW12:OC12"/>
    <mergeCell ref="KX12:LD12"/>
    <mergeCell ref="LE12:LK12"/>
    <mergeCell ref="LL12:LR12"/>
    <mergeCell ref="LS12:LY12"/>
    <mergeCell ref="LZ12:MF12"/>
    <mergeCell ref="MG12:MM12"/>
    <mergeCell ref="JH12:JN12"/>
    <mergeCell ref="JO12:JU12"/>
    <mergeCell ref="JV12:KB12"/>
    <mergeCell ref="KC12:KI12"/>
    <mergeCell ref="DC13:DD13"/>
    <mergeCell ref="DH13:DI13"/>
    <mergeCell ref="DJ13:DK13"/>
    <mergeCell ref="DO13:DP13"/>
    <mergeCell ref="DQ13:DR13"/>
    <mergeCell ref="DV13:DW13"/>
    <mergeCell ref="CH13:CI13"/>
    <mergeCell ref="CM13:CN13"/>
    <mergeCell ref="CO13:CP13"/>
    <mergeCell ref="CT13:CU13"/>
    <mergeCell ref="CV13:CW13"/>
    <mergeCell ref="DA13:DB13"/>
    <mergeCell ref="BM13:BN13"/>
    <mergeCell ref="BR13:BS13"/>
    <mergeCell ref="BT13:BU13"/>
    <mergeCell ref="BY13:BZ13"/>
    <mergeCell ref="CA13:CB13"/>
    <mergeCell ref="CF13:CG13"/>
    <mergeCell ref="FN13:FO13"/>
    <mergeCell ref="FS13:FT13"/>
    <mergeCell ref="FU13:FV13"/>
    <mergeCell ref="FZ13:GA13"/>
    <mergeCell ref="GB13:GC13"/>
    <mergeCell ref="GG13:GH13"/>
    <mergeCell ref="ES13:ET13"/>
    <mergeCell ref="EX13:EY13"/>
    <mergeCell ref="EZ13:FA13"/>
    <mergeCell ref="FE13:FF13"/>
    <mergeCell ref="FG13:FH13"/>
    <mergeCell ref="FL13:FM13"/>
    <mergeCell ref="DX13:DY13"/>
    <mergeCell ref="EC13:ED13"/>
    <mergeCell ref="EE13:EF13"/>
    <mergeCell ref="EJ13:EK13"/>
    <mergeCell ref="EL13:EM13"/>
    <mergeCell ref="EQ13:ER13"/>
    <mergeCell ref="HY13:HZ13"/>
    <mergeCell ref="ID13:IE13"/>
    <mergeCell ref="IF13:IG13"/>
    <mergeCell ref="IK13:IL13"/>
    <mergeCell ref="IM13:IN13"/>
    <mergeCell ref="IR13:IS13"/>
    <mergeCell ref="HD13:HE13"/>
    <mergeCell ref="HI13:HJ13"/>
    <mergeCell ref="HK13:HL13"/>
    <mergeCell ref="HP13:HQ13"/>
    <mergeCell ref="HR13:HS13"/>
    <mergeCell ref="HW13:HX13"/>
    <mergeCell ref="GI13:GJ13"/>
    <mergeCell ref="GN13:GO13"/>
    <mergeCell ref="GP13:GQ13"/>
    <mergeCell ref="GU13:GV13"/>
    <mergeCell ref="GW13:GX13"/>
    <mergeCell ref="HB13:HC13"/>
    <mergeCell ref="LS13:LT13"/>
    <mergeCell ref="LX13:LY13"/>
    <mergeCell ref="KJ13:KK13"/>
    <mergeCell ref="KO13:KP13"/>
    <mergeCell ref="KQ13:KR13"/>
    <mergeCell ref="KV13:KW13"/>
    <mergeCell ref="KX13:KY13"/>
    <mergeCell ref="LC13:LD13"/>
    <mergeCell ref="JO13:JP13"/>
    <mergeCell ref="JT13:JU13"/>
    <mergeCell ref="JV13:JW13"/>
    <mergeCell ref="KA13:KB13"/>
    <mergeCell ref="KC13:KD13"/>
    <mergeCell ref="KH13:KI13"/>
    <mergeCell ref="IT13:IU13"/>
    <mergeCell ref="IY13:IZ13"/>
    <mergeCell ref="JA13:JB13"/>
    <mergeCell ref="JF13:JG13"/>
    <mergeCell ref="JH13:JI13"/>
    <mergeCell ref="JM13:JN13"/>
    <mergeCell ref="OK13:OL13"/>
    <mergeCell ref="OP13:OQ13"/>
    <mergeCell ref="B16:B19"/>
    <mergeCell ref="C16:C19"/>
    <mergeCell ref="D16:D19"/>
    <mergeCell ref="E16:E19"/>
    <mergeCell ref="F16:F19"/>
    <mergeCell ref="G16:H19"/>
    <mergeCell ref="I16:I19"/>
    <mergeCell ref="Q17:V17"/>
    <mergeCell ref="NP13:NQ13"/>
    <mergeCell ref="NU13:NV13"/>
    <mergeCell ref="NW13:NX13"/>
    <mergeCell ref="OB13:OC13"/>
    <mergeCell ref="OD13:OE13"/>
    <mergeCell ref="OI13:OJ13"/>
    <mergeCell ref="MU13:MV13"/>
    <mergeCell ref="MZ13:NA13"/>
    <mergeCell ref="NB13:NC13"/>
    <mergeCell ref="NG13:NH13"/>
    <mergeCell ref="NI13:NJ13"/>
    <mergeCell ref="NN13:NO13"/>
    <mergeCell ref="LZ13:MA13"/>
    <mergeCell ref="ME13:MF13"/>
    <mergeCell ref="MG13:MH13"/>
    <mergeCell ref="ML13:MM13"/>
    <mergeCell ref="MN13:MO13"/>
    <mergeCell ref="MS13:MT13"/>
    <mergeCell ref="LE13:LF13"/>
    <mergeCell ref="LJ13:LK13"/>
    <mergeCell ref="LL13:LM13"/>
    <mergeCell ref="LQ13:LR13"/>
    <mergeCell ref="DD17:DI17"/>
    <mergeCell ref="DK17:DP17"/>
    <mergeCell ref="DR17:DW17"/>
    <mergeCell ref="DY17:ED17"/>
    <mergeCell ref="EF17:EK17"/>
    <mergeCell ref="EM17:ER17"/>
    <mergeCell ref="BN17:BS17"/>
    <mergeCell ref="BU17:BZ17"/>
    <mergeCell ref="CB17:CG17"/>
    <mergeCell ref="CI17:CN17"/>
    <mergeCell ref="CP17:CU17"/>
    <mergeCell ref="CW17:DB17"/>
    <mergeCell ref="X17:AC17"/>
    <mergeCell ref="AE17:AJ17"/>
    <mergeCell ref="AL17:AQ17"/>
    <mergeCell ref="AS17:AX17"/>
    <mergeCell ref="AZ17:BE17"/>
    <mergeCell ref="BG17:BL17"/>
    <mergeCell ref="KR17:KW17"/>
    <mergeCell ref="KY17:LD17"/>
    <mergeCell ref="HZ17:IE17"/>
    <mergeCell ref="IG17:IL17"/>
    <mergeCell ref="IN17:IS17"/>
    <mergeCell ref="IU17:IZ17"/>
    <mergeCell ref="JB17:JG17"/>
    <mergeCell ref="JI17:JN17"/>
    <mergeCell ref="GJ17:GO17"/>
    <mergeCell ref="GQ17:GV17"/>
    <mergeCell ref="GX17:HC17"/>
    <mergeCell ref="HE17:HJ17"/>
    <mergeCell ref="HL17:HQ17"/>
    <mergeCell ref="HS17:HX17"/>
    <mergeCell ref="ET17:EY17"/>
    <mergeCell ref="FA17:FF17"/>
    <mergeCell ref="FH17:FM17"/>
    <mergeCell ref="FO17:FT17"/>
    <mergeCell ref="FV17:GA17"/>
    <mergeCell ref="GC17:GH17"/>
    <mergeCell ref="CB18:CG18"/>
    <mergeCell ref="CI18:CN18"/>
    <mergeCell ref="CP18:CU18"/>
    <mergeCell ref="CW18:DB18"/>
    <mergeCell ref="DD18:DI18"/>
    <mergeCell ref="DK18:DP18"/>
    <mergeCell ref="OL17:OQ17"/>
    <mergeCell ref="Q18:V18"/>
    <mergeCell ref="X18:AC18"/>
    <mergeCell ref="AE18:AJ18"/>
    <mergeCell ref="AL18:AQ18"/>
    <mergeCell ref="AS18:AX18"/>
    <mergeCell ref="AZ18:BE18"/>
    <mergeCell ref="BG18:BL18"/>
    <mergeCell ref="BN18:BS18"/>
    <mergeCell ref="BU18:BZ18"/>
    <mergeCell ref="MV17:NA17"/>
    <mergeCell ref="NC17:NH17"/>
    <mergeCell ref="NJ17:NO17"/>
    <mergeCell ref="NQ17:NV17"/>
    <mergeCell ref="NX17:OC17"/>
    <mergeCell ref="OE17:OJ17"/>
    <mergeCell ref="LF17:LK17"/>
    <mergeCell ref="LM17:LR17"/>
    <mergeCell ref="LT17:LY17"/>
    <mergeCell ref="MA17:MF17"/>
    <mergeCell ref="MH17:MM17"/>
    <mergeCell ref="MO17:MT17"/>
    <mergeCell ref="JP17:JU17"/>
    <mergeCell ref="JW17:KB17"/>
    <mergeCell ref="KD17:KI17"/>
    <mergeCell ref="KK17:KP17"/>
    <mergeCell ref="JP18:JU18"/>
    <mergeCell ref="JW18:KB18"/>
    <mergeCell ref="GX18:HC18"/>
    <mergeCell ref="HE18:HJ18"/>
    <mergeCell ref="HL18:HQ18"/>
    <mergeCell ref="HS18:HX18"/>
    <mergeCell ref="HZ18:IE18"/>
    <mergeCell ref="IG18:IL18"/>
    <mergeCell ref="FH18:FM18"/>
    <mergeCell ref="FO18:FT18"/>
    <mergeCell ref="FV18:GA18"/>
    <mergeCell ref="GC18:GH18"/>
    <mergeCell ref="GJ18:GO18"/>
    <mergeCell ref="GQ18:GV18"/>
    <mergeCell ref="DR18:DW18"/>
    <mergeCell ref="DY18:ED18"/>
    <mergeCell ref="EF18:EK18"/>
    <mergeCell ref="EM18:ER18"/>
    <mergeCell ref="ET18:EY18"/>
    <mergeCell ref="FA18:FF18"/>
    <mergeCell ref="AZ19:BE19"/>
    <mergeCell ref="BG19:BL19"/>
    <mergeCell ref="BN19:BS19"/>
    <mergeCell ref="BU19:BZ19"/>
    <mergeCell ref="CB19:CG19"/>
    <mergeCell ref="CI19:CN19"/>
    <mergeCell ref="NJ18:NO18"/>
    <mergeCell ref="NQ18:NV18"/>
    <mergeCell ref="NX18:OC18"/>
    <mergeCell ref="OE18:OJ18"/>
    <mergeCell ref="OL18:OQ18"/>
    <mergeCell ref="Q19:V19"/>
    <mergeCell ref="X19:AC19"/>
    <mergeCell ref="AE19:AJ19"/>
    <mergeCell ref="AL19:AQ19"/>
    <mergeCell ref="AS19:AX19"/>
    <mergeCell ref="LT18:LY18"/>
    <mergeCell ref="MA18:MF18"/>
    <mergeCell ref="MH18:MM18"/>
    <mergeCell ref="MO18:MT18"/>
    <mergeCell ref="MV18:NA18"/>
    <mergeCell ref="NC18:NH18"/>
    <mergeCell ref="KD18:KI18"/>
    <mergeCell ref="KK18:KP18"/>
    <mergeCell ref="KR18:KW18"/>
    <mergeCell ref="KY18:LD18"/>
    <mergeCell ref="LF18:LK18"/>
    <mergeCell ref="LM18:LR18"/>
    <mergeCell ref="IN18:IS18"/>
    <mergeCell ref="IU18:IZ18"/>
    <mergeCell ref="JB18:JG18"/>
    <mergeCell ref="JI18:JN18"/>
    <mergeCell ref="IN19:IS19"/>
    <mergeCell ref="IU19:IZ19"/>
    <mergeCell ref="FV19:GA19"/>
    <mergeCell ref="GC19:GH19"/>
    <mergeCell ref="GJ19:GO19"/>
    <mergeCell ref="GQ19:GV19"/>
    <mergeCell ref="GX19:HC19"/>
    <mergeCell ref="HE19:HJ19"/>
    <mergeCell ref="EF19:EK19"/>
    <mergeCell ref="EM19:ER19"/>
    <mergeCell ref="ET19:EY19"/>
    <mergeCell ref="FA19:FF19"/>
    <mergeCell ref="FH19:FM19"/>
    <mergeCell ref="FO19:FT19"/>
    <mergeCell ref="CP19:CU19"/>
    <mergeCell ref="CW19:DB19"/>
    <mergeCell ref="DD19:DI19"/>
    <mergeCell ref="DK19:DP19"/>
    <mergeCell ref="DR19:DW19"/>
    <mergeCell ref="DY19:ED19"/>
    <mergeCell ref="NX19:OC19"/>
    <mergeCell ref="OE19:OJ19"/>
    <mergeCell ref="OL19:OQ19"/>
    <mergeCell ref="P20:V20"/>
    <mergeCell ref="W20:AC20"/>
    <mergeCell ref="AD20:AJ20"/>
    <mergeCell ref="AK20:AQ20"/>
    <mergeCell ref="AR20:AX20"/>
    <mergeCell ref="AY20:BE20"/>
    <mergeCell ref="BF20:BL20"/>
    <mergeCell ref="MH19:MM19"/>
    <mergeCell ref="MO19:MT19"/>
    <mergeCell ref="MV19:NA19"/>
    <mergeCell ref="NC19:NH19"/>
    <mergeCell ref="NJ19:NO19"/>
    <mergeCell ref="NQ19:NV19"/>
    <mergeCell ref="KR19:KW19"/>
    <mergeCell ref="KY19:LD19"/>
    <mergeCell ref="LF19:LK19"/>
    <mergeCell ref="LM19:LR19"/>
    <mergeCell ref="LT19:LY19"/>
    <mergeCell ref="MA19:MF19"/>
    <mergeCell ref="JB19:JG19"/>
    <mergeCell ref="JI19:JN19"/>
    <mergeCell ref="JP19:JU19"/>
    <mergeCell ref="JW19:KB19"/>
    <mergeCell ref="KD19:KI19"/>
    <mergeCell ref="KK19:KP19"/>
    <mergeCell ref="HL19:HQ19"/>
    <mergeCell ref="HS19:HX19"/>
    <mergeCell ref="HZ19:IE19"/>
    <mergeCell ref="IG19:IL19"/>
    <mergeCell ref="ES20:EY20"/>
    <mergeCell ref="EZ20:FF20"/>
    <mergeCell ref="FG20:FM20"/>
    <mergeCell ref="FN20:FT20"/>
    <mergeCell ref="FU20:GA20"/>
    <mergeCell ref="GB20:GH20"/>
    <mergeCell ref="DC20:DI20"/>
    <mergeCell ref="DJ20:DP20"/>
    <mergeCell ref="DQ20:DW20"/>
    <mergeCell ref="DX20:ED20"/>
    <mergeCell ref="EE20:EK20"/>
    <mergeCell ref="EL20:ER20"/>
    <mergeCell ref="BM20:BS20"/>
    <mergeCell ref="BT20:BZ20"/>
    <mergeCell ref="CA20:CG20"/>
    <mergeCell ref="CH20:CN20"/>
    <mergeCell ref="CO20:CU20"/>
    <mergeCell ref="CV20:DB20"/>
    <mergeCell ref="JV20:KB20"/>
    <mergeCell ref="KC20:KI20"/>
    <mergeCell ref="KJ20:KP20"/>
    <mergeCell ref="KQ20:KW20"/>
    <mergeCell ref="KX20:LD20"/>
    <mergeCell ref="HY20:IE20"/>
    <mergeCell ref="IF20:IL20"/>
    <mergeCell ref="IM20:IS20"/>
    <mergeCell ref="IT20:IZ20"/>
    <mergeCell ref="JA20:JG20"/>
    <mergeCell ref="JH20:JN20"/>
    <mergeCell ref="GI20:GO20"/>
    <mergeCell ref="GP20:GV20"/>
    <mergeCell ref="GW20:HC20"/>
    <mergeCell ref="HD20:HJ20"/>
    <mergeCell ref="HK20:HQ20"/>
    <mergeCell ref="HR20:HX20"/>
    <mergeCell ref="EE21:EK21"/>
    <mergeCell ref="EL21:ER21"/>
    <mergeCell ref="ES21:EY21"/>
    <mergeCell ref="BT21:BZ21"/>
    <mergeCell ref="CA21:CG21"/>
    <mergeCell ref="CH21:CN21"/>
    <mergeCell ref="CO21:CU21"/>
    <mergeCell ref="CV21:DB21"/>
    <mergeCell ref="DC21:DI21"/>
    <mergeCell ref="OK20:OQ20"/>
    <mergeCell ref="G21:H21"/>
    <mergeCell ref="P21:V21"/>
    <mergeCell ref="W21:AC21"/>
    <mergeCell ref="AD21:AJ21"/>
    <mergeCell ref="AK21:AQ21"/>
    <mergeCell ref="AR21:AX21"/>
    <mergeCell ref="AY21:BE21"/>
    <mergeCell ref="BF21:BL21"/>
    <mergeCell ref="BM21:BS21"/>
    <mergeCell ref="MU20:NA20"/>
    <mergeCell ref="NB20:NH20"/>
    <mergeCell ref="NI20:NO20"/>
    <mergeCell ref="NP20:NV20"/>
    <mergeCell ref="NW20:OC20"/>
    <mergeCell ref="OD20:OJ20"/>
    <mergeCell ref="LE20:LK20"/>
    <mergeCell ref="LL20:LR20"/>
    <mergeCell ref="LS20:LY20"/>
    <mergeCell ref="LZ20:MF20"/>
    <mergeCell ref="MG20:MM20"/>
    <mergeCell ref="MN20:MT20"/>
    <mergeCell ref="JO20:JU20"/>
    <mergeCell ref="OK21:OQ21"/>
    <mergeCell ref="LL21:LR21"/>
    <mergeCell ref="LS21:LY21"/>
    <mergeCell ref="LZ21:MF21"/>
    <mergeCell ref="MG21:MM21"/>
    <mergeCell ref="MN21:MT21"/>
    <mergeCell ref="MU21:NA21"/>
    <mergeCell ref="JV21:KB21"/>
    <mergeCell ref="KC21:KI21"/>
    <mergeCell ref="KJ21:KP21"/>
    <mergeCell ref="KQ21:KW21"/>
    <mergeCell ref="KX21:LD21"/>
    <mergeCell ref="LE21:LK21"/>
    <mergeCell ref="IF21:IL21"/>
    <mergeCell ref="IM21:IS21"/>
    <mergeCell ref="IT21:IZ21"/>
    <mergeCell ref="JA21:JG21"/>
    <mergeCell ref="JH21:JN21"/>
    <mergeCell ref="JO21:JU21"/>
    <mergeCell ref="AY22:BE22"/>
    <mergeCell ref="BF22:BL22"/>
    <mergeCell ref="BM22:BS22"/>
    <mergeCell ref="BT22:BZ22"/>
    <mergeCell ref="CA22:CG22"/>
    <mergeCell ref="CH22:CN22"/>
    <mergeCell ref="G22:H22"/>
    <mergeCell ref="P22:V22"/>
    <mergeCell ref="W22:AC22"/>
    <mergeCell ref="AD22:AJ22"/>
    <mergeCell ref="AK22:AQ22"/>
    <mergeCell ref="AR22:AX22"/>
    <mergeCell ref="NB21:NH21"/>
    <mergeCell ref="NI21:NO21"/>
    <mergeCell ref="NP21:NV21"/>
    <mergeCell ref="NW21:OC21"/>
    <mergeCell ref="OD21:OJ21"/>
    <mergeCell ref="GP21:GV21"/>
    <mergeCell ref="GW21:HC21"/>
    <mergeCell ref="HD21:HJ21"/>
    <mergeCell ref="HK21:HQ21"/>
    <mergeCell ref="HR21:HX21"/>
    <mergeCell ref="HY21:IE21"/>
    <mergeCell ref="EZ21:FF21"/>
    <mergeCell ref="FG21:FM21"/>
    <mergeCell ref="FN21:FT21"/>
    <mergeCell ref="FU21:GA21"/>
    <mergeCell ref="GB21:GH21"/>
    <mergeCell ref="GI21:GO21"/>
    <mergeCell ref="DJ21:DP21"/>
    <mergeCell ref="DQ21:DW21"/>
    <mergeCell ref="DX21:ED21"/>
    <mergeCell ref="IM22:IS22"/>
    <mergeCell ref="IT22:IZ22"/>
    <mergeCell ref="FU22:GA22"/>
    <mergeCell ref="GB22:GH22"/>
    <mergeCell ref="GI22:GO22"/>
    <mergeCell ref="GP22:GV22"/>
    <mergeCell ref="GW22:HC22"/>
    <mergeCell ref="HD22:HJ22"/>
    <mergeCell ref="EE22:EK22"/>
    <mergeCell ref="EL22:ER22"/>
    <mergeCell ref="ES22:EY22"/>
    <mergeCell ref="EZ22:FF22"/>
    <mergeCell ref="FG22:FM22"/>
    <mergeCell ref="FN22:FT22"/>
    <mergeCell ref="CO22:CU22"/>
    <mergeCell ref="CV22:DB22"/>
    <mergeCell ref="DC22:DI22"/>
    <mergeCell ref="DJ22:DP22"/>
    <mergeCell ref="DQ22:DW22"/>
    <mergeCell ref="DX22:ED22"/>
    <mergeCell ref="NW22:OC22"/>
    <mergeCell ref="OD22:OJ22"/>
    <mergeCell ref="OK22:OQ22"/>
    <mergeCell ref="G23:H23"/>
    <mergeCell ref="P23:V23"/>
    <mergeCell ref="W23:AC23"/>
    <mergeCell ref="AD23:AJ23"/>
    <mergeCell ref="AK23:AQ23"/>
    <mergeCell ref="AR23:AX23"/>
    <mergeCell ref="AY23:BE23"/>
    <mergeCell ref="MG22:MM22"/>
    <mergeCell ref="MN22:MT22"/>
    <mergeCell ref="MU22:NA22"/>
    <mergeCell ref="NB22:NH22"/>
    <mergeCell ref="NI22:NO22"/>
    <mergeCell ref="NP22:NV22"/>
    <mergeCell ref="KQ22:KW22"/>
    <mergeCell ref="KX22:LD22"/>
    <mergeCell ref="LE22:LK22"/>
    <mergeCell ref="LL22:LR22"/>
    <mergeCell ref="LS22:LY22"/>
    <mergeCell ref="LZ22:MF22"/>
    <mergeCell ref="JA22:JG22"/>
    <mergeCell ref="JH22:JN22"/>
    <mergeCell ref="JO22:JU22"/>
    <mergeCell ref="JV22:KB22"/>
    <mergeCell ref="KC22:KI22"/>
    <mergeCell ref="KJ22:KP22"/>
    <mergeCell ref="HK22:HQ22"/>
    <mergeCell ref="HR22:HX22"/>
    <mergeCell ref="HY22:IE22"/>
    <mergeCell ref="IF22:IL22"/>
    <mergeCell ref="EL23:ER23"/>
    <mergeCell ref="ES23:EY23"/>
    <mergeCell ref="EZ23:FF23"/>
    <mergeCell ref="FG23:FM23"/>
    <mergeCell ref="FN23:FT23"/>
    <mergeCell ref="FU23:GA23"/>
    <mergeCell ref="CV23:DB23"/>
    <mergeCell ref="DC23:DI23"/>
    <mergeCell ref="DJ23:DP23"/>
    <mergeCell ref="DQ23:DW23"/>
    <mergeCell ref="DX23:ED23"/>
    <mergeCell ref="EE23:EK23"/>
    <mergeCell ref="BF23:BL23"/>
    <mergeCell ref="BM23:BS23"/>
    <mergeCell ref="BT23:BZ23"/>
    <mergeCell ref="CA23:CG23"/>
    <mergeCell ref="CH23:CN23"/>
    <mergeCell ref="CO23:CU23"/>
    <mergeCell ref="LZ23:MF23"/>
    <mergeCell ref="MG23:MM23"/>
    <mergeCell ref="JH23:JN23"/>
    <mergeCell ref="JO23:JU23"/>
    <mergeCell ref="JV23:KB23"/>
    <mergeCell ref="KC23:KI23"/>
    <mergeCell ref="KJ23:KP23"/>
    <mergeCell ref="KQ23:KW23"/>
    <mergeCell ref="HR23:HX23"/>
    <mergeCell ref="HY23:IE23"/>
    <mergeCell ref="IF23:IL23"/>
    <mergeCell ref="IM23:IS23"/>
    <mergeCell ref="IT23:IZ23"/>
    <mergeCell ref="JA23:JG23"/>
    <mergeCell ref="GB23:GH23"/>
    <mergeCell ref="GI23:GO23"/>
    <mergeCell ref="GP23:GV23"/>
    <mergeCell ref="GW23:HC23"/>
    <mergeCell ref="HD23:HJ23"/>
    <mergeCell ref="HK23:HQ23"/>
    <mergeCell ref="DC24:DI24"/>
    <mergeCell ref="DJ24:DP24"/>
    <mergeCell ref="DQ24:DW24"/>
    <mergeCell ref="DX24:ED24"/>
    <mergeCell ref="EE24:EK24"/>
    <mergeCell ref="EL24:ER24"/>
    <mergeCell ref="BM24:BS24"/>
    <mergeCell ref="BT24:BZ24"/>
    <mergeCell ref="CA24:CG24"/>
    <mergeCell ref="CH24:CN24"/>
    <mergeCell ref="CO24:CU24"/>
    <mergeCell ref="CV24:DB24"/>
    <mergeCell ref="OD23:OJ23"/>
    <mergeCell ref="OK23:OQ23"/>
    <mergeCell ref="C24:I24"/>
    <mergeCell ref="P24:V24"/>
    <mergeCell ref="W24:AC24"/>
    <mergeCell ref="AD24:AJ24"/>
    <mergeCell ref="AK24:AQ24"/>
    <mergeCell ref="AR24:AX24"/>
    <mergeCell ref="AY24:BE24"/>
    <mergeCell ref="BF24:BL24"/>
    <mergeCell ref="MN23:MT23"/>
    <mergeCell ref="MU23:NA23"/>
    <mergeCell ref="NB23:NH23"/>
    <mergeCell ref="NI23:NO23"/>
    <mergeCell ref="NP23:NV23"/>
    <mergeCell ref="NW23:OC23"/>
    <mergeCell ref="KX23:LD23"/>
    <mergeCell ref="LE23:LK23"/>
    <mergeCell ref="LL23:LR23"/>
    <mergeCell ref="LS23:LY23"/>
    <mergeCell ref="KQ24:KW24"/>
    <mergeCell ref="KX24:LD24"/>
    <mergeCell ref="HY24:IE24"/>
    <mergeCell ref="IF24:IL24"/>
    <mergeCell ref="IM24:IS24"/>
    <mergeCell ref="IT24:IZ24"/>
    <mergeCell ref="JA24:JG24"/>
    <mergeCell ref="JH24:JN24"/>
    <mergeCell ref="GI24:GO24"/>
    <mergeCell ref="GP24:GV24"/>
    <mergeCell ref="GW24:HC24"/>
    <mergeCell ref="HD24:HJ24"/>
    <mergeCell ref="HK24:HQ24"/>
    <mergeCell ref="HR24:HX24"/>
    <mergeCell ref="ES24:EY24"/>
    <mergeCell ref="EZ24:FF24"/>
    <mergeCell ref="FG24:FM24"/>
    <mergeCell ref="FN24:FT24"/>
    <mergeCell ref="FU24:GA24"/>
    <mergeCell ref="GB24:GH24"/>
    <mergeCell ref="IF25:JG25"/>
    <mergeCell ref="JH25:KI25"/>
    <mergeCell ref="KJ25:LK25"/>
    <mergeCell ref="LL25:MM25"/>
    <mergeCell ref="MN25:NO25"/>
    <mergeCell ref="NP25:OQ25"/>
    <mergeCell ref="OK24:OQ24"/>
    <mergeCell ref="C25:I25"/>
    <mergeCell ref="P25:AQ25"/>
    <mergeCell ref="AR25:BS25"/>
    <mergeCell ref="BT25:CU25"/>
    <mergeCell ref="CV25:DW25"/>
    <mergeCell ref="DX25:EY25"/>
    <mergeCell ref="EZ25:GA25"/>
    <mergeCell ref="GB25:HC25"/>
    <mergeCell ref="HD25:IE25"/>
    <mergeCell ref="MU24:NA24"/>
    <mergeCell ref="NB24:NH24"/>
    <mergeCell ref="NI24:NO24"/>
    <mergeCell ref="NP24:NV24"/>
    <mergeCell ref="NW24:OC24"/>
    <mergeCell ref="OD24:OJ24"/>
    <mergeCell ref="LE24:LK24"/>
    <mergeCell ref="LL24:LR24"/>
    <mergeCell ref="LS24:LY24"/>
    <mergeCell ref="LZ24:MF24"/>
    <mergeCell ref="MG24:MM24"/>
    <mergeCell ref="MN24:MT24"/>
    <mergeCell ref="JO24:JU24"/>
    <mergeCell ref="JV24:KB24"/>
    <mergeCell ref="KC24:KI24"/>
    <mergeCell ref="KJ24:KP24"/>
    <mergeCell ref="BF27:BL27"/>
    <mergeCell ref="BM27:BS27"/>
    <mergeCell ref="BT27:BZ27"/>
    <mergeCell ref="CA27:CG27"/>
    <mergeCell ref="CH27:CN27"/>
    <mergeCell ref="CO27:CU27"/>
    <mergeCell ref="LL26:MM26"/>
    <mergeCell ref="MN26:NO26"/>
    <mergeCell ref="NP26:OQ26"/>
    <mergeCell ref="H27:I27"/>
    <mergeCell ref="P27:V27"/>
    <mergeCell ref="W27:AC27"/>
    <mergeCell ref="AD27:AJ27"/>
    <mergeCell ref="AK27:AQ27"/>
    <mergeCell ref="AR27:AX27"/>
    <mergeCell ref="AY27:BE27"/>
    <mergeCell ref="EZ26:GA26"/>
    <mergeCell ref="GB26:HC26"/>
    <mergeCell ref="HD26:IE26"/>
    <mergeCell ref="IF26:JG26"/>
    <mergeCell ref="JH26:KI26"/>
    <mergeCell ref="KJ26:LK26"/>
    <mergeCell ref="C26:I26"/>
    <mergeCell ref="P26:AQ26"/>
    <mergeCell ref="AR26:BS26"/>
    <mergeCell ref="BT26:CU26"/>
    <mergeCell ref="CV26:DW26"/>
    <mergeCell ref="DX26:EY26"/>
    <mergeCell ref="IT27:IZ27"/>
    <mergeCell ref="JA27:JG27"/>
    <mergeCell ref="GB27:GH27"/>
    <mergeCell ref="GI27:GO27"/>
    <mergeCell ref="GP27:GV27"/>
    <mergeCell ref="GW27:HC27"/>
    <mergeCell ref="HD27:HJ27"/>
    <mergeCell ref="HK27:HQ27"/>
    <mergeCell ref="EL27:ER27"/>
    <mergeCell ref="ES27:EY27"/>
    <mergeCell ref="EZ27:FF27"/>
    <mergeCell ref="FG27:FM27"/>
    <mergeCell ref="FN27:FT27"/>
    <mergeCell ref="FU27:GA27"/>
    <mergeCell ref="CV27:DB27"/>
    <mergeCell ref="DC27:DI27"/>
    <mergeCell ref="DJ27:DP27"/>
    <mergeCell ref="DQ27:DW27"/>
    <mergeCell ref="DX27:ED27"/>
    <mergeCell ref="EE27:EK27"/>
    <mergeCell ref="OD27:OJ27"/>
    <mergeCell ref="OK27:OQ27"/>
    <mergeCell ref="H28:I28"/>
    <mergeCell ref="P28:V28"/>
    <mergeCell ref="W28:AC28"/>
    <mergeCell ref="AD28:AJ28"/>
    <mergeCell ref="AK28:AQ28"/>
    <mergeCell ref="AR28:AX28"/>
    <mergeCell ref="AY28:BE28"/>
    <mergeCell ref="BF28:BL28"/>
    <mergeCell ref="MN27:MT27"/>
    <mergeCell ref="MU27:NA27"/>
    <mergeCell ref="NB27:NH27"/>
    <mergeCell ref="NI27:NO27"/>
    <mergeCell ref="NP27:NV27"/>
    <mergeCell ref="NW27:OC27"/>
    <mergeCell ref="KX27:LD27"/>
    <mergeCell ref="LE27:LK27"/>
    <mergeCell ref="LL27:LR27"/>
    <mergeCell ref="LS27:LY27"/>
    <mergeCell ref="LZ27:MF27"/>
    <mergeCell ref="MG27:MM27"/>
    <mergeCell ref="JH27:JN27"/>
    <mergeCell ref="JO27:JU27"/>
    <mergeCell ref="JV27:KB27"/>
    <mergeCell ref="KC27:KI27"/>
    <mergeCell ref="KJ27:KP27"/>
    <mergeCell ref="KQ27:KW27"/>
    <mergeCell ref="HR27:HX27"/>
    <mergeCell ref="HY27:IE27"/>
    <mergeCell ref="IF27:IL27"/>
    <mergeCell ref="IM27:IS27"/>
    <mergeCell ref="ES28:EY28"/>
    <mergeCell ref="EZ28:FF28"/>
    <mergeCell ref="FG28:FM28"/>
    <mergeCell ref="FN28:FT28"/>
    <mergeCell ref="FU28:GA28"/>
    <mergeCell ref="GB28:GH28"/>
    <mergeCell ref="DC28:DI28"/>
    <mergeCell ref="DJ28:DP28"/>
    <mergeCell ref="DQ28:DW28"/>
    <mergeCell ref="DX28:ED28"/>
    <mergeCell ref="EE28:EK28"/>
    <mergeCell ref="EL28:ER28"/>
    <mergeCell ref="BM28:BS28"/>
    <mergeCell ref="BT28:BZ28"/>
    <mergeCell ref="CA28:CG28"/>
    <mergeCell ref="CH28:CN28"/>
    <mergeCell ref="CO28:CU28"/>
    <mergeCell ref="CV28:DB28"/>
    <mergeCell ref="JO28:JU28"/>
    <mergeCell ref="JV28:KB28"/>
    <mergeCell ref="KC28:KI28"/>
    <mergeCell ref="KJ28:KP28"/>
    <mergeCell ref="KQ28:KW28"/>
    <mergeCell ref="KX28:LD28"/>
    <mergeCell ref="HY28:IE28"/>
    <mergeCell ref="IF28:IL28"/>
    <mergeCell ref="IM28:IS28"/>
    <mergeCell ref="IT28:IZ28"/>
    <mergeCell ref="JA28:JG28"/>
    <mergeCell ref="JH28:JN28"/>
    <mergeCell ref="GI28:GO28"/>
    <mergeCell ref="GP28:GV28"/>
    <mergeCell ref="GW28:HC28"/>
    <mergeCell ref="HD28:HJ28"/>
    <mergeCell ref="HK28:HQ28"/>
    <mergeCell ref="HR28:HX28"/>
    <mergeCell ref="D32:K32"/>
    <mergeCell ref="P32:AQ32"/>
    <mergeCell ref="D33:K33"/>
    <mergeCell ref="P33:AQ33"/>
    <mergeCell ref="IF31:JG33"/>
    <mergeCell ref="JH31:KI33"/>
    <mergeCell ref="KJ31:LK33"/>
    <mergeCell ref="LL31:MM33"/>
    <mergeCell ref="MN31:NO33"/>
    <mergeCell ref="NP31:OQ33"/>
    <mergeCell ref="OK28:OQ28"/>
    <mergeCell ref="B31:C33"/>
    <mergeCell ref="D31:K31"/>
    <mergeCell ref="P31:AQ31"/>
    <mergeCell ref="BT31:CU33"/>
    <mergeCell ref="CV31:DW33"/>
    <mergeCell ref="DX31:EY33"/>
    <mergeCell ref="EZ31:GA33"/>
    <mergeCell ref="GB31:HC33"/>
    <mergeCell ref="HD31:IE33"/>
    <mergeCell ref="MU28:NA28"/>
    <mergeCell ref="NB28:NH28"/>
    <mergeCell ref="NI28:NO28"/>
    <mergeCell ref="NP28:NV28"/>
    <mergeCell ref="NW28:OC28"/>
    <mergeCell ref="OD28:OJ28"/>
    <mergeCell ref="LE28:LK28"/>
    <mergeCell ref="LL28:LR28"/>
    <mergeCell ref="LS28:LY28"/>
    <mergeCell ref="LZ28:MF28"/>
    <mergeCell ref="MG28:MM28"/>
    <mergeCell ref="MN28:MT28"/>
  </mergeCells>
  <conditionalFormatting sqref="F20">
    <cfRule type="expression" dxfId="346" priority="1" stopIfTrue="1">
      <formula>ABS($F16-$L19)&gt;=0.01</formula>
    </cfRule>
    <cfRule type="expression" dxfId="345" priority="2" stopIfTrue="1">
      <formula>ABS($F16-$L19)&lt;0.01</formula>
    </cfRule>
  </conditionalFormatting>
  <conditionalFormatting sqref="D20">
    <cfRule type="expression" dxfId="344" priority="3" stopIfTrue="1">
      <formula>D20="Pr: "&amp; D16</formula>
    </cfRule>
    <cfRule type="expression" dxfId="343" priority="4" stopIfTrue="1">
      <formula>O17=1</formula>
    </cfRule>
  </conditionalFormatting>
  <conditionalFormatting sqref="H28">
    <cfRule type="expression" dxfId="342" priority="5" stopIfTrue="1">
      <formula>$G$28&gt;0</formula>
    </cfRule>
  </conditionalFormatting>
  <conditionalFormatting sqref="H27">
    <cfRule type="expression" dxfId="341" priority="6" stopIfTrue="1">
      <formula>$G$27&lt;&gt;0</formula>
    </cfRule>
  </conditionalFormatting>
  <conditionalFormatting sqref="G21:G23">
    <cfRule type="cellIs" dxfId="340" priority="7" stopIfTrue="1" operator="equal">
      <formula>1</formula>
    </cfRule>
  </conditionalFormatting>
  <conditionalFormatting sqref="C20">
    <cfRule type="cellIs" dxfId="339" priority="8" stopIfTrue="1" operator="equal">
      <formula>"Falta:  0%,      $ 0"</formula>
    </cfRule>
    <cfRule type="cellIs" dxfId="338" priority="9" stopIfTrue="1" operator="notEqual">
      <formula>"Falta:  0%,      0"</formula>
    </cfRule>
  </conditionalFormatting>
  <conditionalFormatting sqref="P8 AD8 C7">
    <cfRule type="cellIs" dxfId="337" priority="10" stopIfTrue="1" operator="equal">
      <formula>"ESCRIBA AQUÍ EL NOMBRE DE LA OBRA"</formula>
    </cfRule>
  </conditionalFormatting>
  <conditionalFormatting sqref="P5:AQ5">
    <cfRule type="cellIs" dxfId="336" priority="11" stopIfTrue="1" operator="equal">
      <formula>"FIRMA CONSTRUCTORA"</formula>
    </cfRule>
  </conditionalFormatting>
  <conditionalFormatting sqref="P6:AQ6">
    <cfRule type="cellIs" dxfId="335" priority="12" stopIfTrue="1" operator="equal">
      <formula>"SUBTITULO"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1"/>
  <sheetViews>
    <sheetView topLeftCell="A39" workbookViewId="0">
      <selection activeCell="H58" sqref="H58"/>
    </sheetView>
  </sheetViews>
  <sheetFormatPr baseColWidth="10" defaultRowHeight="15"/>
  <cols>
    <col min="1" max="1" width="6.7109375" style="259" customWidth="1"/>
    <col min="2" max="2" width="45.7109375" customWidth="1"/>
    <col min="5" max="5" width="13.28515625" customWidth="1"/>
    <col min="7" max="7" width="11.42578125" style="852"/>
    <col min="8" max="8" width="7.42578125" style="852" customWidth="1"/>
    <col min="9" max="9" width="7" style="852" customWidth="1"/>
    <col min="10" max="10" width="11.42578125" style="852"/>
  </cols>
  <sheetData>
    <row r="1" spans="1:9" ht="15.75">
      <c r="A1" s="1880" t="s">
        <v>485</v>
      </c>
      <c r="B1" s="1880"/>
      <c r="C1" s="1880"/>
      <c r="D1" s="1880"/>
      <c r="E1" s="1880"/>
      <c r="F1" s="1880"/>
    </row>
    <row r="2" spans="1:9" ht="15.75">
      <c r="A2" s="1880" t="s">
        <v>486</v>
      </c>
      <c r="B2" s="1880"/>
      <c r="C2" s="1880"/>
      <c r="D2" s="1880"/>
      <c r="E2" s="1880"/>
      <c r="F2" s="1880"/>
    </row>
    <row r="3" spans="1:9" ht="15.75">
      <c r="A3" s="1880" t="str">
        <f>[1]Resumen!$A$11</f>
        <v>MUNICIPIO DE SANTANDER DE QUILICHAO - CAUCA</v>
      </c>
      <c r="B3" s="1880"/>
      <c r="C3" s="1880"/>
      <c r="D3" s="1880"/>
      <c r="E3" s="1880"/>
      <c r="F3" s="1880"/>
    </row>
    <row r="4" spans="1:9">
      <c r="B4" s="597" t="s">
        <v>495</v>
      </c>
    </row>
    <row r="5" spans="1:9" ht="15.75" thickBot="1"/>
    <row r="6" spans="1:9" ht="15.75" thickTop="1">
      <c r="A6" s="598" t="s">
        <v>20</v>
      </c>
      <c r="B6" s="599" t="s">
        <v>487</v>
      </c>
      <c r="C6" s="599" t="s">
        <v>488</v>
      </c>
      <c r="D6" s="599" t="s">
        <v>489</v>
      </c>
      <c r="E6" s="599" t="s">
        <v>490</v>
      </c>
      <c r="F6" s="600" t="s">
        <v>491</v>
      </c>
      <c r="H6" s="853"/>
      <c r="I6" s="853"/>
    </row>
    <row r="7" spans="1:9">
      <c r="A7" s="617"/>
      <c r="B7" s="620" t="s">
        <v>496</v>
      </c>
      <c r="C7" s="618">
        <v>2</v>
      </c>
      <c r="D7" s="618"/>
      <c r="E7" s="618"/>
      <c r="F7" s="619"/>
      <c r="H7" s="854" t="s">
        <v>524</v>
      </c>
      <c r="I7" s="854" t="s">
        <v>525</v>
      </c>
    </row>
    <row r="8" spans="1:9">
      <c r="A8" s="622">
        <v>1</v>
      </c>
      <c r="B8" s="602" t="s">
        <v>497</v>
      </c>
      <c r="C8" s="603" t="s">
        <v>56</v>
      </c>
      <c r="D8" s="603">
        <v>95</v>
      </c>
      <c r="E8" s="603">
        <v>17220</v>
      </c>
      <c r="F8" s="605"/>
      <c r="H8" s="852" t="s">
        <v>526</v>
      </c>
      <c r="I8" s="852">
        <f>0.6+0.15</f>
        <v>0.75</v>
      </c>
    </row>
    <row r="9" spans="1:9">
      <c r="A9" s="622">
        <v>2</v>
      </c>
      <c r="B9" s="595" t="s">
        <v>507</v>
      </c>
      <c r="C9" s="603" t="s">
        <v>56</v>
      </c>
      <c r="D9" s="596">
        <v>19.5</v>
      </c>
      <c r="E9" s="596">
        <v>73130</v>
      </c>
      <c r="F9" s="607"/>
      <c r="G9" s="852">
        <f>17.33+0.82+0.828+0.236</f>
        <v>19.213999999999999</v>
      </c>
      <c r="H9" s="855" t="s">
        <v>527</v>
      </c>
      <c r="I9" s="852">
        <f>0.7+0.2</f>
        <v>0.89999999999999991</v>
      </c>
    </row>
    <row r="10" spans="1:9">
      <c r="A10" s="622">
        <v>3</v>
      </c>
      <c r="B10" s="595" t="s">
        <v>521</v>
      </c>
      <c r="C10" s="603" t="s">
        <v>56</v>
      </c>
      <c r="D10" s="596">
        <v>26</v>
      </c>
      <c r="E10" s="606"/>
      <c r="F10" s="607"/>
      <c r="G10" s="852">
        <f>23.94+1.29+0.54</f>
        <v>25.77</v>
      </c>
      <c r="H10" s="855" t="s">
        <v>528</v>
      </c>
      <c r="I10" s="852">
        <f>0.25+0.9</f>
        <v>1.1499999999999999</v>
      </c>
    </row>
    <row r="11" spans="1:9">
      <c r="A11" s="622">
        <v>4</v>
      </c>
      <c r="B11" s="595" t="s">
        <v>532</v>
      </c>
      <c r="C11" s="603" t="s">
        <v>56</v>
      </c>
      <c r="D11" s="596">
        <v>9</v>
      </c>
      <c r="E11" s="606"/>
      <c r="F11" s="607"/>
      <c r="G11" s="852">
        <f>2.296+4.56+2.136</f>
        <v>8.9920000000000009</v>
      </c>
      <c r="H11" s="855" t="s">
        <v>529</v>
      </c>
      <c r="I11" s="852">
        <f>1.1+0.3</f>
        <v>1.4000000000000001</v>
      </c>
    </row>
    <row r="12" spans="1:9">
      <c r="A12" s="622">
        <v>5</v>
      </c>
      <c r="B12" s="595" t="s">
        <v>517</v>
      </c>
      <c r="C12" s="603" t="s">
        <v>56</v>
      </c>
      <c r="D12" s="596">
        <v>21</v>
      </c>
      <c r="E12" s="606"/>
      <c r="F12" s="607"/>
      <c r="H12" s="855"/>
    </row>
    <row r="13" spans="1:9">
      <c r="A13" s="622">
        <v>6</v>
      </c>
      <c r="B13" s="595" t="s">
        <v>522</v>
      </c>
      <c r="C13" s="603" t="s">
        <v>523</v>
      </c>
      <c r="D13" s="596"/>
      <c r="E13" s="606"/>
      <c r="F13" s="607"/>
    </row>
    <row r="14" spans="1:9">
      <c r="A14" s="622">
        <v>7</v>
      </c>
      <c r="B14" s="608"/>
      <c r="C14" s="603"/>
      <c r="D14" s="596"/>
      <c r="E14" s="606"/>
      <c r="F14" s="607"/>
    </row>
    <row r="15" spans="1:9">
      <c r="A15" s="622">
        <v>8</v>
      </c>
      <c r="B15" s="620" t="s">
        <v>530</v>
      </c>
      <c r="C15" s="618">
        <v>2</v>
      </c>
      <c r="D15" s="618"/>
      <c r="E15" s="618"/>
      <c r="F15" s="607"/>
    </row>
    <row r="16" spans="1:9">
      <c r="A16" s="622">
        <v>9</v>
      </c>
      <c r="B16" s="602" t="s">
        <v>497</v>
      </c>
      <c r="C16" s="603" t="s">
        <v>56</v>
      </c>
      <c r="D16" s="603">
        <v>65</v>
      </c>
      <c r="E16" s="603">
        <v>17220</v>
      </c>
      <c r="F16" s="619"/>
    </row>
    <row r="17" spans="1:7">
      <c r="A17" s="622">
        <v>10</v>
      </c>
      <c r="B17" s="595" t="s">
        <v>531</v>
      </c>
      <c r="C17" s="603" t="s">
        <v>56</v>
      </c>
      <c r="D17" s="596">
        <v>54</v>
      </c>
      <c r="E17" s="596">
        <v>73130</v>
      </c>
      <c r="F17" s="605"/>
    </row>
    <row r="18" spans="1:7">
      <c r="A18" s="622">
        <v>11</v>
      </c>
      <c r="B18" s="595" t="s">
        <v>521</v>
      </c>
      <c r="C18" s="603" t="s">
        <v>56</v>
      </c>
      <c r="D18" s="596">
        <v>154</v>
      </c>
      <c r="E18" s="606"/>
      <c r="F18" s="607"/>
    </row>
    <row r="19" spans="1:7">
      <c r="A19" s="622">
        <v>12</v>
      </c>
      <c r="B19" s="595" t="s">
        <v>517</v>
      </c>
      <c r="C19" s="603" t="s">
        <v>56</v>
      </c>
      <c r="D19" s="596">
        <v>2.72</v>
      </c>
      <c r="E19" s="606"/>
      <c r="F19" s="607"/>
      <c r="G19" s="852">
        <f>127.44+26.62</f>
        <v>154.06</v>
      </c>
    </row>
    <row r="20" spans="1:7">
      <c r="A20" s="622">
        <v>13</v>
      </c>
      <c r="B20" s="595" t="s">
        <v>522</v>
      </c>
      <c r="C20" s="603" t="s">
        <v>523</v>
      </c>
      <c r="D20" s="596"/>
      <c r="E20" s="606"/>
      <c r="F20" s="607"/>
      <c r="G20" s="852">
        <f>1.1+1.62</f>
        <v>2.72</v>
      </c>
    </row>
    <row r="21" spans="1:7">
      <c r="A21" s="622">
        <v>14</v>
      </c>
      <c r="F21" s="607"/>
    </row>
    <row r="22" spans="1:7">
      <c r="A22" s="627">
        <v>15</v>
      </c>
      <c r="B22" s="628" t="s">
        <v>533</v>
      </c>
      <c r="C22" s="629">
        <v>4</v>
      </c>
      <c r="D22" s="629"/>
      <c r="E22" s="629"/>
      <c r="F22" s="606"/>
    </row>
    <row r="23" spans="1:7">
      <c r="A23" s="627">
        <f>+A22+1</f>
        <v>16</v>
      </c>
      <c r="B23" s="602" t="s">
        <v>497</v>
      </c>
      <c r="C23" s="603" t="s">
        <v>56</v>
      </c>
      <c r="D23" s="603"/>
      <c r="E23" s="603">
        <v>17220</v>
      </c>
      <c r="F23" s="629"/>
    </row>
    <row r="24" spans="1:7">
      <c r="A24" s="627">
        <f t="shared" ref="A24:A53" si="0">+A23+1</f>
        <v>17</v>
      </c>
      <c r="B24" s="595" t="s">
        <v>507</v>
      </c>
      <c r="C24" s="603" t="s">
        <v>56</v>
      </c>
      <c r="D24" s="596"/>
      <c r="E24" s="596">
        <v>73130</v>
      </c>
      <c r="F24" s="605"/>
    </row>
    <row r="25" spans="1:7">
      <c r="A25" s="627">
        <f t="shared" si="0"/>
        <v>18</v>
      </c>
      <c r="B25" s="595" t="s">
        <v>521</v>
      </c>
      <c r="C25" s="603" t="s">
        <v>56</v>
      </c>
      <c r="D25" s="596"/>
      <c r="E25" s="606"/>
      <c r="F25" s="607"/>
    </row>
    <row r="26" spans="1:7">
      <c r="A26" s="627">
        <f t="shared" si="0"/>
        <v>19</v>
      </c>
      <c r="B26" s="595" t="s">
        <v>532</v>
      </c>
      <c r="C26" s="603" t="s">
        <v>56</v>
      </c>
      <c r="D26" s="596"/>
      <c r="E26" s="606"/>
      <c r="F26" s="607"/>
    </row>
    <row r="27" spans="1:7">
      <c r="A27" s="627">
        <f t="shared" si="0"/>
        <v>20</v>
      </c>
      <c r="B27" s="595" t="s">
        <v>517</v>
      </c>
      <c r="C27" s="603" t="s">
        <v>56</v>
      </c>
      <c r="D27" s="596"/>
      <c r="E27" s="606"/>
      <c r="F27" s="607"/>
    </row>
    <row r="28" spans="1:7">
      <c r="A28" s="627">
        <f t="shared" si="0"/>
        <v>21</v>
      </c>
      <c r="B28" s="595" t="s">
        <v>522</v>
      </c>
      <c r="C28" s="603" t="s">
        <v>523</v>
      </c>
      <c r="D28" s="596"/>
      <c r="E28" s="606"/>
      <c r="F28" s="607"/>
    </row>
    <row r="29" spans="1:7">
      <c r="A29" s="627">
        <f t="shared" si="0"/>
        <v>22</v>
      </c>
      <c r="F29" s="607"/>
    </row>
    <row r="30" spans="1:7">
      <c r="A30" s="627">
        <f t="shared" si="0"/>
        <v>23</v>
      </c>
      <c r="B30" s="628" t="s">
        <v>534</v>
      </c>
      <c r="C30" s="629">
        <v>1</v>
      </c>
      <c r="D30" s="629"/>
      <c r="E30" s="629"/>
      <c r="F30" s="629"/>
    </row>
    <row r="31" spans="1:7">
      <c r="A31" s="627">
        <f t="shared" si="0"/>
        <v>24</v>
      </c>
      <c r="B31" s="602" t="s">
        <v>497</v>
      </c>
      <c r="C31" s="603" t="s">
        <v>56</v>
      </c>
      <c r="D31" s="603"/>
      <c r="E31" s="603">
        <v>17220</v>
      </c>
      <c r="F31" s="605"/>
    </row>
    <row r="32" spans="1:7">
      <c r="A32" s="627">
        <f t="shared" si="0"/>
        <v>25</v>
      </c>
      <c r="B32" s="595" t="s">
        <v>507</v>
      </c>
      <c r="C32" s="603" t="s">
        <v>56</v>
      </c>
      <c r="D32" s="596"/>
      <c r="E32" s="596">
        <v>73130</v>
      </c>
      <c r="F32" s="607"/>
    </row>
    <row r="33" spans="1:6">
      <c r="A33" s="627">
        <f t="shared" si="0"/>
        <v>26</v>
      </c>
      <c r="B33" s="595" t="s">
        <v>521</v>
      </c>
      <c r="C33" s="603" t="s">
        <v>56</v>
      </c>
      <c r="D33" s="596"/>
      <c r="E33" s="606"/>
      <c r="F33" s="607"/>
    </row>
    <row r="34" spans="1:6">
      <c r="A34" s="627">
        <f t="shared" si="0"/>
        <v>27</v>
      </c>
      <c r="B34" s="595" t="s">
        <v>532</v>
      </c>
      <c r="C34" s="603" t="s">
        <v>56</v>
      </c>
      <c r="D34" s="596"/>
      <c r="E34" s="606"/>
      <c r="F34" s="607"/>
    </row>
    <row r="35" spans="1:6">
      <c r="A35" s="627">
        <f t="shared" si="0"/>
        <v>28</v>
      </c>
      <c r="B35" s="595" t="s">
        <v>517</v>
      </c>
      <c r="C35" s="603" t="s">
        <v>56</v>
      </c>
      <c r="D35" s="596"/>
      <c r="E35" s="606"/>
      <c r="F35" s="607"/>
    </row>
    <row r="36" spans="1:6">
      <c r="A36" s="627">
        <f t="shared" si="0"/>
        <v>29</v>
      </c>
      <c r="B36" s="595" t="s">
        <v>522</v>
      </c>
      <c r="C36" s="603" t="s">
        <v>523</v>
      </c>
      <c r="D36" s="596"/>
      <c r="E36" s="606"/>
      <c r="F36" s="607"/>
    </row>
    <row r="37" spans="1:6">
      <c r="A37" s="627">
        <f t="shared" si="0"/>
        <v>30</v>
      </c>
      <c r="F37" s="629"/>
    </row>
    <row r="38" spans="1:6">
      <c r="A38" s="627">
        <f t="shared" si="0"/>
        <v>31</v>
      </c>
      <c r="B38" s="628" t="s">
        <v>535</v>
      </c>
      <c r="C38" s="629">
        <v>1</v>
      </c>
      <c r="D38" s="629"/>
      <c r="E38" s="629"/>
      <c r="F38" s="605"/>
    </row>
    <row r="39" spans="1:6">
      <c r="A39" s="627">
        <f t="shared" si="0"/>
        <v>32</v>
      </c>
      <c r="B39" s="602" t="s">
        <v>497</v>
      </c>
      <c r="C39" s="603" t="s">
        <v>56</v>
      </c>
      <c r="D39" s="603"/>
      <c r="E39" s="603">
        <v>17220</v>
      </c>
      <c r="F39" s="607"/>
    </row>
    <row r="40" spans="1:6">
      <c r="A40" s="627">
        <f t="shared" si="0"/>
        <v>33</v>
      </c>
      <c r="B40" s="595" t="s">
        <v>507</v>
      </c>
      <c r="C40" s="603" t="s">
        <v>56</v>
      </c>
      <c r="D40" s="596"/>
      <c r="E40" s="596">
        <v>73130</v>
      </c>
      <c r="F40" s="607"/>
    </row>
    <row r="41" spans="1:6">
      <c r="A41" s="627">
        <f t="shared" si="0"/>
        <v>34</v>
      </c>
      <c r="B41" s="595" t="s">
        <v>521</v>
      </c>
      <c r="C41" s="603" t="s">
        <v>56</v>
      </c>
      <c r="D41" s="596"/>
      <c r="E41" s="606"/>
      <c r="F41" s="607"/>
    </row>
    <row r="42" spans="1:6">
      <c r="A42" s="627">
        <f t="shared" si="0"/>
        <v>35</v>
      </c>
      <c r="B42" s="595" t="s">
        <v>532</v>
      </c>
      <c r="C42" s="603" t="s">
        <v>56</v>
      </c>
      <c r="D42" s="596"/>
      <c r="E42" s="606"/>
      <c r="F42" s="607"/>
    </row>
    <row r="43" spans="1:6">
      <c r="A43" s="627">
        <f t="shared" si="0"/>
        <v>36</v>
      </c>
      <c r="B43" s="595" t="s">
        <v>517</v>
      </c>
      <c r="C43" s="603" t="s">
        <v>56</v>
      </c>
      <c r="D43" s="596"/>
      <c r="E43" s="606"/>
      <c r="F43" s="607"/>
    </row>
    <row r="44" spans="1:6">
      <c r="A44" s="627">
        <f t="shared" si="0"/>
        <v>37</v>
      </c>
      <c r="B44" s="595" t="s">
        <v>522</v>
      </c>
      <c r="C44" s="603" t="s">
        <v>523</v>
      </c>
      <c r="D44" s="596"/>
      <c r="E44" s="606"/>
      <c r="F44" s="629"/>
    </row>
    <row r="45" spans="1:6">
      <c r="A45" s="627">
        <f t="shared" si="0"/>
        <v>38</v>
      </c>
      <c r="F45" s="605"/>
    </row>
    <row r="46" spans="1:6">
      <c r="A46" s="627">
        <f t="shared" si="0"/>
        <v>39</v>
      </c>
      <c r="B46" s="628" t="s">
        <v>478</v>
      </c>
      <c r="C46" s="629">
        <v>1</v>
      </c>
      <c r="D46" s="629"/>
      <c r="E46" s="629"/>
      <c r="F46" s="607"/>
    </row>
    <row r="47" spans="1:6">
      <c r="A47" s="627">
        <f t="shared" si="0"/>
        <v>40</v>
      </c>
      <c r="B47" s="602" t="s">
        <v>497</v>
      </c>
      <c r="C47" s="603" t="s">
        <v>56</v>
      </c>
      <c r="D47" s="603"/>
      <c r="E47" s="603">
        <v>17220</v>
      </c>
      <c r="F47" s="607"/>
    </row>
    <row r="48" spans="1:6">
      <c r="A48" s="627">
        <f t="shared" si="0"/>
        <v>41</v>
      </c>
      <c r="B48" s="595" t="s">
        <v>507</v>
      </c>
      <c r="C48" s="603" t="s">
        <v>56</v>
      </c>
      <c r="D48" s="596"/>
      <c r="E48" s="596">
        <v>73130</v>
      </c>
      <c r="F48" s="607"/>
    </row>
    <row r="49" spans="1:6">
      <c r="A49" s="627">
        <f t="shared" si="0"/>
        <v>42</v>
      </c>
      <c r="B49" s="595" t="s">
        <v>521</v>
      </c>
      <c r="C49" s="603" t="s">
        <v>56</v>
      </c>
      <c r="D49" s="596"/>
      <c r="E49" s="606"/>
      <c r="F49" s="607"/>
    </row>
    <row r="50" spans="1:6">
      <c r="A50" s="627">
        <f t="shared" si="0"/>
        <v>43</v>
      </c>
      <c r="B50" s="595" t="s">
        <v>532</v>
      </c>
      <c r="C50" s="603" t="s">
        <v>56</v>
      </c>
      <c r="D50" s="596"/>
      <c r="E50" s="606"/>
      <c r="F50" s="607"/>
    </row>
    <row r="51" spans="1:6">
      <c r="A51" s="627">
        <f t="shared" si="0"/>
        <v>44</v>
      </c>
      <c r="B51" s="595" t="s">
        <v>517</v>
      </c>
      <c r="C51" s="603" t="s">
        <v>56</v>
      </c>
      <c r="D51" s="596"/>
      <c r="E51" s="606"/>
      <c r="F51" s="595"/>
    </row>
    <row r="52" spans="1:6">
      <c r="A52" s="627">
        <f t="shared" si="0"/>
        <v>45</v>
      </c>
      <c r="B52" s="595" t="s">
        <v>522</v>
      </c>
      <c r="C52" s="603" t="s">
        <v>523</v>
      </c>
      <c r="D52" s="596"/>
      <c r="E52" s="606"/>
      <c r="F52" s="595"/>
    </row>
    <row r="53" spans="1:6">
      <c r="A53" s="627">
        <f t="shared" si="0"/>
        <v>46</v>
      </c>
      <c r="B53" s="595"/>
      <c r="C53" s="595"/>
      <c r="D53" s="595"/>
      <c r="E53" s="595"/>
      <c r="F53" s="595"/>
    </row>
    <row r="54" spans="1:6">
      <c r="A54" s="627">
        <f t="shared" ref="A54:A61" si="1">+A53+1</f>
        <v>47</v>
      </c>
      <c r="B54" s="628" t="s">
        <v>536</v>
      </c>
      <c r="C54" s="629">
        <v>4</v>
      </c>
      <c r="D54" s="629"/>
      <c r="E54" s="629"/>
      <c r="F54" s="607"/>
    </row>
    <row r="55" spans="1:6">
      <c r="A55" s="627">
        <f t="shared" si="1"/>
        <v>48</v>
      </c>
      <c r="B55" s="602" t="s">
        <v>497</v>
      </c>
      <c r="C55" s="603" t="s">
        <v>56</v>
      </c>
      <c r="D55" s="603"/>
      <c r="E55" s="603">
        <v>17220</v>
      </c>
      <c r="F55" s="607"/>
    </row>
    <row r="56" spans="1:6">
      <c r="A56" s="627">
        <f t="shared" si="1"/>
        <v>49</v>
      </c>
      <c r="B56" s="595" t="s">
        <v>507</v>
      </c>
      <c r="C56" s="603" t="s">
        <v>56</v>
      </c>
      <c r="D56" s="596"/>
      <c r="E56" s="596">
        <v>73130</v>
      </c>
      <c r="F56" s="607"/>
    </row>
    <row r="57" spans="1:6">
      <c r="A57" s="627">
        <f t="shared" si="1"/>
        <v>50</v>
      </c>
      <c r="B57" s="595" t="s">
        <v>521</v>
      </c>
      <c r="C57" s="603" t="s">
        <v>56</v>
      </c>
      <c r="D57" s="596"/>
      <c r="E57" s="606"/>
      <c r="F57" s="607"/>
    </row>
    <row r="58" spans="1:6">
      <c r="A58" s="627">
        <f t="shared" si="1"/>
        <v>51</v>
      </c>
      <c r="B58" s="595" t="s">
        <v>532</v>
      </c>
      <c r="C58" s="603" t="s">
        <v>56</v>
      </c>
      <c r="D58" s="596"/>
      <c r="E58" s="606"/>
      <c r="F58" s="607"/>
    </row>
    <row r="59" spans="1:6">
      <c r="A59" s="627">
        <f t="shared" si="1"/>
        <v>52</v>
      </c>
      <c r="B59" s="595" t="s">
        <v>517</v>
      </c>
      <c r="C59" s="603" t="s">
        <v>56</v>
      </c>
      <c r="D59" s="596"/>
      <c r="E59" s="606"/>
      <c r="F59" s="595"/>
    </row>
    <row r="60" spans="1:6">
      <c r="A60" s="627">
        <f t="shared" si="1"/>
        <v>53</v>
      </c>
      <c r="B60" s="595" t="s">
        <v>522</v>
      </c>
      <c r="C60" s="603" t="s">
        <v>523</v>
      </c>
      <c r="D60" s="596"/>
      <c r="E60" s="606"/>
      <c r="F60" s="595"/>
    </row>
    <row r="61" spans="1:6">
      <c r="A61" s="627">
        <f t="shared" si="1"/>
        <v>54</v>
      </c>
      <c r="B61" s="595"/>
      <c r="C61" s="595"/>
      <c r="D61" s="595"/>
      <c r="E61" s="595"/>
      <c r="F61" s="595"/>
    </row>
  </sheetData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Q492"/>
  <sheetViews>
    <sheetView showGridLines="0" topLeftCell="B130" zoomScale="85" zoomScaleNormal="85" workbookViewId="0">
      <pane xSplit="1" topLeftCell="C1" activePane="topRight" state="frozen"/>
      <selection activeCell="B6" sqref="B6"/>
      <selection pane="topRight" activeCell="X147" sqref="X147"/>
    </sheetView>
  </sheetViews>
  <sheetFormatPr baseColWidth="10" defaultRowHeight="15"/>
  <cols>
    <col min="1" max="1" width="0" style="917" hidden="1" customWidth="1"/>
    <col min="2" max="2" width="9.140625" style="917" customWidth="1"/>
    <col min="3" max="3" width="44" style="917" customWidth="1"/>
    <col min="4" max="4" width="6.140625" style="917" customWidth="1"/>
    <col min="5" max="5" width="9" style="917" customWidth="1"/>
    <col min="6" max="6" width="12.28515625" style="917" bestFit="1" customWidth="1"/>
    <col min="7" max="7" width="19.5703125" style="917" customWidth="1"/>
    <col min="8" max="11" width="11.42578125" style="917" hidden="1" customWidth="1"/>
    <col min="12" max="12" width="17.42578125" style="917" hidden="1" customWidth="1"/>
    <col min="13" max="13" width="16.42578125" style="917" hidden="1" customWidth="1"/>
    <col min="14" max="14" width="15.140625" style="917" hidden="1" customWidth="1"/>
    <col min="15" max="15" width="3.85546875" style="917" hidden="1" customWidth="1"/>
    <col min="16" max="18" width="11.42578125" style="917" hidden="1" customWidth="1"/>
    <col min="19" max="19" width="15.140625" style="917" hidden="1" customWidth="1"/>
    <col min="20" max="21" width="11.42578125" style="917" hidden="1" customWidth="1"/>
    <col min="22" max="22" width="1.85546875" style="917" hidden="1" customWidth="1"/>
    <col min="23" max="23" width="19.28515625" style="917" customWidth="1"/>
    <col min="24" max="24" width="16.5703125" style="917" customWidth="1"/>
    <col min="25" max="25" width="11.42578125" style="419"/>
    <col min="26" max="26" width="13.7109375" style="419" customWidth="1"/>
    <col min="27" max="27" width="17" style="419" customWidth="1"/>
    <col min="28" max="28" width="17.42578125" style="419" customWidth="1"/>
    <col min="29" max="29" width="10.28515625" style="917" customWidth="1"/>
    <col min="30" max="31" width="11.42578125" style="917"/>
    <col min="32" max="32" width="11.42578125" style="917" customWidth="1"/>
    <col min="33" max="92" width="11.42578125" style="917"/>
    <col min="93" max="95" width="0" style="917" hidden="1" customWidth="1"/>
    <col min="96" max="16384" width="11.42578125" style="917"/>
  </cols>
  <sheetData>
    <row r="1" spans="1:95" s="19" customFormat="1" ht="12" hidden="1" customHeight="1" thickTop="1">
      <c r="A1" s="1"/>
      <c r="B1" s="2">
        <v>2012.2</v>
      </c>
      <c r="C1" s="3"/>
      <c r="D1" s="4"/>
      <c r="E1" s="1885" t="s">
        <v>0</v>
      </c>
      <c r="F1" s="1885"/>
      <c r="G1" s="5">
        <v>408578100</v>
      </c>
      <c r="H1" s="6" t="s">
        <v>1</v>
      </c>
      <c r="I1" s="6" t="s">
        <v>2</v>
      </c>
      <c r="J1" s="7" t="s">
        <v>3</v>
      </c>
      <c r="K1" s="7" t="s">
        <v>4</v>
      </c>
      <c r="L1" s="6" t="s">
        <v>5</v>
      </c>
      <c r="M1" s="6" t="s">
        <v>6</v>
      </c>
      <c r="N1" s="8" t="s">
        <v>7</v>
      </c>
      <c r="O1" s="9" t="s">
        <v>6</v>
      </c>
      <c r="P1" s="10"/>
      <c r="Q1" s="10"/>
      <c r="R1" s="10"/>
      <c r="S1" s="10"/>
      <c r="T1" s="10"/>
      <c r="U1" s="11"/>
      <c r="V1" s="12"/>
      <c r="W1" s="13"/>
      <c r="X1" s="14" t="s">
        <v>8</v>
      </c>
      <c r="Y1" s="16"/>
      <c r="Z1" s="16"/>
      <c r="AA1" s="16"/>
      <c r="AB1" s="16"/>
      <c r="AC1" s="17"/>
      <c r="AD1" s="18"/>
      <c r="AE1" s="18"/>
      <c r="AF1" s="18"/>
      <c r="AG1" s="18"/>
      <c r="AH1" s="18"/>
      <c r="BI1" s="20"/>
      <c r="BJ1" s="21"/>
      <c r="BK1" s="22"/>
      <c r="BL1" s="23"/>
      <c r="BM1" s="24"/>
      <c r="BN1" s="25">
        <v>0</v>
      </c>
      <c r="BO1" s="26">
        <v>0</v>
      </c>
      <c r="BP1" s="27"/>
      <c r="BQ1" s="25"/>
      <c r="BR1" s="25">
        <v>1</v>
      </c>
      <c r="BS1" s="25"/>
      <c r="BT1" s="28">
        <v>0</v>
      </c>
      <c r="BU1" s="29">
        <v>0</v>
      </c>
      <c r="BV1" s="29">
        <v>0</v>
      </c>
      <c r="CO1" s="19" t="s">
        <v>9</v>
      </c>
      <c r="CQ1" s="19">
        <v>0</v>
      </c>
    </row>
    <row r="2" spans="1:95" s="19" customFormat="1" ht="12" hidden="1" customHeight="1" thickBot="1">
      <c r="A2" s="1" t="s">
        <v>6</v>
      </c>
      <c r="B2" s="30" t="s">
        <v>6</v>
      </c>
      <c r="C2" s="31"/>
      <c r="D2" s="32"/>
      <c r="E2" s="1886"/>
      <c r="F2" s="1886"/>
      <c r="G2" s="33" t="s">
        <v>10</v>
      </c>
      <c r="H2" s="34">
        <v>2</v>
      </c>
      <c r="I2" s="34">
        <v>3</v>
      </c>
      <c r="J2" s="34"/>
      <c r="K2" s="34"/>
      <c r="L2" s="34"/>
      <c r="M2" s="34"/>
      <c r="N2" s="35">
        <v>1</v>
      </c>
      <c r="O2" s="36"/>
      <c r="P2" s="37"/>
      <c r="Q2" s="37"/>
      <c r="R2" s="37"/>
      <c r="S2" s="37"/>
      <c r="T2" s="37"/>
      <c r="U2" s="37"/>
      <c r="V2" s="12"/>
      <c r="W2" s="15"/>
      <c r="X2" s="15"/>
      <c r="Y2" s="16"/>
      <c r="Z2" s="16"/>
      <c r="AA2" s="16"/>
      <c r="AB2" s="16"/>
      <c r="AC2" s="38"/>
      <c r="AD2" s="38"/>
      <c r="AE2" s="38"/>
      <c r="AF2" s="38"/>
      <c r="AG2" s="38"/>
      <c r="AH2" s="38"/>
    </row>
    <row r="3" spans="1:95" s="45" customFormat="1" ht="21" customHeight="1" thickTop="1">
      <c r="A3" s="39"/>
      <c r="B3" s="1887"/>
      <c r="C3" s="1888"/>
      <c r="D3" s="1888"/>
      <c r="E3" s="1889" t="s">
        <v>12</v>
      </c>
      <c r="F3" s="1890"/>
      <c r="G3" s="1891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1"/>
      <c r="V3" s="12"/>
      <c r="W3" s="42"/>
      <c r="X3" s="42"/>
      <c r="Y3" s="43"/>
      <c r="Z3" s="43"/>
      <c r="AA3" s="43"/>
      <c r="AB3" s="43"/>
      <c r="AC3" s="44"/>
      <c r="AD3" s="44"/>
      <c r="AE3" s="44"/>
      <c r="AF3" s="44"/>
      <c r="AG3" s="44"/>
      <c r="AH3" s="44"/>
    </row>
    <row r="4" spans="1:95" s="45" customFormat="1" ht="21" customHeight="1">
      <c r="A4" s="39"/>
      <c r="B4" s="1892"/>
      <c r="C4" s="1893"/>
      <c r="D4" s="1893"/>
      <c r="E4" s="1894" t="s">
        <v>14</v>
      </c>
      <c r="F4" s="1895"/>
      <c r="G4" s="1896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1"/>
      <c r="V4" s="12"/>
      <c r="W4" s="42"/>
      <c r="X4" s="42"/>
      <c r="Y4" s="43"/>
      <c r="Z4" s="43"/>
      <c r="AA4" s="43"/>
      <c r="AB4" s="43"/>
      <c r="AC4" s="44"/>
      <c r="AD4" s="44"/>
      <c r="AE4" s="44"/>
      <c r="AF4" s="44"/>
      <c r="AG4" s="44"/>
      <c r="AH4" s="44"/>
    </row>
    <row r="5" spans="1:95" s="45" customFormat="1" ht="15" customHeight="1" thickBot="1">
      <c r="A5" s="39"/>
      <c r="B5" s="1897" t="s">
        <v>15</v>
      </c>
      <c r="C5" s="1899" t="s">
        <v>480</v>
      </c>
      <c r="D5" s="1900"/>
      <c r="E5" s="1901"/>
      <c r="F5" s="46" t="s">
        <v>17</v>
      </c>
      <c r="G5" s="47">
        <v>41751</v>
      </c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9"/>
      <c r="V5" s="12"/>
      <c r="W5" s="42"/>
      <c r="X5" s="42"/>
      <c r="Y5" s="43"/>
      <c r="Z5" s="43"/>
      <c r="AA5" s="43"/>
      <c r="AB5" s="43"/>
      <c r="AC5" s="44"/>
      <c r="AD5" s="44"/>
      <c r="AE5" s="44"/>
      <c r="AF5" s="44"/>
      <c r="AG5" s="44"/>
      <c r="AH5" s="44"/>
    </row>
    <row r="6" spans="1:95" s="45" customFormat="1" ht="21" customHeight="1" thickBot="1">
      <c r="A6" s="39"/>
      <c r="B6" s="1898"/>
      <c r="C6" s="1902"/>
      <c r="D6" s="1903"/>
      <c r="E6" s="1904"/>
      <c r="F6" s="1905"/>
      <c r="G6" s="1906"/>
      <c r="H6" s="50"/>
      <c r="I6" s="50"/>
      <c r="J6" s="50"/>
      <c r="K6" s="50"/>
      <c r="L6" s="50"/>
      <c r="M6" s="50"/>
      <c r="N6" s="50"/>
      <c r="O6" s="50"/>
      <c r="P6" s="1881" t="s">
        <v>18</v>
      </c>
      <c r="Q6" s="1882"/>
      <c r="R6" s="1882"/>
      <c r="S6" s="1882"/>
      <c r="T6" s="1883"/>
      <c r="U6" s="51"/>
      <c r="V6" s="12"/>
      <c r="W6" s="42"/>
      <c r="X6" s="42"/>
      <c r="Y6" s="43"/>
      <c r="Z6" s="43"/>
      <c r="AA6" s="43"/>
      <c r="AB6" s="43"/>
      <c r="AC6" s="44"/>
      <c r="AD6" s="44"/>
      <c r="AE6" s="44"/>
      <c r="AF6" s="44"/>
      <c r="AG6" s="44"/>
      <c r="AH6" s="44"/>
    </row>
    <row r="7" spans="1:95" s="45" customFormat="1" ht="20.100000000000001" customHeight="1" thickTop="1">
      <c r="A7" s="39"/>
      <c r="B7" s="52"/>
      <c r="C7" s="53"/>
      <c r="D7" s="54"/>
      <c r="E7" s="55"/>
      <c r="F7" s="52"/>
      <c r="G7" s="56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8"/>
      <c r="V7" s="12"/>
      <c r="Y7" s="44"/>
      <c r="Z7" s="44"/>
      <c r="AA7" s="44"/>
      <c r="AB7" s="44"/>
    </row>
    <row r="8" spans="1:95" s="45" customFormat="1" ht="15.75" customHeight="1">
      <c r="A8" s="59" t="s">
        <v>19</v>
      </c>
      <c r="B8" s="60" t="s">
        <v>20</v>
      </c>
      <c r="C8" s="60" t="s">
        <v>21</v>
      </c>
      <c r="D8" s="60" t="s">
        <v>22</v>
      </c>
      <c r="E8" s="60" t="s">
        <v>23</v>
      </c>
      <c r="F8" s="60" t="s">
        <v>24</v>
      </c>
      <c r="G8" s="61" t="s">
        <v>25</v>
      </c>
      <c r="H8" s="62" t="s">
        <v>26</v>
      </c>
      <c r="I8" s="62" t="s">
        <v>27</v>
      </c>
      <c r="J8" s="62" t="s">
        <v>28</v>
      </c>
      <c r="K8" s="62" t="s">
        <v>29</v>
      </c>
      <c r="L8" s="62" t="s">
        <v>30</v>
      </c>
      <c r="M8" s="62" t="s">
        <v>31</v>
      </c>
      <c r="N8" s="63" t="s">
        <v>32</v>
      </c>
      <c r="O8" s="57"/>
      <c r="P8" s="64" t="s">
        <v>33</v>
      </c>
      <c r="Q8" s="64" t="s">
        <v>34</v>
      </c>
      <c r="R8" s="64" t="s">
        <v>35</v>
      </c>
      <c r="S8" s="64" t="s">
        <v>36</v>
      </c>
      <c r="T8" s="65" t="s">
        <v>37</v>
      </c>
      <c r="U8" s="58"/>
      <c r="V8" s="12"/>
      <c r="Y8" s="44"/>
      <c r="Z8" s="44"/>
      <c r="AA8" s="44"/>
      <c r="AB8" s="44"/>
    </row>
    <row r="9" spans="1:95" s="45" customFormat="1" ht="14.25" customHeight="1" thickBot="1">
      <c r="A9" s="66"/>
      <c r="B9" s="67"/>
      <c r="C9" s="68"/>
      <c r="D9" s="69"/>
      <c r="E9" s="70"/>
      <c r="F9" s="67"/>
      <c r="G9" s="71"/>
      <c r="H9" s="917"/>
      <c r="I9" s="917"/>
      <c r="J9" s="917"/>
      <c r="K9" s="917"/>
      <c r="L9" s="917"/>
      <c r="M9" s="917"/>
      <c r="N9" s="917"/>
      <c r="O9" s="917"/>
      <c r="P9" s="917"/>
      <c r="Q9" s="917"/>
      <c r="R9" s="917"/>
      <c r="S9" s="917"/>
      <c r="T9" s="917"/>
      <c r="U9" s="917"/>
      <c r="V9" s="72"/>
      <c r="Y9" s="44"/>
      <c r="Z9" s="44"/>
      <c r="AA9" s="44"/>
      <c r="AB9" s="44"/>
    </row>
    <row r="10" spans="1:95" s="45" customFormat="1" ht="23.1" hidden="1" customHeight="1">
      <c r="A10" s="66"/>
      <c r="B10" s="67"/>
      <c r="C10" s="68"/>
      <c r="D10" s="69"/>
      <c r="E10" s="70"/>
      <c r="F10" s="67"/>
      <c r="G10" s="71"/>
      <c r="H10" s="917"/>
      <c r="I10" s="917"/>
      <c r="J10" s="917"/>
      <c r="K10" s="917"/>
      <c r="L10" s="917"/>
      <c r="M10" s="917"/>
      <c r="N10" s="917"/>
      <c r="O10" s="917"/>
      <c r="P10" s="917"/>
      <c r="Q10" s="917"/>
      <c r="R10" s="917"/>
      <c r="S10" s="917"/>
      <c r="T10" s="917"/>
      <c r="U10" s="917"/>
      <c r="V10" s="72"/>
      <c r="Y10" s="44"/>
      <c r="Z10" s="44"/>
      <c r="AA10" s="44"/>
      <c r="AB10" s="44"/>
    </row>
    <row r="11" spans="1:95" s="45" customFormat="1" ht="12.75" hidden="1" customHeight="1">
      <c r="A11" s="73" t="s">
        <v>38</v>
      </c>
      <c r="B11" s="74"/>
      <c r="C11" s="75" t="s">
        <v>39</v>
      </c>
      <c r="D11" s="76"/>
      <c r="E11" s="76"/>
      <c r="F11" s="76"/>
      <c r="G11" s="77">
        <f>+G16</f>
        <v>1224780</v>
      </c>
      <c r="H11" s="19"/>
      <c r="I11" s="19"/>
      <c r="J11" s="19"/>
      <c r="K11" s="19"/>
      <c r="L11" s="19"/>
      <c r="M11" s="19"/>
      <c r="N11" s="78">
        <v>689000</v>
      </c>
      <c r="O11" s="79"/>
      <c r="P11" s="80"/>
      <c r="Q11" s="81"/>
      <c r="R11" s="81"/>
      <c r="S11" s="82"/>
      <c r="T11" s="83"/>
      <c r="U11" s="79">
        <v>0</v>
      </c>
      <c r="V11" s="12" t="s">
        <v>9</v>
      </c>
      <c r="Y11" s="44"/>
      <c r="Z11" s="44"/>
      <c r="AA11" s="44"/>
      <c r="AB11" s="44"/>
    </row>
    <row r="12" spans="1:95" s="45" customFormat="1" ht="12.75" hidden="1" customHeight="1">
      <c r="A12" s="84" t="s">
        <v>40</v>
      </c>
      <c r="B12" s="85"/>
      <c r="C12" s="86"/>
      <c r="D12" s="87"/>
      <c r="E12" s="88"/>
      <c r="F12" s="89"/>
      <c r="G12" s="90"/>
      <c r="H12" s="91"/>
      <c r="I12" s="89"/>
      <c r="J12" s="89"/>
      <c r="K12" s="89"/>
      <c r="L12" s="92"/>
      <c r="M12" s="93"/>
      <c r="N12" s="94"/>
      <c r="O12" s="95"/>
      <c r="P12" s="96"/>
      <c r="Q12" s="97"/>
      <c r="R12" s="97"/>
      <c r="S12" s="98"/>
      <c r="T12" s="99"/>
      <c r="U12" s="79"/>
      <c r="V12" s="72"/>
      <c r="Y12" s="44"/>
      <c r="Z12" s="44"/>
      <c r="AA12" s="44"/>
      <c r="AB12" s="44"/>
    </row>
    <row r="13" spans="1:95" s="45" customFormat="1" ht="15.75" hidden="1" thickBot="1">
      <c r="A13" s="100" t="s">
        <v>41</v>
      </c>
      <c r="B13" s="101"/>
      <c r="C13" s="102" t="s">
        <v>42</v>
      </c>
      <c r="D13" s="574" t="s">
        <v>43</v>
      </c>
      <c r="E13" s="103">
        <v>298</v>
      </c>
      <c r="F13" s="25">
        <v>2760</v>
      </c>
      <c r="G13" s="26">
        <f>+F13*E13</f>
        <v>822480</v>
      </c>
      <c r="H13" s="27">
        <v>1300</v>
      </c>
      <c r="I13" s="25">
        <v>1726</v>
      </c>
      <c r="J13" s="25">
        <v>1</v>
      </c>
      <c r="K13" s="25">
        <v>1</v>
      </c>
      <c r="L13" s="28">
        <v>448760</v>
      </c>
      <c r="M13" s="29">
        <v>338000</v>
      </c>
      <c r="N13" s="29">
        <v>338000</v>
      </c>
      <c r="O13" s="95"/>
      <c r="P13" s="96"/>
      <c r="Q13" s="97">
        <v>13369</v>
      </c>
      <c r="R13" s="97">
        <v>267417</v>
      </c>
      <c r="S13" s="98">
        <v>57200</v>
      </c>
      <c r="T13" s="99"/>
      <c r="U13" s="79"/>
      <c r="V13" s="72">
        <v>10</v>
      </c>
      <c r="Y13" s="44"/>
      <c r="Z13" s="44"/>
      <c r="AA13" s="44"/>
      <c r="AB13" s="44"/>
    </row>
    <row r="14" spans="1:95" s="45" customFormat="1" ht="15.75" hidden="1" thickBot="1">
      <c r="A14" s="100" t="s">
        <v>44</v>
      </c>
      <c r="B14" s="101"/>
      <c r="C14" s="102" t="s">
        <v>45</v>
      </c>
      <c r="D14" s="104" t="s">
        <v>43</v>
      </c>
      <c r="E14" s="103">
        <v>298</v>
      </c>
      <c r="F14" s="25">
        <v>1350</v>
      </c>
      <c r="G14" s="26">
        <f t="shared" ref="G14" si="0">+F14*E14</f>
        <v>402300</v>
      </c>
      <c r="H14" s="27">
        <v>1350</v>
      </c>
      <c r="I14" s="25">
        <v>1793</v>
      </c>
      <c r="J14" s="25">
        <v>1</v>
      </c>
      <c r="K14" s="25"/>
      <c r="L14" s="28">
        <v>466180</v>
      </c>
      <c r="M14" s="29">
        <v>351000</v>
      </c>
      <c r="N14" s="29">
        <v>351000</v>
      </c>
      <c r="O14" s="95"/>
      <c r="P14" s="96"/>
      <c r="Q14" s="97">
        <v>351003</v>
      </c>
      <c r="R14" s="97"/>
      <c r="S14" s="98"/>
      <c r="T14" s="99"/>
      <c r="U14" s="79"/>
      <c r="V14" s="72">
        <v>11</v>
      </c>
      <c r="Y14" s="44"/>
      <c r="Z14" s="44"/>
      <c r="AA14" s="44"/>
      <c r="AB14" s="44"/>
    </row>
    <row r="15" spans="1:95" s="45" customFormat="1" ht="15.75" hidden="1" thickBot="1">
      <c r="A15" s="105"/>
      <c r="B15" s="106"/>
      <c r="C15" s="22"/>
      <c r="D15" s="23"/>
      <c r="E15" s="107"/>
      <c r="F15" s="25"/>
      <c r="G15" s="108"/>
      <c r="H15" s="27"/>
      <c r="I15" s="25"/>
      <c r="J15" s="25"/>
      <c r="K15" s="25"/>
      <c r="L15" s="109"/>
      <c r="M15" s="110"/>
      <c r="N15" s="111"/>
      <c r="O15" s="95"/>
      <c r="P15" s="96"/>
      <c r="Q15" s="97"/>
      <c r="R15" s="97"/>
      <c r="S15" s="98"/>
      <c r="T15" s="99"/>
      <c r="U15" s="79"/>
      <c r="V15" s="72"/>
      <c r="Y15" s="44"/>
      <c r="Z15" s="44"/>
      <c r="AA15" s="44"/>
      <c r="AB15" s="44"/>
    </row>
    <row r="16" spans="1:95" s="45" customFormat="1" ht="12.75" hidden="1" customHeight="1" thickBot="1">
      <c r="A16" s="112" t="s">
        <v>46</v>
      </c>
      <c r="B16" s="113"/>
      <c r="C16" s="114"/>
      <c r="D16" s="115"/>
      <c r="E16" s="116"/>
      <c r="F16" s="117" t="s">
        <v>47</v>
      </c>
      <c r="G16" s="118">
        <f>SUM(G13:G15)</f>
        <v>1224780</v>
      </c>
      <c r="H16" s="27"/>
      <c r="I16" s="25"/>
      <c r="J16" s="25"/>
      <c r="K16" s="25"/>
      <c r="L16" s="109"/>
      <c r="M16" s="110"/>
      <c r="N16" s="119">
        <v>689000</v>
      </c>
      <c r="O16" s="95"/>
      <c r="P16" s="120">
        <v>0</v>
      </c>
      <c r="Q16" s="121">
        <v>364372</v>
      </c>
      <c r="R16" s="121">
        <v>267417</v>
      </c>
      <c r="S16" s="122">
        <v>57200</v>
      </c>
      <c r="T16" s="123">
        <v>0</v>
      </c>
      <c r="U16" s="79"/>
      <c r="V16" s="72"/>
      <c r="Y16" s="44"/>
      <c r="Z16" s="44"/>
      <c r="AA16" s="44"/>
      <c r="AB16" s="44"/>
    </row>
    <row r="17" spans="1:28" s="45" customFormat="1" ht="23.1" hidden="1" customHeight="1" thickBot="1">
      <c r="A17" s="124"/>
      <c r="B17" s="67"/>
      <c r="C17" s="68"/>
      <c r="D17" s="69"/>
      <c r="E17" s="70"/>
      <c r="F17" s="67"/>
      <c r="G17" s="125"/>
      <c r="H17" s="917"/>
      <c r="I17" s="917"/>
      <c r="J17" s="917"/>
      <c r="K17" s="917"/>
      <c r="L17" s="917"/>
      <c r="M17" s="917"/>
      <c r="N17" s="917"/>
      <c r="O17" s="917"/>
      <c r="P17" s="917"/>
      <c r="Q17" s="917"/>
      <c r="R17" s="917"/>
      <c r="S17" s="917"/>
      <c r="T17" s="917"/>
      <c r="U17" s="917"/>
      <c r="V17" s="72"/>
      <c r="Y17" s="44"/>
      <c r="Z17" s="44"/>
      <c r="AA17" s="44"/>
      <c r="AB17" s="44"/>
    </row>
    <row r="18" spans="1:28" s="45" customFormat="1" ht="15.75" hidden="1" thickBot="1">
      <c r="A18" s="73" t="s">
        <v>38</v>
      </c>
      <c r="B18" s="74"/>
      <c r="C18" s="75" t="s">
        <v>48</v>
      </c>
      <c r="D18" s="76"/>
      <c r="E18" s="76"/>
      <c r="F18" s="76"/>
      <c r="G18" s="126">
        <f>+G24</f>
        <v>85268164</v>
      </c>
      <c r="H18" s="19"/>
      <c r="I18" s="19"/>
      <c r="J18" s="19"/>
      <c r="K18" s="19"/>
      <c r="L18" s="19"/>
      <c r="M18" s="19"/>
      <c r="N18" s="78">
        <v>495900</v>
      </c>
      <c r="O18" s="79"/>
      <c r="P18" s="80"/>
      <c r="Q18" s="81"/>
      <c r="R18" s="81"/>
      <c r="S18" s="82"/>
      <c r="T18" s="83"/>
      <c r="U18" s="79">
        <v>0</v>
      </c>
      <c r="V18" s="12" t="s">
        <v>9</v>
      </c>
      <c r="Y18" s="44"/>
      <c r="Z18" s="44"/>
      <c r="AA18" s="44"/>
      <c r="AB18" s="44"/>
    </row>
    <row r="19" spans="1:28" s="45" customFormat="1" ht="15.75" hidden="1" thickBot="1">
      <c r="A19" s="84" t="s">
        <v>40</v>
      </c>
      <c r="B19" s="85"/>
      <c r="C19" s="86"/>
      <c r="D19" s="87"/>
      <c r="E19" s="88"/>
      <c r="F19" s="89"/>
      <c r="G19" s="90"/>
      <c r="H19" s="91"/>
      <c r="I19" s="89"/>
      <c r="J19" s="89"/>
      <c r="K19" s="89"/>
      <c r="L19" s="92"/>
      <c r="M19" s="93"/>
      <c r="N19" s="94"/>
      <c r="O19" s="95"/>
      <c r="P19" s="96"/>
      <c r="Q19" s="97"/>
      <c r="R19" s="97"/>
      <c r="S19" s="98"/>
      <c r="T19" s="99"/>
      <c r="U19" s="79"/>
      <c r="V19" s="72"/>
      <c r="Y19" s="44"/>
      <c r="Z19" s="44"/>
      <c r="AA19" s="44"/>
      <c r="AB19" s="44"/>
    </row>
    <row r="20" spans="1:28" s="45" customFormat="1" ht="20.25" hidden="1" customHeight="1">
      <c r="A20" s="127" t="s">
        <v>49</v>
      </c>
      <c r="B20" s="128"/>
      <c r="C20" s="129" t="s">
        <v>50</v>
      </c>
      <c r="D20" s="130" t="s">
        <v>51</v>
      </c>
      <c r="E20" s="131">
        <f>(111+218+146+116+780+2150)*1.2</f>
        <v>4225.2</v>
      </c>
      <c r="F20" s="25">
        <v>2610</v>
      </c>
      <c r="G20" s="26">
        <f>+F20*E20</f>
        <v>11027772</v>
      </c>
      <c r="H20" s="27">
        <v>2610</v>
      </c>
      <c r="I20" s="25">
        <v>3466</v>
      </c>
      <c r="J20" s="25">
        <v>1</v>
      </c>
      <c r="K20" s="25"/>
      <c r="L20" s="28">
        <v>450580</v>
      </c>
      <c r="M20" s="29">
        <v>339300</v>
      </c>
      <c r="N20" s="29">
        <v>339300</v>
      </c>
      <c r="O20" s="95"/>
      <c r="P20" s="96"/>
      <c r="Q20" s="97">
        <v>339300</v>
      </c>
      <c r="R20" s="97"/>
      <c r="S20" s="98"/>
      <c r="T20" s="99"/>
      <c r="U20" s="79"/>
      <c r="V20" s="72">
        <v>13</v>
      </c>
      <c r="Y20" s="44"/>
      <c r="Z20" s="44"/>
      <c r="AA20" s="44"/>
      <c r="AB20" s="44"/>
    </row>
    <row r="21" spans="1:28" s="45" customFormat="1" ht="24.75" hidden="1" customHeight="1">
      <c r="A21" s="584"/>
      <c r="B21" s="592"/>
      <c r="C21" s="593" t="s">
        <v>481</v>
      </c>
      <c r="D21" s="130" t="s">
        <v>51</v>
      </c>
      <c r="E21" s="594">
        <f>7.2+5.3+7.5+6+20+15</f>
        <v>61</v>
      </c>
      <c r="F21" s="575">
        <v>74380</v>
      </c>
      <c r="G21" s="26">
        <f>+F21*E21</f>
        <v>4537180</v>
      </c>
      <c r="H21" s="576"/>
      <c r="I21" s="575"/>
      <c r="J21" s="575"/>
      <c r="K21" s="575"/>
      <c r="L21" s="577"/>
      <c r="M21" s="578"/>
      <c r="N21" s="578"/>
      <c r="O21" s="95"/>
      <c r="P21" s="579"/>
      <c r="Q21" s="580"/>
      <c r="R21" s="580"/>
      <c r="S21" s="581"/>
      <c r="T21" s="582"/>
      <c r="U21" s="79"/>
      <c r="V21" s="72"/>
      <c r="Y21" s="44"/>
      <c r="Z21" s="44"/>
      <c r="AA21" s="44"/>
      <c r="AB21" s="44"/>
    </row>
    <row r="22" spans="1:28" s="45" customFormat="1" ht="15.75" hidden="1" thickBot="1">
      <c r="A22" s="132" t="s">
        <v>52</v>
      </c>
      <c r="B22" s="133"/>
      <c r="C22" s="134" t="s">
        <v>474</v>
      </c>
      <c r="D22" s="135" t="s">
        <v>51</v>
      </c>
      <c r="E22" s="136">
        <f>+E20</f>
        <v>4225.2</v>
      </c>
      <c r="F22" s="25">
        <v>15560</v>
      </c>
      <c r="G22" s="26">
        <f>+F22*E22</f>
        <v>65744112</v>
      </c>
      <c r="H22" s="27">
        <v>2610</v>
      </c>
      <c r="I22" s="25">
        <v>3466</v>
      </c>
      <c r="J22" s="25">
        <v>1</v>
      </c>
      <c r="K22" s="25"/>
      <c r="L22" s="28">
        <v>207960</v>
      </c>
      <c r="M22" s="29">
        <v>156600</v>
      </c>
      <c r="N22" s="29">
        <v>156600</v>
      </c>
      <c r="O22" s="95"/>
      <c r="P22" s="96"/>
      <c r="Q22" s="97">
        <v>156600</v>
      </c>
      <c r="R22" s="97"/>
      <c r="S22" s="98"/>
      <c r="T22" s="99"/>
      <c r="U22" s="79"/>
      <c r="V22" s="72">
        <v>14</v>
      </c>
      <c r="Y22" s="44"/>
      <c r="Z22" s="44"/>
      <c r="AA22" s="44"/>
      <c r="AB22" s="44"/>
    </row>
    <row r="23" spans="1:28" s="45" customFormat="1" ht="15.75" hidden="1" thickBot="1">
      <c r="A23" s="105"/>
      <c r="B23" s="106"/>
      <c r="C23" s="22" t="s">
        <v>482</v>
      </c>
      <c r="D23" s="23" t="s">
        <v>483</v>
      </c>
      <c r="E23" s="107">
        <f>68+40+100+30+80</f>
        <v>318</v>
      </c>
      <c r="F23" s="25">
        <v>12450</v>
      </c>
      <c r="G23" s="26">
        <f>+F23*E23</f>
        <v>3959100</v>
      </c>
      <c r="H23" s="27"/>
      <c r="I23" s="25"/>
      <c r="J23" s="25"/>
      <c r="K23" s="25"/>
      <c r="L23" s="109"/>
      <c r="M23" s="110"/>
      <c r="N23" s="111"/>
      <c r="O23" s="95"/>
      <c r="P23" s="96"/>
      <c r="Q23" s="97"/>
      <c r="R23" s="97"/>
      <c r="S23" s="98"/>
      <c r="T23" s="99"/>
      <c r="U23" s="79"/>
      <c r="V23" s="72"/>
      <c r="Y23" s="44"/>
      <c r="Z23" s="44"/>
      <c r="AA23" s="44"/>
      <c r="AB23" s="44"/>
    </row>
    <row r="24" spans="1:28" s="45" customFormat="1" ht="15.75" hidden="1" thickBot="1">
      <c r="A24" s="112" t="s">
        <v>46</v>
      </c>
      <c r="B24" s="113"/>
      <c r="C24" s="114"/>
      <c r="D24" s="115"/>
      <c r="E24" s="116"/>
      <c r="F24" s="117" t="s">
        <v>54</v>
      </c>
      <c r="G24" s="137">
        <f>SUM(G20:G23)</f>
        <v>85268164</v>
      </c>
      <c r="H24" s="27"/>
      <c r="I24" s="25"/>
      <c r="J24" s="25"/>
      <c r="K24" s="25"/>
      <c r="L24" s="109"/>
      <c r="M24" s="110"/>
      <c r="N24" s="119">
        <v>495900</v>
      </c>
      <c r="O24" s="95"/>
      <c r="P24" s="120">
        <v>0</v>
      </c>
      <c r="Q24" s="121">
        <v>495900</v>
      </c>
      <c r="R24" s="121">
        <v>0</v>
      </c>
      <c r="S24" s="122">
        <v>0</v>
      </c>
      <c r="T24" s="123">
        <v>0</v>
      </c>
      <c r="U24" s="79"/>
      <c r="V24" s="72"/>
      <c r="Y24" s="44"/>
      <c r="Z24" s="44"/>
      <c r="AA24" s="44"/>
      <c r="AB24" s="44"/>
    </row>
    <row r="25" spans="1:28" s="45" customFormat="1">
      <c r="A25" s="73"/>
      <c r="B25" s="74">
        <v>1</v>
      </c>
      <c r="C25" s="775" t="s">
        <v>1114</v>
      </c>
      <c r="D25" s="76"/>
      <c r="E25" s="76"/>
      <c r="F25" s="76"/>
      <c r="G25" s="126"/>
      <c r="H25" s="19"/>
      <c r="I25" s="19"/>
      <c r="J25" s="19"/>
      <c r="K25" s="19"/>
      <c r="L25" s="19"/>
      <c r="M25" s="19"/>
      <c r="N25" s="78"/>
      <c r="O25" s="79"/>
      <c r="P25" s="80"/>
      <c r="Q25" s="81"/>
      <c r="R25" s="81"/>
      <c r="S25" s="82"/>
      <c r="T25" s="83"/>
      <c r="U25" s="79"/>
      <c r="V25" s="12"/>
      <c r="Y25" s="44"/>
      <c r="Z25" s="44"/>
      <c r="AA25" s="44"/>
      <c r="AB25" s="44"/>
    </row>
    <row r="26" spans="1:28" s="45" customFormat="1" ht="15" customHeight="1">
      <c r="A26" s="124"/>
      <c r="B26" s="771">
        <v>1.1000000000000001</v>
      </c>
      <c r="C26" s="102" t="s">
        <v>975</v>
      </c>
      <c r="D26" s="772" t="s">
        <v>56</v>
      </c>
      <c r="E26" s="773">
        <v>890</v>
      </c>
      <c r="F26" s="587">
        <v>1320</v>
      </c>
      <c r="G26" s="774">
        <f>+F26*E26</f>
        <v>1174800</v>
      </c>
      <c r="H26" s="917"/>
      <c r="I26" s="917"/>
      <c r="J26" s="917"/>
      <c r="K26" s="917"/>
      <c r="L26" s="917"/>
      <c r="M26" s="917"/>
      <c r="N26" s="917"/>
      <c r="O26" s="917"/>
      <c r="P26" s="917"/>
      <c r="Q26" s="917"/>
      <c r="R26" s="917"/>
      <c r="S26" s="917"/>
      <c r="T26" s="917"/>
      <c r="U26" s="917"/>
      <c r="V26" s="72"/>
      <c r="Y26" s="44"/>
      <c r="Z26" s="44"/>
      <c r="AA26" s="44"/>
      <c r="AB26" s="44"/>
    </row>
    <row r="27" spans="1:28" s="45" customFormat="1" ht="15" customHeight="1">
      <c r="A27" s="124"/>
      <c r="B27" s="771">
        <f>+B26+0.1</f>
        <v>1.2000000000000002</v>
      </c>
      <c r="C27" s="102" t="s">
        <v>940</v>
      </c>
      <c r="D27" s="820" t="s">
        <v>56</v>
      </c>
      <c r="E27" s="773">
        <v>896</v>
      </c>
      <c r="F27" s="587">
        <v>1350</v>
      </c>
      <c r="G27" s="774">
        <f t="shared" ref="G27:G29" si="1">+F27*E27</f>
        <v>1209600</v>
      </c>
      <c r="H27" s="917"/>
      <c r="I27" s="917"/>
      <c r="J27" s="917"/>
      <c r="K27" s="917"/>
      <c r="L27" s="917"/>
      <c r="M27" s="917"/>
      <c r="N27" s="917"/>
      <c r="O27" s="917"/>
      <c r="P27" s="917"/>
      <c r="Q27" s="917"/>
      <c r="R27" s="917"/>
      <c r="S27" s="917"/>
      <c r="T27" s="917"/>
      <c r="U27" s="917"/>
      <c r="V27" s="72"/>
      <c r="W27" s="45">
        <f>890+6</f>
        <v>896</v>
      </c>
      <c r="Y27" s="44"/>
      <c r="Z27" s="44"/>
      <c r="AA27" s="44"/>
      <c r="AB27" s="44"/>
    </row>
    <row r="28" spans="1:28" s="45" customFormat="1" ht="15" customHeight="1">
      <c r="A28" s="124"/>
      <c r="B28" s="771">
        <f t="shared" ref="B28:B29" si="2">+B27+0.1</f>
        <v>1.3000000000000003</v>
      </c>
      <c r="C28" s="593" t="s">
        <v>974</v>
      </c>
      <c r="D28" s="827" t="s">
        <v>22</v>
      </c>
      <c r="E28" s="594">
        <v>1</v>
      </c>
      <c r="F28" s="575">
        <v>1533150</v>
      </c>
      <c r="G28" s="795">
        <f t="shared" si="1"/>
        <v>1533150</v>
      </c>
      <c r="H28" s="917"/>
      <c r="I28" s="917"/>
      <c r="J28" s="917"/>
      <c r="K28" s="917"/>
      <c r="L28" s="917"/>
      <c r="M28" s="917"/>
      <c r="N28" s="917"/>
      <c r="O28" s="917"/>
      <c r="P28" s="917"/>
      <c r="Q28" s="917"/>
      <c r="R28" s="917"/>
      <c r="S28" s="917"/>
      <c r="T28" s="917"/>
      <c r="U28" s="917"/>
      <c r="V28" s="72"/>
      <c r="Y28" s="44"/>
      <c r="Z28" s="44"/>
      <c r="AA28" s="44"/>
      <c r="AB28" s="44"/>
    </row>
    <row r="29" spans="1:28" s="45" customFormat="1" ht="15" customHeight="1" thickBot="1">
      <c r="A29" s="124"/>
      <c r="B29" s="771">
        <f t="shared" si="2"/>
        <v>1.4000000000000004</v>
      </c>
      <c r="C29" s="102" t="s">
        <v>1001</v>
      </c>
      <c r="D29" s="772" t="s">
        <v>139</v>
      </c>
      <c r="E29" s="780">
        <v>40</v>
      </c>
      <c r="F29" s="587">
        <v>194600</v>
      </c>
      <c r="G29" s="795">
        <f t="shared" si="1"/>
        <v>7784000</v>
      </c>
      <c r="H29" s="917"/>
      <c r="I29" s="917"/>
      <c r="J29" s="917"/>
      <c r="K29" s="917"/>
      <c r="L29" s="917"/>
      <c r="M29" s="917"/>
      <c r="N29" s="917"/>
      <c r="O29" s="917"/>
      <c r="P29" s="917"/>
      <c r="Q29" s="917"/>
      <c r="R29" s="917"/>
      <c r="S29" s="917"/>
      <c r="T29" s="917"/>
      <c r="U29" s="917"/>
      <c r="V29" s="72"/>
      <c r="Y29" s="44"/>
      <c r="Z29" s="44"/>
      <c r="AA29" s="44"/>
      <c r="AB29" s="44"/>
    </row>
    <row r="30" spans="1:28" s="45" customFormat="1" ht="15" customHeight="1" thickBot="1">
      <c r="A30" s="124"/>
      <c r="B30" s="869"/>
      <c r="C30" s="1884" t="s">
        <v>982</v>
      </c>
      <c r="D30" s="1884"/>
      <c r="E30" s="1884"/>
      <c r="F30" s="1884"/>
      <c r="G30" s="870">
        <f>SUM(G26:G29)</f>
        <v>11701550</v>
      </c>
      <c r="H30" s="917"/>
      <c r="I30" s="917"/>
      <c r="J30" s="917"/>
      <c r="K30" s="917"/>
      <c r="L30" s="917"/>
      <c r="M30" s="917"/>
      <c r="N30" s="917"/>
      <c r="O30" s="917"/>
      <c r="P30" s="917"/>
      <c r="Q30" s="917"/>
      <c r="R30" s="917"/>
      <c r="S30" s="917"/>
      <c r="T30" s="917"/>
      <c r="U30" s="917"/>
      <c r="V30" s="72"/>
      <c r="Y30" s="44"/>
      <c r="Z30" s="44"/>
      <c r="AA30" s="44"/>
      <c r="AB30" s="44"/>
    </row>
    <row r="31" spans="1:28" s="45" customFormat="1" ht="15" customHeight="1" thickBot="1">
      <c r="A31" s="124"/>
      <c r="B31" s="823"/>
      <c r="C31" s="824"/>
      <c r="D31" s="821"/>
      <c r="E31" s="825"/>
      <c r="F31" s="43"/>
      <c r="G31" s="826"/>
      <c r="H31" s="917"/>
      <c r="I31" s="917"/>
      <c r="J31" s="917"/>
      <c r="K31" s="917"/>
      <c r="L31" s="917"/>
      <c r="M31" s="917"/>
      <c r="N31" s="917"/>
      <c r="O31" s="917"/>
      <c r="P31" s="917"/>
      <c r="Q31" s="917"/>
      <c r="R31" s="917"/>
      <c r="S31" s="917"/>
      <c r="T31" s="917"/>
      <c r="U31" s="917"/>
      <c r="V31" s="72"/>
      <c r="Y31" s="44"/>
      <c r="Z31" s="44"/>
      <c r="AA31" s="44"/>
      <c r="AB31" s="44"/>
    </row>
    <row r="32" spans="1:28" s="45" customFormat="1" ht="15" customHeight="1">
      <c r="A32" s="124"/>
      <c r="B32" s="74">
        <v>2</v>
      </c>
      <c r="C32" s="75" t="s">
        <v>85</v>
      </c>
      <c r="D32" s="76"/>
      <c r="E32" s="76"/>
      <c r="F32" s="76"/>
      <c r="G32" s="126"/>
      <c r="H32" s="917"/>
      <c r="I32" s="917"/>
      <c r="J32" s="917"/>
      <c r="K32" s="917"/>
      <c r="L32" s="917"/>
      <c r="M32" s="917"/>
      <c r="N32" s="917"/>
      <c r="O32" s="917"/>
      <c r="P32" s="917"/>
      <c r="Q32" s="917"/>
      <c r="R32" s="917"/>
      <c r="S32" s="917"/>
      <c r="T32" s="917"/>
      <c r="U32" s="917"/>
      <c r="V32" s="72"/>
      <c r="Y32" s="44"/>
      <c r="Z32" s="44"/>
      <c r="AA32" s="44"/>
      <c r="AB32" s="44"/>
    </row>
    <row r="33" spans="1:28" s="45" customFormat="1" ht="15" customHeight="1">
      <c r="A33" s="124"/>
      <c r="B33" s="85"/>
      <c r="C33" s="86"/>
      <c r="D33" s="87"/>
      <c r="E33" s="88"/>
      <c r="F33" s="89"/>
      <c r="G33" s="90"/>
      <c r="H33" s="917"/>
      <c r="I33" s="917"/>
      <c r="J33" s="917"/>
      <c r="K33" s="917"/>
      <c r="L33" s="917"/>
      <c r="M33" s="917"/>
      <c r="N33" s="917"/>
      <c r="O33" s="917"/>
      <c r="P33" s="917"/>
      <c r="Q33" s="917"/>
      <c r="R33" s="917"/>
      <c r="S33" s="917"/>
      <c r="T33" s="917"/>
      <c r="U33" s="917"/>
      <c r="V33" s="72"/>
      <c r="Y33" s="44"/>
      <c r="Z33" s="44"/>
      <c r="AA33" s="44"/>
      <c r="AB33" s="44"/>
    </row>
    <row r="34" spans="1:28" s="45" customFormat="1" ht="28.5" customHeight="1">
      <c r="A34" s="124"/>
      <c r="B34" s="592">
        <v>2.1</v>
      </c>
      <c r="C34" s="822" t="s">
        <v>86</v>
      </c>
      <c r="D34" s="827" t="s">
        <v>483</v>
      </c>
      <c r="E34" s="594">
        <v>360</v>
      </c>
      <c r="F34" s="575">
        <v>21831</v>
      </c>
      <c r="G34" s="795">
        <f>+F34*E34</f>
        <v>7859160</v>
      </c>
      <c r="H34" s="917"/>
      <c r="I34" s="917"/>
      <c r="J34" s="917"/>
      <c r="K34" s="917"/>
      <c r="L34" s="917"/>
      <c r="M34" s="917"/>
      <c r="N34" s="917"/>
      <c r="O34" s="917"/>
      <c r="P34" s="917"/>
      <c r="Q34" s="917"/>
      <c r="R34" s="917"/>
      <c r="S34" s="917"/>
      <c r="T34" s="917"/>
      <c r="U34" s="917"/>
      <c r="V34" s="72"/>
      <c r="Y34" s="44"/>
      <c r="Z34" s="44"/>
      <c r="AA34" s="44"/>
      <c r="AB34" s="44"/>
    </row>
    <row r="35" spans="1:28" s="45" customFormat="1" ht="15" customHeight="1">
      <c r="A35" s="124"/>
      <c r="B35" s="592">
        <f>+B34+0.1</f>
        <v>2.2000000000000002</v>
      </c>
      <c r="C35" s="593" t="s">
        <v>87</v>
      </c>
      <c r="D35" s="827" t="s">
        <v>43</v>
      </c>
      <c r="E35" s="594">
        <f>+E34*2</f>
        <v>720</v>
      </c>
      <c r="F35" s="575">
        <v>20403</v>
      </c>
      <c r="G35" s="795">
        <f t="shared" ref="G35:G40" si="3">+F35*E35</f>
        <v>14690160</v>
      </c>
      <c r="H35" s="917"/>
      <c r="I35" s="917"/>
      <c r="J35" s="917"/>
      <c r="K35" s="917"/>
      <c r="L35" s="917"/>
      <c r="M35" s="917"/>
      <c r="N35" s="917"/>
      <c r="O35" s="917"/>
      <c r="P35" s="917"/>
      <c r="Q35" s="917"/>
      <c r="R35" s="917"/>
      <c r="S35" s="917"/>
      <c r="T35" s="917"/>
      <c r="U35" s="917"/>
      <c r="V35" s="72"/>
      <c r="Y35" s="44"/>
      <c r="Z35" s="44"/>
      <c r="AA35" s="44"/>
      <c r="AB35" s="44"/>
    </row>
    <row r="36" spans="1:28" s="45" customFormat="1" ht="15" customHeight="1">
      <c r="A36" s="124"/>
      <c r="B36" s="592">
        <f t="shared" ref="B36:B40" si="4">+B35+0.1</f>
        <v>2.3000000000000003</v>
      </c>
      <c r="C36" s="593" t="s">
        <v>88</v>
      </c>
      <c r="D36" s="827" t="s">
        <v>483</v>
      </c>
      <c r="E36" s="594">
        <v>360</v>
      </c>
      <c r="F36" s="575">
        <v>25834</v>
      </c>
      <c r="G36" s="795">
        <f t="shared" si="3"/>
        <v>9300240</v>
      </c>
      <c r="H36" s="917"/>
      <c r="I36" s="917"/>
      <c r="J36" s="917"/>
      <c r="K36" s="917"/>
      <c r="L36" s="917"/>
      <c r="M36" s="917"/>
      <c r="N36" s="917"/>
      <c r="O36" s="917"/>
      <c r="P36" s="917"/>
      <c r="Q36" s="917"/>
      <c r="R36" s="917"/>
      <c r="S36" s="917"/>
      <c r="T36" s="917"/>
      <c r="U36" s="917"/>
      <c r="V36" s="72"/>
      <c r="Y36" s="44"/>
      <c r="Z36" s="44"/>
      <c r="AA36" s="44"/>
      <c r="AB36" s="44"/>
    </row>
    <row r="37" spans="1:28" s="45" customFormat="1" ht="15" customHeight="1">
      <c r="A37" s="124"/>
      <c r="B37" s="592">
        <f t="shared" si="4"/>
        <v>2.4000000000000004</v>
      </c>
      <c r="C37" s="593" t="s">
        <v>89</v>
      </c>
      <c r="D37" s="827" t="s">
        <v>483</v>
      </c>
      <c r="E37" s="594">
        <v>100</v>
      </c>
      <c r="F37" s="575">
        <v>20326</v>
      </c>
      <c r="G37" s="795">
        <f t="shared" si="3"/>
        <v>2032600</v>
      </c>
      <c r="H37" s="917"/>
      <c r="I37" s="917"/>
      <c r="J37" s="917"/>
      <c r="K37" s="917"/>
      <c r="L37" s="917"/>
      <c r="M37" s="917"/>
      <c r="N37" s="917"/>
      <c r="O37" s="917"/>
      <c r="P37" s="917"/>
      <c r="Q37" s="917"/>
      <c r="R37" s="917"/>
      <c r="S37" s="917"/>
      <c r="T37" s="917"/>
      <c r="U37" s="917"/>
      <c r="V37" s="72"/>
      <c r="Y37" s="44"/>
      <c r="Z37" s="44"/>
      <c r="AA37" s="44"/>
      <c r="AB37" s="44"/>
    </row>
    <row r="38" spans="1:28" s="45" customFormat="1" ht="15" customHeight="1">
      <c r="A38" s="124"/>
      <c r="B38" s="592">
        <f t="shared" si="4"/>
        <v>2.5000000000000004</v>
      </c>
      <c r="C38" s="593" t="s">
        <v>90</v>
      </c>
      <c r="D38" s="827" t="s">
        <v>483</v>
      </c>
      <c r="E38" s="594">
        <v>360</v>
      </c>
      <c r="F38" s="575">
        <v>1864</v>
      </c>
      <c r="G38" s="795">
        <f t="shared" si="3"/>
        <v>671040</v>
      </c>
      <c r="H38" s="917"/>
      <c r="I38" s="917"/>
      <c r="J38" s="917"/>
      <c r="K38" s="917"/>
      <c r="L38" s="917"/>
      <c r="M38" s="917"/>
      <c r="N38" s="917"/>
      <c r="O38" s="917"/>
      <c r="P38" s="917"/>
      <c r="Q38" s="917"/>
      <c r="R38" s="917"/>
      <c r="S38" s="917"/>
      <c r="T38" s="917"/>
      <c r="U38" s="917"/>
      <c r="V38" s="72"/>
      <c r="Y38" s="44"/>
      <c r="Z38" s="44"/>
      <c r="AA38" s="44"/>
      <c r="AB38" s="44"/>
    </row>
    <row r="39" spans="1:28" s="45" customFormat="1" ht="15" customHeight="1">
      <c r="A39" s="124"/>
      <c r="B39" s="592">
        <f t="shared" si="4"/>
        <v>2.6000000000000005</v>
      </c>
      <c r="C39" s="593" t="s">
        <v>91</v>
      </c>
      <c r="D39" s="827" t="s">
        <v>977</v>
      </c>
      <c r="E39" s="594">
        <v>2</v>
      </c>
      <c r="F39" s="575">
        <v>618839</v>
      </c>
      <c r="G39" s="795">
        <f t="shared" si="3"/>
        <v>1237678</v>
      </c>
      <c r="H39" s="917"/>
      <c r="I39" s="917"/>
      <c r="J39" s="917"/>
      <c r="K39" s="917"/>
      <c r="L39" s="917"/>
      <c r="M39" s="917"/>
      <c r="N39" s="917"/>
      <c r="O39" s="917"/>
      <c r="P39" s="917"/>
      <c r="Q39" s="917"/>
      <c r="R39" s="917"/>
      <c r="S39" s="917"/>
      <c r="T39" s="917"/>
      <c r="U39" s="917"/>
      <c r="V39" s="72"/>
      <c r="Y39" s="44"/>
      <c r="Z39" s="44"/>
      <c r="AA39" s="44"/>
      <c r="AB39" s="44"/>
    </row>
    <row r="40" spans="1:28" s="45" customFormat="1" ht="15" customHeight="1">
      <c r="A40" s="124"/>
      <c r="B40" s="592">
        <f t="shared" si="4"/>
        <v>2.7000000000000006</v>
      </c>
      <c r="C40" s="593" t="s">
        <v>92</v>
      </c>
      <c r="D40" s="827" t="s">
        <v>977</v>
      </c>
      <c r="E40" s="594">
        <v>1</v>
      </c>
      <c r="F40" s="575">
        <v>614676</v>
      </c>
      <c r="G40" s="795">
        <f t="shared" si="3"/>
        <v>614676</v>
      </c>
      <c r="H40" s="917"/>
      <c r="I40" s="917"/>
      <c r="J40" s="917"/>
      <c r="K40" s="917"/>
      <c r="L40" s="917"/>
      <c r="M40" s="917"/>
      <c r="N40" s="917"/>
      <c r="O40" s="917"/>
      <c r="P40" s="917"/>
      <c r="Q40" s="917"/>
      <c r="R40" s="917"/>
      <c r="S40" s="917"/>
      <c r="T40" s="917"/>
      <c r="U40" s="917"/>
      <c r="V40" s="72"/>
      <c r="Y40" s="44"/>
      <c r="Z40" s="44"/>
      <c r="AA40" s="44"/>
      <c r="AB40" s="44"/>
    </row>
    <row r="41" spans="1:28" s="45" customFormat="1" ht="15" customHeight="1">
      <c r="A41" s="124"/>
      <c r="B41" s="592"/>
      <c r="C41" s="593"/>
      <c r="D41" s="827"/>
      <c r="E41" s="594"/>
      <c r="F41" s="575"/>
      <c r="G41" s="792"/>
      <c r="H41" s="917"/>
      <c r="I41" s="917"/>
      <c r="J41" s="917"/>
      <c r="K41" s="917"/>
      <c r="L41" s="917"/>
      <c r="M41" s="917"/>
      <c r="N41" s="917"/>
      <c r="O41" s="917"/>
      <c r="P41" s="917"/>
      <c r="Q41" s="917"/>
      <c r="R41" s="917"/>
      <c r="S41" s="917"/>
      <c r="T41" s="917"/>
      <c r="U41" s="917"/>
      <c r="V41" s="72"/>
      <c r="Y41" s="44"/>
      <c r="Z41" s="44"/>
      <c r="AA41" s="44"/>
      <c r="AB41" s="44"/>
    </row>
    <row r="42" spans="1:28" s="45" customFormat="1" ht="15" customHeight="1" thickBot="1">
      <c r="A42" s="124"/>
      <c r="B42" s="871"/>
      <c r="C42" s="1884" t="s">
        <v>983</v>
      </c>
      <c r="D42" s="1884"/>
      <c r="E42" s="1884"/>
      <c r="F42" s="1884"/>
      <c r="G42" s="1004">
        <f>SUM(G34:G41)</f>
        <v>36405554</v>
      </c>
      <c r="H42" s="917"/>
      <c r="I42" s="917"/>
      <c r="J42" s="917"/>
      <c r="K42" s="917"/>
      <c r="L42" s="917"/>
      <c r="M42" s="917"/>
      <c r="N42" s="917"/>
      <c r="O42" s="917"/>
      <c r="P42" s="917"/>
      <c r="Q42" s="917"/>
      <c r="R42" s="917"/>
      <c r="S42" s="917"/>
      <c r="T42" s="917"/>
      <c r="U42" s="917"/>
      <c r="V42" s="72"/>
      <c r="Y42" s="44"/>
      <c r="Z42" s="44"/>
      <c r="AA42" s="44"/>
      <c r="AB42" s="44"/>
    </row>
    <row r="43" spans="1:28" s="45" customFormat="1" ht="15" customHeight="1">
      <c r="A43" s="124"/>
      <c r="B43" s="823"/>
      <c r="C43" s="824"/>
      <c r="D43" s="821"/>
      <c r="E43" s="825"/>
      <c r="F43" s="43"/>
      <c r="G43" s="826"/>
      <c r="H43" s="917"/>
      <c r="I43" s="917"/>
      <c r="J43" s="917"/>
      <c r="K43" s="917"/>
      <c r="L43" s="917"/>
      <c r="M43" s="917"/>
      <c r="N43" s="917"/>
      <c r="O43" s="917"/>
      <c r="P43" s="917"/>
      <c r="Q43" s="917"/>
      <c r="R43" s="917"/>
      <c r="S43" s="917"/>
      <c r="T43" s="917"/>
      <c r="U43" s="917"/>
      <c r="V43" s="72"/>
      <c r="Y43" s="44"/>
      <c r="Z43" s="44"/>
      <c r="AA43" s="44"/>
      <c r="AB43" s="44"/>
    </row>
    <row r="44" spans="1:28" s="45" customFormat="1" ht="16.5" customHeight="1" thickBot="1">
      <c r="A44" s="124"/>
      <c r="B44" s="67"/>
      <c r="C44" s="102"/>
      <c r="D44" s="69"/>
      <c r="E44" s="70"/>
      <c r="F44" s="67"/>
      <c r="G44" s="125"/>
      <c r="H44" s="917"/>
      <c r="I44" s="917"/>
      <c r="J44" s="917"/>
      <c r="K44" s="917"/>
      <c r="L44" s="917"/>
      <c r="M44" s="917"/>
      <c r="N44" s="917"/>
      <c r="O44" s="917"/>
      <c r="P44" s="917"/>
      <c r="Q44" s="917"/>
      <c r="R44" s="917"/>
      <c r="S44" s="917"/>
      <c r="T44" s="917"/>
      <c r="U44" s="917"/>
      <c r="V44" s="72"/>
      <c r="Y44" s="44"/>
      <c r="Z44" s="44"/>
      <c r="AA44" s="44"/>
      <c r="AB44" s="44"/>
    </row>
    <row r="45" spans="1:28" s="45" customFormat="1">
      <c r="A45" s="73" t="s">
        <v>38</v>
      </c>
      <c r="B45" s="74">
        <v>3</v>
      </c>
      <c r="C45" s="75" t="s">
        <v>956</v>
      </c>
      <c r="D45" s="76"/>
      <c r="E45" s="76"/>
      <c r="F45" s="76"/>
      <c r="G45" s="126"/>
      <c r="H45" s="19"/>
      <c r="I45" s="19"/>
      <c r="J45" s="19"/>
      <c r="K45" s="19"/>
      <c r="L45" s="19"/>
      <c r="M45" s="19"/>
      <c r="N45" s="78">
        <v>33292178</v>
      </c>
      <c r="O45" s="79"/>
      <c r="P45" s="80"/>
      <c r="Q45" s="81"/>
      <c r="R45" s="81"/>
      <c r="S45" s="82"/>
      <c r="T45" s="83"/>
      <c r="U45" s="79">
        <v>0</v>
      </c>
      <c r="V45" s="12" t="s">
        <v>9</v>
      </c>
      <c r="Y45" s="44"/>
      <c r="Z45" s="44"/>
      <c r="AA45" s="44"/>
      <c r="AB45" s="44"/>
    </row>
    <row r="46" spans="1:28" s="45" customFormat="1" hidden="1">
      <c r="A46" s="84" t="s">
        <v>40</v>
      </c>
      <c r="B46" s="85"/>
      <c r="C46" s="86"/>
      <c r="D46" s="87"/>
      <c r="E46" s="88"/>
      <c r="F46" s="89"/>
      <c r="G46" s="90"/>
      <c r="H46" s="91"/>
      <c r="I46" s="89"/>
      <c r="J46" s="89"/>
      <c r="K46" s="89"/>
      <c r="L46" s="92"/>
      <c r="M46" s="93"/>
      <c r="N46" s="94"/>
      <c r="O46" s="95"/>
      <c r="P46" s="96"/>
      <c r="Q46" s="97"/>
      <c r="R46" s="97"/>
      <c r="S46" s="98"/>
      <c r="T46" s="99"/>
      <c r="U46" s="79"/>
      <c r="V46" s="72"/>
      <c r="Y46" s="44"/>
      <c r="Z46" s="44"/>
      <c r="AA46" s="44"/>
      <c r="AB46" s="44"/>
    </row>
    <row r="47" spans="1:28" s="45" customFormat="1">
      <c r="A47" s="586"/>
      <c r="B47" s="771"/>
      <c r="C47" s="788" t="s">
        <v>947</v>
      </c>
      <c r="D47" s="772"/>
      <c r="E47" s="773"/>
      <c r="F47" s="587"/>
      <c r="G47" s="774"/>
      <c r="H47" s="588"/>
      <c r="I47" s="587"/>
      <c r="J47" s="587"/>
      <c r="K47" s="587"/>
      <c r="L47" s="589"/>
      <c r="M47" s="590"/>
      <c r="N47" s="591"/>
      <c r="O47" s="95"/>
      <c r="P47" s="579"/>
      <c r="Q47" s="580"/>
      <c r="R47" s="580"/>
      <c r="S47" s="581"/>
      <c r="T47" s="582"/>
      <c r="U47" s="79"/>
      <c r="V47" s="621"/>
      <c r="Y47" s="44"/>
      <c r="Z47" s="44"/>
      <c r="AA47" s="44"/>
      <c r="AB47" s="44"/>
    </row>
    <row r="48" spans="1:28" s="45" customFormat="1">
      <c r="A48" s="586"/>
      <c r="B48" s="771">
        <v>3.1</v>
      </c>
      <c r="C48" s="102" t="s">
        <v>943</v>
      </c>
      <c r="D48" s="772" t="s">
        <v>139</v>
      </c>
      <c r="E48" s="780">
        <v>60</v>
      </c>
      <c r="F48" s="587">
        <v>2610</v>
      </c>
      <c r="G48" s="774">
        <f>+E48*F48</f>
        <v>156600</v>
      </c>
      <c r="H48" s="588"/>
      <c r="I48" s="587"/>
      <c r="J48" s="587"/>
      <c r="K48" s="587"/>
      <c r="L48" s="589"/>
      <c r="M48" s="590"/>
      <c r="N48" s="591"/>
      <c r="O48" s="95"/>
      <c r="P48" s="579"/>
      <c r="Q48" s="580"/>
      <c r="R48" s="580"/>
      <c r="S48" s="581"/>
      <c r="T48" s="582"/>
      <c r="U48" s="79"/>
      <c r="V48" s="621"/>
      <c r="Y48" s="44"/>
      <c r="Z48" s="44"/>
      <c r="AA48" s="44"/>
      <c r="AB48" s="44"/>
    </row>
    <row r="49" spans="1:28" s="45" customFormat="1">
      <c r="A49" s="586"/>
      <c r="B49" s="771">
        <f t="shared" ref="B49:B54" si="5">+B48+0.1</f>
        <v>3.2</v>
      </c>
      <c r="C49" s="102" t="s">
        <v>1101</v>
      </c>
      <c r="D49" s="772" t="s">
        <v>139</v>
      </c>
      <c r="E49" s="780">
        <v>20</v>
      </c>
      <c r="F49" s="587">
        <v>5190</v>
      </c>
      <c r="G49" s="774">
        <f t="shared" ref="G49:G54" si="6">+E49*F49</f>
        <v>103800</v>
      </c>
      <c r="H49" s="588"/>
      <c r="I49" s="587"/>
      <c r="J49" s="587"/>
      <c r="K49" s="587"/>
      <c r="L49" s="589"/>
      <c r="M49" s="590"/>
      <c r="N49" s="591"/>
      <c r="O49" s="95"/>
      <c r="P49" s="579"/>
      <c r="Q49" s="580"/>
      <c r="R49" s="580"/>
      <c r="S49" s="581"/>
      <c r="T49" s="582"/>
      <c r="U49" s="79"/>
      <c r="V49" s="621"/>
      <c r="Y49" s="44"/>
      <c r="Z49" s="44"/>
      <c r="AA49" s="44"/>
      <c r="AB49" s="44"/>
    </row>
    <row r="50" spans="1:28" s="45" customFormat="1">
      <c r="A50" s="586"/>
      <c r="B50" s="771">
        <f t="shared" si="5"/>
        <v>3.3000000000000003</v>
      </c>
      <c r="C50" s="102" t="s">
        <v>941</v>
      </c>
      <c r="D50" s="777" t="s">
        <v>139</v>
      </c>
      <c r="E50" s="780">
        <v>106</v>
      </c>
      <c r="F50" s="776">
        <v>10240</v>
      </c>
      <c r="G50" s="774">
        <f t="shared" si="6"/>
        <v>1085440</v>
      </c>
      <c r="H50" s="588"/>
      <c r="I50" s="587"/>
      <c r="J50" s="587"/>
      <c r="K50" s="587"/>
      <c r="L50" s="589"/>
      <c r="M50" s="590"/>
      <c r="N50" s="591"/>
      <c r="O50" s="95"/>
      <c r="P50" s="579"/>
      <c r="Q50" s="580"/>
      <c r="R50" s="580"/>
      <c r="S50" s="581"/>
      <c r="T50" s="582"/>
      <c r="U50" s="79"/>
      <c r="V50" s="621"/>
      <c r="Y50" s="44"/>
      <c r="Z50" s="44"/>
      <c r="AA50" s="44"/>
      <c r="AB50" s="44"/>
    </row>
    <row r="51" spans="1:28" s="45" customFormat="1">
      <c r="A51" s="586"/>
      <c r="B51" s="771">
        <f t="shared" si="5"/>
        <v>3.4000000000000004</v>
      </c>
      <c r="C51" s="102" t="s">
        <v>497</v>
      </c>
      <c r="D51" s="777" t="s">
        <v>56</v>
      </c>
      <c r="E51" s="780">
        <v>99</v>
      </c>
      <c r="F51" s="587">
        <v>17220</v>
      </c>
      <c r="G51" s="774">
        <f t="shared" si="6"/>
        <v>1704780</v>
      </c>
      <c r="H51" s="588"/>
      <c r="I51" s="587"/>
      <c r="J51" s="587"/>
      <c r="K51" s="587"/>
      <c r="L51" s="589"/>
      <c r="M51" s="590"/>
      <c r="N51" s="591"/>
      <c r="O51" s="95"/>
      <c r="P51" s="579"/>
      <c r="Q51" s="580"/>
      <c r="R51" s="580"/>
      <c r="S51" s="581"/>
      <c r="T51" s="582"/>
      <c r="U51" s="79"/>
      <c r="V51" s="621"/>
      <c r="Y51" s="44"/>
      <c r="Z51" s="44"/>
      <c r="AA51" s="44"/>
      <c r="AB51" s="44"/>
    </row>
    <row r="52" spans="1:28" s="45" customFormat="1">
      <c r="A52" s="586"/>
      <c r="B52" s="771">
        <f t="shared" si="5"/>
        <v>3.5000000000000004</v>
      </c>
      <c r="C52" s="782" t="s">
        <v>979</v>
      </c>
      <c r="D52" s="772" t="s">
        <v>139</v>
      </c>
      <c r="E52" s="780">
        <v>29</v>
      </c>
      <c r="F52" s="791">
        <v>573533</v>
      </c>
      <c r="G52" s="774">
        <f t="shared" si="6"/>
        <v>16632457</v>
      </c>
      <c r="H52" s="588"/>
      <c r="I52" s="587"/>
      <c r="J52" s="587"/>
      <c r="K52" s="587"/>
      <c r="L52" s="589"/>
      <c r="M52" s="590"/>
      <c r="N52" s="591"/>
      <c r="O52" s="95"/>
      <c r="P52" s="579"/>
      <c r="Q52" s="580"/>
      <c r="R52" s="580"/>
      <c r="S52" s="581"/>
      <c r="T52" s="582"/>
      <c r="U52" s="79"/>
      <c r="V52" s="621"/>
      <c r="Y52" s="44"/>
      <c r="Z52" s="44"/>
      <c r="AA52" s="44"/>
      <c r="AB52" s="44"/>
    </row>
    <row r="53" spans="1:28" s="45" customFormat="1">
      <c r="A53" s="586"/>
      <c r="B53" s="771">
        <f t="shared" si="5"/>
        <v>3.6000000000000005</v>
      </c>
      <c r="C53" s="102" t="s">
        <v>976</v>
      </c>
      <c r="D53" s="772" t="s">
        <v>139</v>
      </c>
      <c r="E53" s="780">
        <v>43</v>
      </c>
      <c r="F53" s="587">
        <v>614040</v>
      </c>
      <c r="G53" s="774">
        <f t="shared" si="6"/>
        <v>26403720</v>
      </c>
      <c r="H53" s="588"/>
      <c r="I53" s="587"/>
      <c r="J53" s="587"/>
      <c r="K53" s="587"/>
      <c r="L53" s="589"/>
      <c r="M53" s="590"/>
      <c r="N53" s="591"/>
      <c r="O53" s="95"/>
      <c r="P53" s="579"/>
      <c r="Q53" s="580"/>
      <c r="R53" s="580"/>
      <c r="S53" s="581"/>
      <c r="T53" s="582"/>
      <c r="U53" s="79"/>
      <c r="V53" s="621"/>
      <c r="Y53" s="44"/>
      <c r="Z53" s="44"/>
      <c r="AA53" s="44"/>
      <c r="AB53" s="44"/>
    </row>
    <row r="54" spans="1:28" s="45" customFormat="1">
      <c r="A54" s="586"/>
      <c r="B54" s="771">
        <f t="shared" si="5"/>
        <v>3.7000000000000006</v>
      </c>
      <c r="C54" s="102" t="s">
        <v>980</v>
      </c>
      <c r="D54" s="772" t="s">
        <v>139</v>
      </c>
      <c r="E54" s="780">
        <v>3</v>
      </c>
      <c r="F54" s="587">
        <v>594610</v>
      </c>
      <c r="G54" s="774">
        <f t="shared" si="6"/>
        <v>1783830</v>
      </c>
      <c r="H54" s="588"/>
      <c r="I54" s="587"/>
      <c r="J54" s="587"/>
      <c r="K54" s="587"/>
      <c r="L54" s="589"/>
      <c r="M54" s="590"/>
      <c r="N54" s="591"/>
      <c r="O54" s="95"/>
      <c r="P54" s="579"/>
      <c r="Q54" s="580"/>
      <c r="R54" s="580"/>
      <c r="S54" s="581"/>
      <c r="T54" s="582"/>
      <c r="U54" s="79"/>
      <c r="V54" s="621"/>
      <c r="Y54" s="44"/>
      <c r="Z54" s="44"/>
      <c r="AA54" s="44"/>
      <c r="AB54" s="44"/>
    </row>
    <row r="55" spans="1:28" s="45" customFormat="1">
      <c r="A55" s="586"/>
      <c r="B55" s="838"/>
      <c r="C55" s="215"/>
      <c r="D55" s="216"/>
      <c r="E55" s="829"/>
      <c r="F55" s="95"/>
      <c r="G55" s="836"/>
      <c r="H55" s="588"/>
      <c r="I55" s="587"/>
      <c r="J55" s="587"/>
      <c r="K55" s="587"/>
      <c r="L55" s="589"/>
      <c r="M55" s="590"/>
      <c r="N55" s="591"/>
      <c r="O55" s="95"/>
      <c r="P55" s="579"/>
      <c r="Q55" s="580"/>
      <c r="R55" s="580"/>
      <c r="S55" s="581"/>
      <c r="T55" s="582"/>
      <c r="U55" s="79"/>
      <c r="V55" s="621"/>
      <c r="Y55" s="44"/>
      <c r="Z55" s="44"/>
      <c r="AA55" s="44"/>
      <c r="AB55" s="44"/>
    </row>
    <row r="56" spans="1:28" s="45" customFormat="1" ht="15.75" thickBot="1">
      <c r="A56" s="586"/>
      <c r="B56" s="113"/>
      <c r="C56" s="114"/>
      <c r="D56" s="115"/>
      <c r="E56" s="116"/>
      <c r="F56" s="789" t="s">
        <v>968</v>
      </c>
      <c r="G56" s="118">
        <f>SUM(G48:G55)</f>
        <v>47870627</v>
      </c>
      <c r="H56" s="588"/>
      <c r="I56" s="587"/>
      <c r="J56" s="587"/>
      <c r="K56" s="587"/>
      <c r="L56" s="589"/>
      <c r="M56" s="590"/>
      <c r="N56" s="591"/>
      <c r="O56" s="95"/>
      <c r="P56" s="579"/>
      <c r="Q56" s="580"/>
      <c r="R56" s="580"/>
      <c r="S56" s="581"/>
      <c r="T56" s="582"/>
      <c r="U56" s="79"/>
      <c r="V56" s="621"/>
      <c r="Y56" s="44"/>
      <c r="Z56" s="44"/>
      <c r="AA56" s="44"/>
      <c r="AB56" s="44"/>
    </row>
    <row r="57" spans="1:28" s="45" customFormat="1">
      <c r="A57" s="586"/>
      <c r="B57" s="771"/>
      <c r="C57" s="102"/>
      <c r="D57" s="772"/>
      <c r="E57" s="780"/>
      <c r="F57" s="587"/>
      <c r="G57" s="774"/>
      <c r="H57" s="588"/>
      <c r="I57" s="587"/>
      <c r="J57" s="587"/>
      <c r="K57" s="587"/>
      <c r="L57" s="589"/>
      <c r="M57" s="590"/>
      <c r="N57" s="591"/>
      <c r="O57" s="95"/>
      <c r="P57" s="579"/>
      <c r="Q57" s="580"/>
      <c r="R57" s="580"/>
      <c r="S57" s="581"/>
      <c r="T57" s="582"/>
      <c r="U57" s="79"/>
      <c r="V57" s="621"/>
      <c r="Y57" s="44"/>
      <c r="Z57" s="44"/>
      <c r="AA57" s="44"/>
      <c r="AB57" s="44"/>
    </row>
    <row r="58" spans="1:28" s="45" customFormat="1">
      <c r="A58" s="586"/>
      <c r="B58" s="771"/>
      <c r="C58" s="787" t="s">
        <v>948</v>
      </c>
      <c r="D58" s="772"/>
      <c r="E58" s="780"/>
      <c r="F58" s="587"/>
      <c r="G58" s="774">
        <f>+E58*F59</f>
        <v>0</v>
      </c>
      <c r="H58" s="588"/>
      <c r="I58" s="587"/>
      <c r="J58" s="587"/>
      <c r="K58" s="587"/>
      <c r="L58" s="589"/>
      <c r="M58" s="590"/>
      <c r="N58" s="591"/>
      <c r="O58" s="95"/>
      <c r="P58" s="579"/>
      <c r="Q58" s="580"/>
      <c r="R58" s="580"/>
      <c r="S58" s="581"/>
      <c r="T58" s="582"/>
      <c r="U58" s="79"/>
      <c r="V58" s="621"/>
      <c r="Y58" s="44"/>
      <c r="Z58" s="44"/>
      <c r="AA58" s="44"/>
      <c r="AB58" s="44"/>
    </row>
    <row r="59" spans="1:28" s="45" customFormat="1">
      <c r="A59" s="586"/>
      <c r="B59" s="771">
        <v>3.8</v>
      </c>
      <c r="C59" s="102" t="s">
        <v>522</v>
      </c>
      <c r="D59" s="772" t="s">
        <v>142</v>
      </c>
      <c r="E59" s="780">
        <v>2400</v>
      </c>
      <c r="F59" s="773">
        <v>3201</v>
      </c>
      <c r="G59" s="774">
        <f>+E59*F60</f>
        <v>10800000</v>
      </c>
      <c r="H59" s="588"/>
      <c r="I59" s="587"/>
      <c r="J59" s="587"/>
      <c r="K59" s="587"/>
      <c r="L59" s="589"/>
      <c r="M59" s="590"/>
      <c r="N59" s="591"/>
      <c r="O59" s="95"/>
      <c r="P59" s="579"/>
      <c r="Q59" s="580"/>
      <c r="R59" s="580"/>
      <c r="S59" s="581"/>
      <c r="T59" s="582"/>
      <c r="U59" s="79"/>
      <c r="V59" s="621"/>
      <c r="Y59" s="44"/>
      <c r="Z59" s="44"/>
      <c r="AA59" s="44"/>
      <c r="AB59" s="44"/>
    </row>
    <row r="60" spans="1:28" s="45" customFormat="1">
      <c r="A60" s="586"/>
      <c r="B60" s="779">
        <v>3.1</v>
      </c>
      <c r="C60" s="102" t="s">
        <v>942</v>
      </c>
      <c r="D60" s="777" t="s">
        <v>56</v>
      </c>
      <c r="E60" s="780">
        <v>81</v>
      </c>
      <c r="F60" s="773">
        <v>4500</v>
      </c>
      <c r="G60" s="774">
        <f t="shared" ref="G60:G62" si="7">+E60*F61</f>
        <v>5107050</v>
      </c>
      <c r="H60" s="588"/>
      <c r="I60" s="587"/>
      <c r="J60" s="587"/>
      <c r="K60" s="587"/>
      <c r="L60" s="589"/>
      <c r="M60" s="590"/>
      <c r="N60" s="591"/>
      <c r="O60" s="95"/>
      <c r="P60" s="579"/>
      <c r="Q60" s="580"/>
      <c r="R60" s="580"/>
      <c r="S60" s="581"/>
      <c r="T60" s="582"/>
      <c r="U60" s="79"/>
      <c r="V60" s="621"/>
      <c r="Y60" s="44"/>
      <c r="Z60" s="44"/>
      <c r="AA60" s="44"/>
      <c r="AB60" s="44"/>
    </row>
    <row r="61" spans="1:28" s="45" customFormat="1">
      <c r="A61" s="586"/>
      <c r="B61" s="779">
        <f>+B60+0.01</f>
        <v>3.11</v>
      </c>
      <c r="C61" s="102" t="s">
        <v>945</v>
      </c>
      <c r="D61" s="772" t="s">
        <v>139</v>
      </c>
      <c r="E61" s="780">
        <v>12</v>
      </c>
      <c r="F61" s="778">
        <v>63050</v>
      </c>
      <c r="G61" s="774">
        <f t="shared" si="7"/>
        <v>351960</v>
      </c>
      <c r="H61" s="588"/>
      <c r="I61" s="587"/>
      <c r="J61" s="587"/>
      <c r="K61" s="587"/>
      <c r="L61" s="589"/>
      <c r="M61" s="590"/>
      <c r="N61" s="591"/>
      <c r="O61" s="95"/>
      <c r="P61" s="579"/>
      <c r="Q61" s="580"/>
      <c r="R61" s="580"/>
      <c r="S61" s="581"/>
      <c r="T61" s="582"/>
      <c r="U61" s="79"/>
      <c r="V61" s="621"/>
      <c r="Y61" s="44"/>
      <c r="Z61" s="44"/>
      <c r="AA61" s="44"/>
      <c r="AB61" s="44"/>
    </row>
    <row r="62" spans="1:28" s="45" customFormat="1">
      <c r="A62" s="586"/>
      <c r="B62" s="779">
        <f t="shared" ref="B62:B72" si="8">+B61+0.01</f>
        <v>3.1199999999999997</v>
      </c>
      <c r="C62" s="102" t="s">
        <v>946</v>
      </c>
      <c r="D62" s="772" t="s">
        <v>540</v>
      </c>
      <c r="E62" s="780">
        <v>60</v>
      </c>
      <c r="F62" s="587">
        <v>29330</v>
      </c>
      <c r="G62" s="774">
        <f t="shared" si="7"/>
        <v>2924400</v>
      </c>
      <c r="H62" s="588"/>
      <c r="I62" s="587"/>
      <c r="J62" s="587"/>
      <c r="K62" s="587"/>
      <c r="L62" s="589"/>
      <c r="M62" s="590"/>
      <c r="N62" s="591"/>
      <c r="O62" s="95"/>
      <c r="P62" s="579"/>
      <c r="Q62" s="580"/>
      <c r="R62" s="580"/>
      <c r="S62" s="581"/>
      <c r="T62" s="582"/>
      <c r="U62" s="79"/>
      <c r="V62" s="621"/>
      <c r="Y62" s="44"/>
      <c r="Z62" s="44"/>
      <c r="AA62" s="44"/>
      <c r="AB62" s="44"/>
    </row>
    <row r="63" spans="1:28" s="45" customFormat="1">
      <c r="A63" s="586"/>
      <c r="B63" s="779">
        <f t="shared" si="8"/>
        <v>3.1299999999999994</v>
      </c>
      <c r="C63" s="102" t="s">
        <v>949</v>
      </c>
      <c r="D63" s="772" t="s">
        <v>540</v>
      </c>
      <c r="E63" s="773">
        <v>21</v>
      </c>
      <c r="F63" s="587">
        <v>48740</v>
      </c>
      <c r="G63" s="774">
        <f>+E63*F65</f>
        <v>176400</v>
      </c>
      <c r="H63" s="588"/>
      <c r="I63" s="587"/>
      <c r="J63" s="587"/>
      <c r="K63" s="587"/>
      <c r="L63" s="589"/>
      <c r="M63" s="590"/>
      <c r="N63" s="591"/>
      <c r="O63" s="95"/>
      <c r="P63" s="579"/>
      <c r="Q63" s="580"/>
      <c r="R63" s="580"/>
      <c r="S63" s="581"/>
      <c r="T63" s="582"/>
      <c r="U63" s="79"/>
      <c r="V63" s="621"/>
      <c r="Y63" s="44"/>
      <c r="Z63" s="44"/>
      <c r="AA63" s="44"/>
      <c r="AB63" s="44"/>
    </row>
    <row r="64" spans="1:28" s="45" customFormat="1">
      <c r="A64" s="586"/>
      <c r="B64" s="779">
        <f t="shared" si="8"/>
        <v>3.1399999999999992</v>
      </c>
      <c r="C64" s="782" t="s">
        <v>950</v>
      </c>
      <c r="D64" s="772" t="s">
        <v>540</v>
      </c>
      <c r="E64" s="773">
        <v>87</v>
      </c>
      <c r="F64" s="587">
        <v>18420</v>
      </c>
      <c r="G64" s="774">
        <f>+E64*F64</f>
        <v>1602540</v>
      </c>
      <c r="H64" s="588"/>
      <c r="I64" s="587"/>
      <c r="J64" s="587"/>
      <c r="K64" s="587"/>
      <c r="L64" s="589"/>
      <c r="M64" s="590"/>
      <c r="N64" s="591"/>
      <c r="O64" s="95"/>
      <c r="P64" s="579"/>
      <c r="Q64" s="580"/>
      <c r="R64" s="580"/>
      <c r="S64" s="581"/>
      <c r="T64" s="582"/>
      <c r="U64" s="79"/>
      <c r="V64" s="621"/>
      <c r="Y64" s="44"/>
      <c r="Z64" s="44"/>
      <c r="AA64" s="44"/>
      <c r="AB64" s="44"/>
    </row>
    <row r="65" spans="1:28" s="45" customFormat="1" ht="26.25" customHeight="1">
      <c r="A65" s="586"/>
      <c r="B65" s="779">
        <f t="shared" si="8"/>
        <v>3.149999999999999</v>
      </c>
      <c r="C65" s="948" t="s">
        <v>1282</v>
      </c>
      <c r="D65" s="949" t="s">
        <v>22</v>
      </c>
      <c r="E65" s="950">
        <v>170</v>
      </c>
      <c r="F65" s="951">
        <v>8400</v>
      </c>
      <c r="G65" s="952">
        <f t="shared" ref="G65:G79" si="9">+E65*F65</f>
        <v>1428000</v>
      </c>
      <c r="H65" s="588"/>
      <c r="I65" s="587"/>
      <c r="J65" s="587"/>
      <c r="K65" s="587"/>
      <c r="L65" s="589"/>
      <c r="M65" s="590"/>
      <c r="N65" s="591"/>
      <c r="O65" s="95"/>
      <c r="P65" s="579"/>
      <c r="Q65" s="580"/>
      <c r="R65" s="580"/>
      <c r="S65" s="581"/>
      <c r="T65" s="582"/>
      <c r="U65" s="79"/>
      <c r="V65" s="621"/>
      <c r="W65" s="45">
        <f>29100*1.16*1.25</f>
        <v>42195</v>
      </c>
      <c r="X65" s="859">
        <f>29100*1.16*1.05</f>
        <v>35443.800000000003</v>
      </c>
      <c r="Y65" s="44">
        <f>+X65*0.1</f>
        <v>3544.3800000000006</v>
      </c>
      <c r="Z65" s="44">
        <f>+W65-Y65</f>
        <v>38650.620000000003</v>
      </c>
      <c r="AA65" s="44"/>
      <c r="AB65" s="44"/>
    </row>
    <row r="66" spans="1:28" s="45" customFormat="1">
      <c r="A66" s="586"/>
      <c r="B66" s="779">
        <f t="shared" si="8"/>
        <v>3.1599999999999988</v>
      </c>
      <c r="C66" s="953" t="s">
        <v>952</v>
      </c>
      <c r="D66" s="954" t="s">
        <v>22</v>
      </c>
      <c r="E66" s="955">
        <v>6</v>
      </c>
      <c r="F66" s="951">
        <v>42630</v>
      </c>
      <c r="G66" s="952">
        <f t="shared" si="9"/>
        <v>255780</v>
      </c>
      <c r="H66" s="588"/>
      <c r="I66" s="587"/>
      <c r="J66" s="587"/>
      <c r="K66" s="587"/>
      <c r="L66" s="589"/>
      <c r="M66" s="590"/>
      <c r="N66" s="591"/>
      <c r="O66" s="95"/>
      <c r="P66" s="579"/>
      <c r="Q66" s="580"/>
      <c r="R66" s="580"/>
      <c r="S66" s="581"/>
      <c r="T66" s="582"/>
      <c r="U66" s="79"/>
      <c r="V66" s="621"/>
      <c r="W66" s="45">
        <f>245000*1.16*1.15</f>
        <v>326830</v>
      </c>
      <c r="X66" s="45">
        <f>245000*1.16</f>
        <v>284200</v>
      </c>
      <c r="Y66" s="44">
        <f>+W66-X66</f>
        <v>42630</v>
      </c>
      <c r="Z66" s="44"/>
      <c r="AA66" s="44"/>
      <c r="AB66" s="44"/>
    </row>
    <row r="67" spans="1:28" s="45" customFormat="1">
      <c r="A67" s="586"/>
      <c r="B67" s="779">
        <f t="shared" si="8"/>
        <v>3.1699999999999986</v>
      </c>
      <c r="C67" s="102" t="s">
        <v>510</v>
      </c>
      <c r="D67" s="772" t="s">
        <v>22</v>
      </c>
      <c r="E67" s="773">
        <v>6</v>
      </c>
      <c r="F67" s="587">
        <v>1070400</v>
      </c>
      <c r="G67" s="774">
        <f t="shared" si="9"/>
        <v>6422400</v>
      </c>
      <c r="H67" s="588"/>
      <c r="I67" s="587"/>
      <c r="J67" s="587"/>
      <c r="K67" s="587"/>
      <c r="L67" s="589"/>
      <c r="M67" s="590"/>
      <c r="N67" s="591"/>
      <c r="O67" s="95"/>
      <c r="P67" s="579"/>
      <c r="Q67" s="580"/>
      <c r="R67" s="580"/>
      <c r="S67" s="581"/>
      <c r="T67" s="582"/>
      <c r="U67" s="79"/>
      <c r="V67" s="621"/>
      <c r="Y67" s="44"/>
      <c r="Z67" s="44"/>
      <c r="AA67" s="44"/>
      <c r="AB67" s="44"/>
    </row>
    <row r="68" spans="1:28" s="45" customFormat="1">
      <c r="A68" s="586"/>
      <c r="B68" s="779">
        <f t="shared" si="8"/>
        <v>3.1799999999999984</v>
      </c>
      <c r="C68" s="102" t="s">
        <v>537</v>
      </c>
      <c r="D68" s="772" t="s">
        <v>22</v>
      </c>
      <c r="E68" s="773">
        <v>6</v>
      </c>
      <c r="F68" s="587">
        <v>1328000</v>
      </c>
      <c r="G68" s="774">
        <f t="shared" si="9"/>
        <v>7968000</v>
      </c>
      <c r="H68" s="588"/>
      <c r="I68" s="587"/>
      <c r="J68" s="587"/>
      <c r="K68" s="587"/>
      <c r="L68" s="589"/>
      <c r="M68" s="590"/>
      <c r="N68" s="591"/>
      <c r="O68" s="95"/>
      <c r="P68" s="579"/>
      <c r="Q68" s="580"/>
      <c r="R68" s="580"/>
      <c r="S68" s="581"/>
      <c r="T68" s="582"/>
      <c r="U68" s="79"/>
      <c r="V68" s="621"/>
      <c r="Y68" s="44"/>
      <c r="Z68" s="44"/>
      <c r="AA68" s="44"/>
      <c r="AB68" s="44"/>
    </row>
    <row r="69" spans="1:28" s="45" customFormat="1">
      <c r="A69" s="586"/>
      <c r="B69" s="779">
        <f t="shared" si="8"/>
        <v>3.1899999999999982</v>
      </c>
      <c r="C69" s="102" t="s">
        <v>501</v>
      </c>
      <c r="D69" s="772" t="s">
        <v>500</v>
      </c>
      <c r="E69" s="773">
        <v>12</v>
      </c>
      <c r="F69" s="587"/>
      <c r="G69" s="774">
        <f t="shared" si="9"/>
        <v>0</v>
      </c>
      <c r="H69" s="588"/>
      <c r="I69" s="587"/>
      <c r="J69" s="587"/>
      <c r="K69" s="587"/>
      <c r="L69" s="589"/>
      <c r="M69" s="590"/>
      <c r="N69" s="591"/>
      <c r="O69" s="95"/>
      <c r="P69" s="579"/>
      <c r="Q69" s="580"/>
      <c r="R69" s="580"/>
      <c r="S69" s="581"/>
      <c r="T69" s="582"/>
      <c r="U69" s="79"/>
      <c r="V69" s="621"/>
      <c r="Y69" s="44"/>
      <c r="Z69" s="44"/>
      <c r="AA69" s="44"/>
      <c r="AB69" s="44"/>
    </row>
    <row r="70" spans="1:28" s="45" customFormat="1">
      <c r="A70" s="586"/>
      <c r="B70" s="779">
        <f t="shared" si="8"/>
        <v>3.199999999999998</v>
      </c>
      <c r="C70" s="102" t="s">
        <v>506</v>
      </c>
      <c r="D70" s="772" t="s">
        <v>500</v>
      </c>
      <c r="E70" s="773">
        <v>1</v>
      </c>
      <c r="F70" s="587"/>
      <c r="G70" s="774">
        <f t="shared" si="9"/>
        <v>0</v>
      </c>
      <c r="H70" s="588"/>
      <c r="I70" s="587"/>
      <c r="J70" s="587"/>
      <c r="K70" s="587"/>
      <c r="L70" s="589"/>
      <c r="M70" s="590"/>
      <c r="N70" s="591"/>
      <c r="O70" s="95"/>
      <c r="P70" s="579"/>
      <c r="Q70" s="580"/>
      <c r="R70" s="580"/>
      <c r="S70" s="581"/>
      <c r="T70" s="582"/>
      <c r="U70" s="79"/>
      <c r="V70" s="621"/>
      <c r="Y70" s="44"/>
      <c r="Z70" s="44"/>
      <c r="AA70" s="44"/>
      <c r="AB70" s="44"/>
    </row>
    <row r="71" spans="1:28" s="45" customFormat="1" ht="15.75" customHeight="1">
      <c r="A71" s="586"/>
      <c r="B71" s="779">
        <f t="shared" si="8"/>
        <v>3.2099999999999977</v>
      </c>
      <c r="C71" s="102" t="s">
        <v>509</v>
      </c>
      <c r="D71" s="772" t="s">
        <v>56</v>
      </c>
      <c r="E71" s="773">
        <v>77</v>
      </c>
      <c r="F71" s="587">
        <v>150170</v>
      </c>
      <c r="G71" s="774">
        <f t="shared" si="9"/>
        <v>11563090</v>
      </c>
      <c r="H71" s="588"/>
      <c r="I71" s="587"/>
      <c r="J71" s="587"/>
      <c r="K71" s="587"/>
      <c r="L71" s="589"/>
      <c r="M71" s="590"/>
      <c r="N71" s="591"/>
      <c r="O71" s="95"/>
      <c r="P71" s="579"/>
      <c r="Q71" s="580"/>
      <c r="R71" s="580"/>
      <c r="S71" s="581"/>
      <c r="T71" s="582"/>
      <c r="U71" s="79"/>
      <c r="V71" s="621"/>
      <c r="W71" s="215"/>
      <c r="X71" s="830"/>
      <c r="Y71" s="829"/>
      <c r="Z71" s="95"/>
      <c r="AA71" s="95"/>
      <c r="AB71" s="44"/>
    </row>
    <row r="72" spans="1:28" s="45" customFormat="1" ht="25.5">
      <c r="A72" s="586"/>
      <c r="B72" s="779">
        <f t="shared" si="8"/>
        <v>3.2199999999999975</v>
      </c>
      <c r="C72" s="953" t="s">
        <v>1283</v>
      </c>
      <c r="D72" s="954"/>
      <c r="E72" s="955"/>
      <c r="F72" s="951"/>
      <c r="G72" s="952">
        <f t="shared" si="9"/>
        <v>0</v>
      </c>
      <c r="H72" s="588"/>
      <c r="I72" s="587"/>
      <c r="J72" s="587"/>
      <c r="K72" s="587"/>
      <c r="L72" s="589"/>
      <c r="M72" s="590"/>
      <c r="N72" s="591"/>
      <c r="O72" s="95"/>
      <c r="P72" s="579"/>
      <c r="Q72" s="580"/>
      <c r="R72" s="580"/>
      <c r="S72" s="581"/>
      <c r="T72" s="582"/>
      <c r="U72" s="79"/>
      <c r="V72" s="621"/>
      <c r="Y72" s="44"/>
      <c r="Z72" s="44"/>
      <c r="AA72" s="44"/>
      <c r="AB72" s="44"/>
    </row>
    <row r="73" spans="1:28" s="45" customFormat="1">
      <c r="A73" s="586"/>
      <c r="B73" s="857" t="s">
        <v>1032</v>
      </c>
      <c r="C73" s="953" t="s">
        <v>954</v>
      </c>
      <c r="D73" s="954" t="s">
        <v>22</v>
      </c>
      <c r="E73" s="955">
        <v>3</v>
      </c>
      <c r="F73" s="951">
        <v>389542</v>
      </c>
      <c r="G73" s="952">
        <f t="shared" si="9"/>
        <v>1168626</v>
      </c>
      <c r="H73" s="588"/>
      <c r="I73" s="587"/>
      <c r="J73" s="587"/>
      <c r="K73" s="587"/>
      <c r="L73" s="589"/>
      <c r="M73" s="590"/>
      <c r="N73" s="591"/>
      <c r="O73" s="95"/>
      <c r="P73" s="579"/>
      <c r="Q73" s="580"/>
      <c r="R73" s="580"/>
      <c r="S73" s="581"/>
      <c r="T73" s="582"/>
      <c r="U73" s="79"/>
      <c r="V73" s="621"/>
      <c r="X73" s="45">
        <f>6716250*1.16*1.15</f>
        <v>8959477.4999999981</v>
      </c>
      <c r="Y73" s="45">
        <f>6716250*1.16</f>
        <v>7790849.9999999991</v>
      </c>
      <c r="Z73" s="956">
        <f>+Y73*0.05</f>
        <v>389542.5</v>
      </c>
      <c r="AA73" s="951">
        <v>8959478</v>
      </c>
      <c r="AB73" s="957">
        <f>+AA73-Z73</f>
        <v>8569935.5</v>
      </c>
    </row>
    <row r="74" spans="1:28" s="45" customFormat="1">
      <c r="A74" s="586"/>
      <c r="B74" s="857" t="s">
        <v>1033</v>
      </c>
      <c r="C74" s="953" t="s">
        <v>955</v>
      </c>
      <c r="D74" s="954" t="s">
        <v>22</v>
      </c>
      <c r="E74" s="955">
        <v>2</v>
      </c>
      <c r="F74" s="951">
        <v>392913</v>
      </c>
      <c r="G74" s="952">
        <f t="shared" si="9"/>
        <v>785826</v>
      </c>
      <c r="H74" s="588"/>
      <c r="I74" s="587"/>
      <c r="J74" s="587"/>
      <c r="K74" s="587"/>
      <c r="L74" s="589"/>
      <c r="M74" s="590"/>
      <c r="N74" s="591"/>
      <c r="O74" s="95"/>
      <c r="P74" s="579"/>
      <c r="Q74" s="580"/>
      <c r="R74" s="580"/>
      <c r="S74" s="581"/>
      <c r="T74" s="582"/>
      <c r="U74" s="79"/>
      <c r="V74" s="621"/>
      <c r="X74" s="45">
        <f>6774360*1.16*1.15</f>
        <v>9036996.2399999984</v>
      </c>
      <c r="Y74" s="45">
        <f>6774360*1.16</f>
        <v>7858257.5999999996</v>
      </c>
      <c r="Z74" s="956">
        <f>+Y74*0.05</f>
        <v>392912.88</v>
      </c>
      <c r="AA74" s="951">
        <v>9036996</v>
      </c>
      <c r="AB74" s="957">
        <f t="shared" ref="AB74:AB75" si="10">+AA74-Z74</f>
        <v>8644083.1199999992</v>
      </c>
    </row>
    <row r="75" spans="1:28" s="45" customFormat="1">
      <c r="A75" s="586"/>
      <c r="B75" s="857" t="s">
        <v>1034</v>
      </c>
      <c r="C75" s="953" t="s">
        <v>511</v>
      </c>
      <c r="D75" s="954" t="s">
        <v>22</v>
      </c>
      <c r="E75" s="955">
        <v>6</v>
      </c>
      <c r="F75" s="951">
        <v>184266</v>
      </c>
      <c r="G75" s="952">
        <f t="shared" si="9"/>
        <v>1105596</v>
      </c>
      <c r="H75" s="588"/>
      <c r="I75" s="587"/>
      <c r="J75" s="587"/>
      <c r="K75" s="587"/>
      <c r="L75" s="589"/>
      <c r="M75" s="590"/>
      <c r="N75" s="591"/>
      <c r="O75" s="95"/>
      <c r="P75" s="579"/>
      <c r="Q75" s="580"/>
      <c r="R75" s="580"/>
      <c r="S75" s="581"/>
      <c r="T75" s="582"/>
      <c r="U75" s="79"/>
      <c r="V75" s="621"/>
      <c r="W75" s="856"/>
      <c r="X75" s="45">
        <f>3177000*1.16*1.15</f>
        <v>4238117.9999999991</v>
      </c>
      <c r="Y75" s="45">
        <f>3177000*1.16</f>
        <v>3685319.9999999995</v>
      </c>
      <c r="Z75" s="956">
        <f>+Y75*0.05</f>
        <v>184266</v>
      </c>
      <c r="AA75" s="951">
        <v>4238118</v>
      </c>
      <c r="AB75" s="957">
        <f t="shared" si="10"/>
        <v>4053852</v>
      </c>
    </row>
    <row r="76" spans="1:28" s="45" customFormat="1">
      <c r="A76" s="586"/>
      <c r="B76" s="857" t="s">
        <v>1035</v>
      </c>
      <c r="C76" s="102" t="s">
        <v>503</v>
      </c>
      <c r="D76" s="772" t="s">
        <v>22</v>
      </c>
      <c r="E76" s="773">
        <v>3</v>
      </c>
      <c r="F76" s="858">
        <v>890000</v>
      </c>
      <c r="G76" s="774">
        <f t="shared" si="9"/>
        <v>2670000</v>
      </c>
      <c r="H76" s="588"/>
      <c r="I76" s="587"/>
      <c r="J76" s="587"/>
      <c r="K76" s="587"/>
      <c r="L76" s="589"/>
      <c r="M76" s="590"/>
      <c r="N76" s="591"/>
      <c r="O76" s="95"/>
      <c r="P76" s="579"/>
      <c r="Q76" s="580"/>
      <c r="R76" s="580"/>
      <c r="S76" s="581"/>
      <c r="T76" s="582"/>
      <c r="U76" s="79"/>
      <c r="V76" s="621"/>
      <c r="Y76" s="44"/>
      <c r="Z76" s="44"/>
      <c r="AA76" s="44"/>
      <c r="AB76" s="44"/>
    </row>
    <row r="77" spans="1:28" s="45" customFormat="1">
      <c r="A77" s="586"/>
      <c r="B77" s="857" t="s">
        <v>1036</v>
      </c>
      <c r="C77" s="102" t="s">
        <v>504</v>
      </c>
      <c r="D77" s="772" t="s">
        <v>22</v>
      </c>
      <c r="E77" s="773">
        <v>1</v>
      </c>
      <c r="F77" s="858">
        <v>182000</v>
      </c>
      <c r="G77" s="774">
        <f t="shared" si="9"/>
        <v>182000</v>
      </c>
      <c r="H77" s="588"/>
      <c r="I77" s="587"/>
      <c r="J77" s="587"/>
      <c r="K77" s="587"/>
      <c r="L77" s="589"/>
      <c r="M77" s="590"/>
      <c r="N77" s="591"/>
      <c r="O77" s="95"/>
      <c r="P77" s="579"/>
      <c r="Q77" s="580"/>
      <c r="R77" s="580"/>
      <c r="S77" s="581"/>
      <c r="T77" s="582"/>
      <c r="U77" s="79"/>
      <c r="V77" s="621"/>
      <c r="Y77" s="44"/>
      <c r="Z77" s="44"/>
      <c r="AA77" s="44"/>
      <c r="AB77" s="44"/>
    </row>
    <row r="78" spans="1:28" s="45" customFormat="1">
      <c r="A78" s="586"/>
      <c r="B78" s="857" t="s">
        <v>1037</v>
      </c>
      <c r="C78" s="102" t="s">
        <v>505</v>
      </c>
      <c r="D78" s="772" t="s">
        <v>22</v>
      </c>
      <c r="E78" s="773">
        <v>1</v>
      </c>
      <c r="F78" s="858">
        <v>127500</v>
      </c>
      <c r="G78" s="774">
        <f t="shared" si="9"/>
        <v>127500</v>
      </c>
      <c r="H78" s="588"/>
      <c r="I78" s="587"/>
      <c r="J78" s="587"/>
      <c r="K78" s="587"/>
      <c r="L78" s="589"/>
      <c r="M78" s="590"/>
      <c r="N78" s="591"/>
      <c r="O78" s="95"/>
      <c r="P78" s="579"/>
      <c r="Q78" s="580"/>
      <c r="R78" s="580"/>
      <c r="S78" s="581"/>
      <c r="T78" s="582"/>
      <c r="U78" s="79"/>
      <c r="V78" s="621"/>
      <c r="Y78" s="44"/>
      <c r="Z78" s="44"/>
      <c r="AA78" s="44"/>
      <c r="AB78" s="44"/>
    </row>
    <row r="79" spans="1:28" s="45" customFormat="1" ht="25.5">
      <c r="A79" s="586"/>
      <c r="B79" s="779">
        <v>3.23</v>
      </c>
      <c r="C79" s="839" t="s">
        <v>1320</v>
      </c>
      <c r="D79" s="840" t="s">
        <v>22</v>
      </c>
      <c r="E79" s="841">
        <v>2</v>
      </c>
      <c r="F79" s="842">
        <v>2000000</v>
      </c>
      <c r="G79" s="843">
        <f t="shared" si="9"/>
        <v>4000000</v>
      </c>
      <c r="H79" s="588"/>
      <c r="I79" s="587"/>
      <c r="J79" s="587"/>
      <c r="K79" s="587"/>
      <c r="L79" s="589"/>
      <c r="M79" s="590"/>
      <c r="N79" s="591"/>
      <c r="O79" s="95"/>
      <c r="P79" s="579"/>
      <c r="Q79" s="580"/>
      <c r="R79" s="580"/>
      <c r="S79" s="581"/>
      <c r="T79" s="582"/>
      <c r="U79" s="79"/>
      <c r="V79" s="621"/>
      <c r="X79" s="842">
        <f>13962000*1.16*1.25</f>
        <v>20244899.999999996</v>
      </c>
      <c r="Y79" s="44"/>
      <c r="Z79" s="44"/>
      <c r="AA79" s="44"/>
      <c r="AB79" s="44"/>
    </row>
    <row r="80" spans="1:28" s="45" customFormat="1" ht="15.75" thickBot="1">
      <c r="A80" s="586"/>
      <c r="B80" s="771"/>
      <c r="C80" s="114"/>
      <c r="D80" s="115"/>
      <c r="E80" s="116"/>
      <c r="F80" s="117" t="s">
        <v>957</v>
      </c>
      <c r="G80" s="118">
        <f>SUM(G58:G79)</f>
        <v>58639168</v>
      </c>
      <c r="H80" s="588"/>
      <c r="I80" s="587"/>
      <c r="J80" s="587"/>
      <c r="K80" s="587"/>
      <c r="L80" s="589"/>
      <c r="M80" s="590"/>
      <c r="N80" s="591"/>
      <c r="O80" s="95"/>
      <c r="P80" s="579"/>
      <c r="Q80" s="580"/>
      <c r="R80" s="580"/>
      <c r="S80" s="581"/>
      <c r="T80" s="582"/>
      <c r="U80" s="79"/>
      <c r="V80" s="621"/>
      <c r="Y80" s="44"/>
      <c r="Z80" s="44"/>
      <c r="AA80" s="44"/>
      <c r="AB80" s="44"/>
    </row>
    <row r="81" spans="1:28" s="45" customFormat="1">
      <c r="A81" s="586"/>
      <c r="B81" s="771"/>
      <c r="C81" s="102"/>
      <c r="D81" s="772"/>
      <c r="E81" s="773"/>
      <c r="F81" s="587"/>
      <c r="G81" s="774"/>
      <c r="H81" s="588"/>
      <c r="I81" s="587"/>
      <c r="J81" s="587"/>
      <c r="K81" s="587"/>
      <c r="L81" s="589"/>
      <c r="M81" s="590"/>
      <c r="N81" s="591"/>
      <c r="O81" s="95"/>
      <c r="P81" s="579"/>
      <c r="Q81" s="580"/>
      <c r="R81" s="580"/>
      <c r="S81" s="581"/>
      <c r="T81" s="582"/>
      <c r="U81" s="79"/>
      <c r="V81" s="621"/>
      <c r="Y81" s="44"/>
      <c r="Z81" s="44"/>
      <c r="AA81" s="44"/>
      <c r="AB81" s="44"/>
    </row>
    <row r="82" spans="1:28" s="45" customFormat="1" ht="15.75" thickBot="1">
      <c r="A82" s="586"/>
      <c r="B82" s="771"/>
      <c r="C82" s="871"/>
      <c r="D82" s="873"/>
      <c r="E82" s="874"/>
      <c r="F82" s="940" t="s">
        <v>958</v>
      </c>
      <c r="G82" s="1004">
        <f>+G56+G80</f>
        <v>106509795</v>
      </c>
      <c r="H82" s="588"/>
      <c r="I82" s="587"/>
      <c r="J82" s="587"/>
      <c r="K82" s="587"/>
      <c r="L82" s="589"/>
      <c r="M82" s="590"/>
      <c r="N82" s="591"/>
      <c r="O82" s="95"/>
      <c r="P82" s="579"/>
      <c r="Q82" s="580"/>
      <c r="R82" s="580"/>
      <c r="S82" s="581"/>
      <c r="T82" s="582"/>
      <c r="U82" s="79"/>
      <c r="V82" s="621"/>
      <c r="Y82" s="44"/>
      <c r="Z82" s="44"/>
      <c r="AA82" s="44"/>
      <c r="AB82" s="44"/>
    </row>
    <row r="83" spans="1:28" s="45" customFormat="1" ht="15.75" thickBot="1">
      <c r="A83" s="586"/>
      <c r="B83" s="823"/>
      <c r="C83" s="824"/>
      <c r="D83" s="821"/>
      <c r="E83" s="825"/>
      <c r="F83" s="43"/>
      <c r="G83" s="826"/>
      <c r="H83" s="588"/>
      <c r="I83" s="587"/>
      <c r="J83" s="587"/>
      <c r="K83" s="587"/>
      <c r="L83" s="589"/>
      <c r="M83" s="590"/>
      <c r="N83" s="591"/>
      <c r="O83" s="95"/>
      <c r="P83" s="579"/>
      <c r="Q83" s="580"/>
      <c r="R83" s="580"/>
      <c r="S83" s="581"/>
      <c r="T83" s="582"/>
      <c r="U83" s="79"/>
      <c r="V83" s="621"/>
      <c r="Y83" s="44"/>
      <c r="Z83" s="44"/>
      <c r="AA83" s="44"/>
      <c r="AB83" s="44"/>
    </row>
    <row r="84" spans="1:28" s="45" customFormat="1">
      <c r="A84" s="586"/>
      <c r="B84" s="74">
        <v>4</v>
      </c>
      <c r="C84" s="75" t="s">
        <v>475</v>
      </c>
      <c r="D84" s="76"/>
      <c r="E84" s="76"/>
      <c r="F84" s="76"/>
      <c r="G84" s="126"/>
      <c r="H84" s="588"/>
      <c r="I84" s="587"/>
      <c r="J84" s="587"/>
      <c r="K84" s="587"/>
      <c r="L84" s="589"/>
      <c r="M84" s="590"/>
      <c r="N84" s="591"/>
      <c r="O84" s="95"/>
      <c r="P84" s="579"/>
      <c r="Q84" s="580"/>
      <c r="R84" s="580"/>
      <c r="S84" s="581"/>
      <c r="T84" s="582"/>
      <c r="U84" s="79"/>
      <c r="V84" s="621"/>
      <c r="Y84" s="44"/>
      <c r="Z84" s="44"/>
      <c r="AA84" s="44"/>
      <c r="AB84" s="44"/>
    </row>
    <row r="85" spans="1:28" s="45" customFormat="1">
      <c r="A85" s="586"/>
      <c r="B85" s="771"/>
      <c r="C85" s="788" t="s">
        <v>947</v>
      </c>
      <c r="D85" s="772"/>
      <c r="E85" s="773"/>
      <c r="F85" s="587"/>
      <c r="G85" s="774"/>
      <c r="H85" s="588"/>
      <c r="I85" s="587"/>
      <c r="J85" s="587"/>
      <c r="K85" s="587"/>
      <c r="L85" s="589"/>
      <c r="M85" s="590"/>
      <c r="N85" s="591"/>
      <c r="O85" s="95"/>
      <c r="P85" s="579"/>
      <c r="Q85" s="580"/>
      <c r="R85" s="580"/>
      <c r="S85" s="581"/>
      <c r="T85" s="582"/>
      <c r="U85" s="79"/>
      <c r="V85" s="621"/>
      <c r="Y85" s="44"/>
      <c r="Z85" s="44"/>
      <c r="AA85" s="44"/>
      <c r="AB85" s="44"/>
    </row>
    <row r="86" spans="1:28" s="45" customFormat="1">
      <c r="A86" s="586"/>
      <c r="B86" s="771">
        <v>4.0999999999999996</v>
      </c>
      <c r="C86" s="102" t="s">
        <v>943</v>
      </c>
      <c r="D86" s="772" t="s">
        <v>139</v>
      </c>
      <c r="E86" s="587">
        <v>182</v>
      </c>
      <c r="F86" s="587">
        <v>2610</v>
      </c>
      <c r="G86" s="774">
        <f>+E86*F86</f>
        <v>475020</v>
      </c>
      <c r="H86" s="588"/>
      <c r="I86" s="587"/>
      <c r="J86" s="587"/>
      <c r="K86" s="587"/>
      <c r="L86" s="589"/>
      <c r="M86" s="590"/>
      <c r="N86" s="591"/>
      <c r="O86" s="95"/>
      <c r="P86" s="579"/>
      <c r="Q86" s="580"/>
      <c r="R86" s="580"/>
      <c r="S86" s="581"/>
      <c r="T86" s="582"/>
      <c r="U86" s="79"/>
      <c r="V86" s="621"/>
      <c r="AB86" s="44"/>
    </row>
    <row r="87" spans="1:28" s="45" customFormat="1">
      <c r="A87" s="586"/>
      <c r="B87" s="771">
        <f>+B86+0.1</f>
        <v>4.1999999999999993</v>
      </c>
      <c r="C87" s="102" t="s">
        <v>1101</v>
      </c>
      <c r="D87" s="772" t="s">
        <v>139</v>
      </c>
      <c r="E87" s="780">
        <v>84</v>
      </c>
      <c r="F87" s="587">
        <v>5190</v>
      </c>
      <c r="G87" s="774">
        <f t="shared" ref="G87:G92" si="11">+E87*F87</f>
        <v>435960</v>
      </c>
      <c r="H87" s="588"/>
      <c r="I87" s="587"/>
      <c r="J87" s="587"/>
      <c r="K87" s="587"/>
      <c r="L87" s="589"/>
      <c r="M87" s="590"/>
      <c r="N87" s="591"/>
      <c r="O87" s="95"/>
      <c r="P87" s="579"/>
      <c r="Q87" s="580"/>
      <c r="R87" s="580"/>
      <c r="S87" s="581"/>
      <c r="T87" s="582"/>
      <c r="U87" s="79"/>
      <c r="V87" s="621"/>
      <c r="AB87" s="44"/>
    </row>
    <row r="88" spans="1:28" s="45" customFormat="1">
      <c r="A88" s="586"/>
      <c r="B88" s="771">
        <f>+B87+0.1</f>
        <v>4.2999999999999989</v>
      </c>
      <c r="C88" s="102" t="s">
        <v>941</v>
      </c>
      <c r="D88" s="777" t="s">
        <v>139</v>
      </c>
      <c r="E88" s="587">
        <v>98</v>
      </c>
      <c r="F88" s="587">
        <v>10240</v>
      </c>
      <c r="G88" s="774">
        <f t="shared" si="11"/>
        <v>1003520</v>
      </c>
      <c r="H88" s="588"/>
      <c r="I88" s="587"/>
      <c r="J88" s="587"/>
      <c r="K88" s="587"/>
      <c r="L88" s="589"/>
      <c r="M88" s="590"/>
      <c r="N88" s="591"/>
      <c r="O88" s="95"/>
      <c r="P88" s="579"/>
      <c r="Q88" s="580"/>
      <c r="R88" s="580"/>
      <c r="S88" s="581"/>
      <c r="T88" s="582"/>
      <c r="U88" s="79"/>
      <c r="V88" s="621"/>
      <c r="AB88" s="44"/>
    </row>
    <row r="89" spans="1:28" s="45" customFormat="1">
      <c r="A89" s="586"/>
      <c r="B89" s="771">
        <f t="shared" ref="B89:B91" si="12">+B88+0.1</f>
        <v>4.3999999999999986</v>
      </c>
      <c r="C89" s="102" t="s">
        <v>497</v>
      </c>
      <c r="D89" s="777" t="s">
        <v>56</v>
      </c>
      <c r="E89" s="587">
        <v>48</v>
      </c>
      <c r="F89" s="587">
        <v>17220</v>
      </c>
      <c r="G89" s="774">
        <f t="shared" si="11"/>
        <v>826560</v>
      </c>
      <c r="H89" s="588"/>
      <c r="I89" s="587"/>
      <c r="J89" s="587"/>
      <c r="K89" s="587"/>
      <c r="L89" s="589"/>
      <c r="M89" s="590"/>
      <c r="N89" s="591"/>
      <c r="O89" s="95"/>
      <c r="P89" s="579"/>
      <c r="Q89" s="580"/>
      <c r="R89" s="580"/>
      <c r="S89" s="581"/>
      <c r="T89" s="582"/>
      <c r="U89" s="79"/>
      <c r="V89" s="621"/>
      <c r="AB89" s="44"/>
    </row>
    <row r="90" spans="1:28" s="45" customFormat="1">
      <c r="A90" s="586"/>
      <c r="B90" s="771">
        <f t="shared" si="12"/>
        <v>4.4999999999999982</v>
      </c>
      <c r="C90" s="782" t="s">
        <v>979</v>
      </c>
      <c r="D90" s="772" t="s">
        <v>139</v>
      </c>
      <c r="E90" s="587">
        <v>14</v>
      </c>
      <c r="F90" s="587">
        <v>573533</v>
      </c>
      <c r="G90" s="774">
        <f t="shared" si="11"/>
        <v>8029462</v>
      </c>
      <c r="H90" s="588"/>
      <c r="I90" s="587"/>
      <c r="J90" s="587"/>
      <c r="K90" s="587"/>
      <c r="L90" s="589"/>
      <c r="M90" s="590"/>
      <c r="N90" s="591"/>
      <c r="O90" s="95"/>
      <c r="P90" s="579"/>
      <c r="Q90" s="580"/>
      <c r="R90" s="580"/>
      <c r="S90" s="581"/>
      <c r="T90" s="582"/>
      <c r="U90" s="79"/>
      <c r="V90" s="621"/>
      <c r="AB90" s="44"/>
    </row>
    <row r="91" spans="1:28" s="45" customFormat="1">
      <c r="A91" s="586"/>
      <c r="B91" s="771">
        <f t="shared" si="12"/>
        <v>4.5999999999999979</v>
      </c>
      <c r="C91" s="102" t="s">
        <v>976</v>
      </c>
      <c r="D91" s="772" t="s">
        <v>139</v>
      </c>
      <c r="E91" s="587">
        <v>65</v>
      </c>
      <c r="F91" s="587">
        <v>614040</v>
      </c>
      <c r="G91" s="774">
        <f t="shared" si="11"/>
        <v>39912600</v>
      </c>
      <c r="H91" s="588"/>
      <c r="I91" s="587"/>
      <c r="J91" s="587"/>
      <c r="K91" s="587"/>
      <c r="L91" s="589"/>
      <c r="M91" s="590"/>
      <c r="N91" s="591"/>
      <c r="O91" s="95"/>
      <c r="P91" s="579"/>
      <c r="Q91" s="580"/>
      <c r="R91" s="580"/>
      <c r="S91" s="581"/>
      <c r="T91" s="582"/>
      <c r="U91" s="79"/>
      <c r="V91" s="621"/>
      <c r="AB91" s="44"/>
    </row>
    <row r="92" spans="1:28" s="45" customFormat="1">
      <c r="A92" s="586"/>
      <c r="B92" s="771">
        <f>+B91+0.1</f>
        <v>4.6999999999999975</v>
      </c>
      <c r="C92" s="102" t="s">
        <v>939</v>
      </c>
      <c r="D92" s="772" t="s">
        <v>139</v>
      </c>
      <c r="E92" s="587">
        <v>3</v>
      </c>
      <c r="F92" s="587">
        <f>+F54</f>
        <v>594610</v>
      </c>
      <c r="G92" s="774">
        <f t="shared" si="11"/>
        <v>1783830</v>
      </c>
      <c r="H92" s="588"/>
      <c r="I92" s="587"/>
      <c r="J92" s="587"/>
      <c r="K92" s="587"/>
      <c r="L92" s="589"/>
      <c r="M92" s="590"/>
      <c r="N92" s="591"/>
      <c r="O92" s="95"/>
      <c r="P92" s="579"/>
      <c r="Q92" s="580"/>
      <c r="R92" s="580"/>
      <c r="S92" s="581"/>
      <c r="T92" s="582"/>
      <c r="U92" s="79"/>
      <c r="V92" s="621"/>
      <c r="AB92" s="44"/>
    </row>
    <row r="93" spans="1:28" s="45" customFormat="1">
      <c r="A93" s="586"/>
      <c r="B93" s="823"/>
      <c r="C93" s="215"/>
      <c r="D93" s="216"/>
      <c r="E93" s="95"/>
      <c r="F93" s="95"/>
      <c r="G93" s="774"/>
      <c r="H93" s="588"/>
      <c r="I93" s="587"/>
      <c r="J93" s="587"/>
      <c r="K93" s="587"/>
      <c r="L93" s="589"/>
      <c r="M93" s="590"/>
      <c r="N93" s="591"/>
      <c r="O93" s="95"/>
      <c r="P93" s="579"/>
      <c r="Q93" s="580"/>
      <c r="R93" s="580"/>
      <c r="S93" s="581"/>
      <c r="T93" s="582"/>
      <c r="U93" s="79"/>
      <c r="V93" s="621"/>
      <c r="AB93" s="44"/>
    </row>
    <row r="94" spans="1:28" s="45" customFormat="1" ht="15.75" thickBot="1">
      <c r="A94" s="586"/>
      <c r="B94" s="114"/>
      <c r="C94" s="114"/>
      <c r="D94" s="115"/>
      <c r="E94" s="116"/>
      <c r="F94" s="117" t="s">
        <v>966</v>
      </c>
      <c r="G94" s="118">
        <f>SUM(G86:G92)</f>
        <v>52466952</v>
      </c>
      <c r="H94" s="588"/>
      <c r="I94" s="587"/>
      <c r="J94" s="587"/>
      <c r="K94" s="587"/>
      <c r="L94" s="589"/>
      <c r="M94" s="590"/>
      <c r="N94" s="591"/>
      <c r="O94" s="95"/>
      <c r="P94" s="579"/>
      <c r="Q94" s="580"/>
      <c r="R94" s="580"/>
      <c r="S94" s="581"/>
      <c r="T94" s="582"/>
      <c r="U94" s="79"/>
      <c r="V94" s="621"/>
      <c r="AB94" s="44"/>
    </row>
    <row r="95" spans="1:28" s="45" customFormat="1">
      <c r="A95" s="586"/>
      <c r="B95" s="771"/>
      <c r="C95" s="102"/>
      <c r="D95" s="772"/>
      <c r="E95" s="773"/>
      <c r="F95" s="587"/>
      <c r="G95" s="774"/>
      <c r="H95" s="588"/>
      <c r="I95" s="587"/>
      <c r="J95" s="587"/>
      <c r="K95" s="587"/>
      <c r="L95" s="589"/>
      <c r="M95" s="590"/>
      <c r="N95" s="591"/>
      <c r="O95" s="95"/>
      <c r="P95" s="579"/>
      <c r="Q95" s="580"/>
      <c r="R95" s="580"/>
      <c r="S95" s="581"/>
      <c r="T95" s="582"/>
      <c r="U95" s="79"/>
      <c r="V95" s="621"/>
      <c r="Y95" s="44"/>
      <c r="Z95" s="44"/>
      <c r="AA95" s="44"/>
      <c r="AB95" s="44"/>
    </row>
    <row r="96" spans="1:28" s="45" customFormat="1">
      <c r="A96" s="586"/>
      <c r="B96" s="771"/>
      <c r="C96" s="787" t="s">
        <v>948</v>
      </c>
      <c r="D96" s="772"/>
      <c r="E96" s="773"/>
      <c r="F96" s="587"/>
      <c r="G96" s="774"/>
      <c r="H96" s="588"/>
      <c r="I96" s="587"/>
      <c r="J96" s="587"/>
      <c r="K96" s="587"/>
      <c r="L96" s="589"/>
      <c r="M96" s="590"/>
      <c r="N96" s="591"/>
      <c r="O96" s="95"/>
      <c r="P96" s="579"/>
      <c r="Q96" s="580"/>
      <c r="R96" s="580"/>
      <c r="S96" s="581"/>
      <c r="T96" s="582"/>
      <c r="U96" s="79"/>
      <c r="V96" s="621"/>
      <c r="Y96" s="44"/>
      <c r="Z96" s="44"/>
      <c r="AA96" s="44"/>
      <c r="AB96" s="44"/>
    </row>
    <row r="97" spans="1:28" s="45" customFormat="1" ht="78.75" customHeight="1">
      <c r="A97" s="586"/>
      <c r="B97" s="844">
        <v>4.8</v>
      </c>
      <c r="C97" s="102" t="s">
        <v>1284</v>
      </c>
      <c r="D97" s="772"/>
      <c r="E97" s="780"/>
      <c r="F97" s="587"/>
      <c r="G97" s="774"/>
      <c r="H97" s="588"/>
      <c r="I97" s="587"/>
      <c r="J97" s="587"/>
      <c r="K97" s="587"/>
      <c r="L97" s="589"/>
      <c r="M97" s="590"/>
      <c r="N97" s="591"/>
      <c r="O97" s="95"/>
      <c r="P97" s="579"/>
      <c r="Q97" s="580"/>
      <c r="R97" s="580"/>
      <c r="S97" s="581"/>
      <c r="T97" s="582"/>
      <c r="U97" s="79"/>
      <c r="V97" s="621"/>
      <c r="Y97" s="44"/>
      <c r="Z97" s="44"/>
      <c r="AA97" s="44"/>
      <c r="AB97" s="44"/>
    </row>
    <row r="98" spans="1:28" s="45" customFormat="1">
      <c r="A98" s="586"/>
      <c r="B98" s="779">
        <f>+B97+0.1</f>
        <v>4.8999999999999995</v>
      </c>
      <c r="C98" s="953" t="s">
        <v>961</v>
      </c>
      <c r="D98" s="958" t="s">
        <v>22</v>
      </c>
      <c r="E98" s="951">
        <v>2</v>
      </c>
      <c r="F98" s="951">
        <v>500775</v>
      </c>
      <c r="G98" s="952">
        <f t="shared" ref="G98:G120" si="13">E98*F98</f>
        <v>1001550</v>
      </c>
      <c r="H98" s="588"/>
      <c r="I98" s="587"/>
      <c r="J98" s="587"/>
      <c r="K98" s="587"/>
      <c r="L98" s="589"/>
      <c r="M98" s="590"/>
      <c r="N98" s="591"/>
      <c r="O98" s="95"/>
      <c r="P98" s="579"/>
      <c r="Q98" s="580"/>
      <c r="R98" s="580"/>
      <c r="S98" s="581"/>
      <c r="T98" s="582"/>
      <c r="U98" s="79"/>
      <c r="V98" s="621"/>
      <c r="X98" s="45">
        <f>14390100*1.16*1.15</f>
        <v>19196393.399999995</v>
      </c>
      <c r="Y98" s="951">
        <v>19196393</v>
      </c>
      <c r="Z98" s="45">
        <f>14390100*1.16*1.12</f>
        <v>18695617.919999998</v>
      </c>
      <c r="AA98" s="960">
        <f>+Y98-Z98</f>
        <v>500775.08000000194</v>
      </c>
      <c r="AB98" s="960">
        <f>+Y98-AA98</f>
        <v>18695617.919999998</v>
      </c>
    </row>
    <row r="99" spans="1:28" s="45" customFormat="1">
      <c r="A99" s="586"/>
      <c r="B99" s="779">
        <v>4.0999999999999996</v>
      </c>
      <c r="C99" s="953" t="s">
        <v>962</v>
      </c>
      <c r="D99" s="958" t="s">
        <v>22</v>
      </c>
      <c r="E99" s="951">
        <v>2</v>
      </c>
      <c r="F99" s="951">
        <v>259654</v>
      </c>
      <c r="G99" s="952">
        <f t="shared" si="13"/>
        <v>519308</v>
      </c>
      <c r="H99" s="588"/>
      <c r="I99" s="587"/>
      <c r="J99" s="587"/>
      <c r="K99" s="587"/>
      <c r="L99" s="589"/>
      <c r="M99" s="590"/>
      <c r="N99" s="591"/>
      <c r="O99" s="95"/>
      <c r="P99" s="579"/>
      <c r="Q99" s="580"/>
      <c r="R99" s="580"/>
      <c r="S99" s="581"/>
      <c r="T99" s="582"/>
      <c r="U99" s="79"/>
      <c r="V99" s="621"/>
      <c r="X99" s="45">
        <f>4476800*1.16*1.15</f>
        <v>5972051.1999999993</v>
      </c>
      <c r="Y99" s="951">
        <v>5972051</v>
      </c>
      <c r="Z99" s="45">
        <f>4476800*1.16*1.1</f>
        <v>5712396.8000000007</v>
      </c>
      <c r="AA99" s="960">
        <f t="shared" ref="AA99:AA100" si="14">+Y99-Z99</f>
        <v>259654.19999999925</v>
      </c>
      <c r="AB99" s="960">
        <f t="shared" ref="AB99:AB100" si="15">+Y99-AA99</f>
        <v>5712396.8000000007</v>
      </c>
    </row>
    <row r="100" spans="1:28" s="45" customFormat="1">
      <c r="A100" s="586"/>
      <c r="B100" s="779">
        <f>+B99+0.01</f>
        <v>4.1099999999999994</v>
      </c>
      <c r="C100" s="953" t="s">
        <v>963</v>
      </c>
      <c r="D100" s="954" t="s">
        <v>22</v>
      </c>
      <c r="E100" s="951">
        <v>2</v>
      </c>
      <c r="F100" s="951">
        <v>204112</v>
      </c>
      <c r="G100" s="952">
        <f t="shared" si="13"/>
        <v>408224</v>
      </c>
      <c r="H100" s="588"/>
      <c r="I100" s="587"/>
      <c r="J100" s="587"/>
      <c r="K100" s="587"/>
      <c r="L100" s="589"/>
      <c r="M100" s="590"/>
      <c r="N100" s="591"/>
      <c r="O100" s="95"/>
      <c r="P100" s="579"/>
      <c r="Q100" s="580"/>
      <c r="R100" s="580"/>
      <c r="S100" s="581"/>
      <c r="T100" s="582"/>
      <c r="U100" s="79"/>
      <c r="V100" s="621"/>
      <c r="X100" s="45">
        <f>5865300*1.16*1.15</f>
        <v>7824310.1999999983</v>
      </c>
      <c r="Y100" s="951">
        <v>7824310</v>
      </c>
      <c r="Z100" s="45">
        <f>5865300*1.16*1.12</f>
        <v>7620197.7599999998</v>
      </c>
      <c r="AA100" s="960">
        <f t="shared" si="14"/>
        <v>204112.24000000022</v>
      </c>
      <c r="AB100" s="960">
        <f t="shared" si="15"/>
        <v>7620197.7599999998</v>
      </c>
    </row>
    <row r="101" spans="1:28" s="45" customFormat="1" ht="25.5">
      <c r="A101" s="586"/>
      <c r="B101" s="779">
        <f t="shared" ref="B101:B119" si="16">+B100+0.01</f>
        <v>4.1199999999999992</v>
      </c>
      <c r="C101" s="953" t="s">
        <v>1285</v>
      </c>
      <c r="D101" s="958" t="s">
        <v>512</v>
      </c>
      <c r="E101" s="951">
        <v>4</v>
      </c>
      <c r="F101" s="951">
        <v>59276</v>
      </c>
      <c r="G101" s="952">
        <f t="shared" si="13"/>
        <v>237104</v>
      </c>
      <c r="H101" s="588"/>
      <c r="I101" s="587"/>
      <c r="J101" s="587"/>
      <c r="K101" s="587"/>
      <c r="L101" s="589"/>
      <c r="M101" s="590"/>
      <c r="N101" s="591"/>
      <c r="O101" s="95"/>
      <c r="P101" s="579"/>
      <c r="Q101" s="580"/>
      <c r="R101" s="580"/>
      <c r="S101" s="581"/>
      <c r="T101" s="582"/>
      <c r="U101" s="79"/>
      <c r="V101" s="621"/>
      <c r="W101" s="859">
        <f>730000*1.16*1.08</f>
        <v>914543.99999999988</v>
      </c>
      <c r="X101" s="959">
        <f>+Y101-W101</f>
        <v>59276.000000000116</v>
      </c>
      <c r="Y101" s="951">
        <v>973820</v>
      </c>
      <c r="Z101" s="960">
        <f>+Y101-X101</f>
        <v>914543.99999999988</v>
      </c>
      <c r="AA101" s="44"/>
      <c r="AB101" s="960">
        <f>+Y101-X101</f>
        <v>914543.99999999988</v>
      </c>
    </row>
    <row r="102" spans="1:28" s="45" customFormat="1" ht="27" customHeight="1">
      <c r="A102" s="586"/>
      <c r="B102" s="779">
        <f t="shared" si="16"/>
        <v>4.129999999999999</v>
      </c>
      <c r="C102" s="953" t="s">
        <v>1286</v>
      </c>
      <c r="D102" s="958" t="s">
        <v>22</v>
      </c>
      <c r="E102" s="951">
        <v>4</v>
      </c>
      <c r="F102" s="951">
        <v>11124</v>
      </c>
      <c r="G102" s="952">
        <f t="shared" si="13"/>
        <v>44496</v>
      </c>
      <c r="H102" s="588"/>
      <c r="I102" s="587"/>
      <c r="J102" s="587"/>
      <c r="K102" s="587"/>
      <c r="L102" s="589"/>
      <c r="M102" s="590"/>
      <c r="N102" s="591"/>
      <c r="O102" s="95"/>
      <c r="P102" s="579"/>
      <c r="Q102" s="580"/>
      <c r="R102" s="580"/>
      <c r="S102" s="581"/>
      <c r="T102" s="582"/>
      <c r="U102" s="79"/>
      <c r="V102" s="621"/>
      <c r="W102" s="859">
        <f>137000*1.16*1.08</f>
        <v>171633.6</v>
      </c>
      <c r="X102" s="959">
        <f>+Y102-W102</f>
        <v>11124.399999999994</v>
      </c>
      <c r="Y102" s="951">
        <v>182758</v>
      </c>
      <c r="Z102" s="960">
        <f>+Y102-X102</f>
        <v>171633.6</v>
      </c>
      <c r="AA102" s="44"/>
      <c r="AB102" s="960">
        <f>+Y102-X102</f>
        <v>171633.6</v>
      </c>
    </row>
    <row r="103" spans="1:28" s="45" customFormat="1">
      <c r="A103" s="586"/>
      <c r="B103" s="779">
        <f t="shared" si="16"/>
        <v>4.1399999999999988</v>
      </c>
      <c r="C103" s="102" t="s">
        <v>522</v>
      </c>
      <c r="D103" s="772" t="s">
        <v>142</v>
      </c>
      <c r="E103" s="587">
        <v>4000</v>
      </c>
      <c r="F103" s="587">
        <v>3201</v>
      </c>
      <c r="G103" s="774">
        <f>+E103*F104</f>
        <v>18000000</v>
      </c>
      <c r="H103" s="588"/>
      <c r="I103" s="587"/>
      <c r="J103" s="587"/>
      <c r="K103" s="587"/>
      <c r="L103" s="589"/>
      <c r="M103" s="590"/>
      <c r="N103" s="591"/>
      <c r="O103" s="95"/>
      <c r="P103" s="579"/>
      <c r="Q103" s="580"/>
      <c r="R103" s="580"/>
      <c r="S103" s="581"/>
      <c r="T103" s="582"/>
      <c r="U103" s="79"/>
      <c r="V103" s="621"/>
      <c r="Y103" s="44"/>
      <c r="Z103" s="44"/>
      <c r="AA103" s="44"/>
      <c r="AB103" s="44"/>
    </row>
    <row r="104" spans="1:28" s="45" customFormat="1">
      <c r="A104" s="586"/>
      <c r="B104" s="779">
        <f t="shared" si="16"/>
        <v>4.1499999999999986</v>
      </c>
      <c r="C104" s="102" t="s">
        <v>942</v>
      </c>
      <c r="D104" s="777" t="s">
        <v>56</v>
      </c>
      <c r="E104" s="587">
        <v>37</v>
      </c>
      <c r="F104" s="587">
        <v>4500</v>
      </c>
      <c r="G104" s="774">
        <f t="shared" ref="G104:G105" si="17">+E104*F105</f>
        <v>2332850</v>
      </c>
      <c r="H104" s="588"/>
      <c r="I104" s="587"/>
      <c r="J104" s="587"/>
      <c r="K104" s="587"/>
      <c r="L104" s="589"/>
      <c r="M104" s="590"/>
      <c r="N104" s="591"/>
      <c r="O104" s="95"/>
      <c r="P104" s="579"/>
      <c r="Q104" s="580"/>
      <c r="R104" s="580"/>
      <c r="S104" s="581"/>
      <c r="T104" s="582"/>
      <c r="U104" s="79"/>
      <c r="V104" s="621"/>
      <c r="Y104" s="44"/>
      <c r="Z104" s="44"/>
      <c r="AA104" s="44"/>
      <c r="AB104" s="44"/>
    </row>
    <row r="105" spans="1:28" s="45" customFormat="1">
      <c r="A105" s="586"/>
      <c r="B105" s="779">
        <f t="shared" si="16"/>
        <v>4.1599999999999984</v>
      </c>
      <c r="C105" s="102" t="s">
        <v>945</v>
      </c>
      <c r="D105" s="772" t="s">
        <v>139</v>
      </c>
      <c r="E105" s="587">
        <v>53</v>
      </c>
      <c r="F105" s="587">
        <v>63050</v>
      </c>
      <c r="G105" s="774">
        <f t="shared" si="17"/>
        <v>1554490</v>
      </c>
      <c r="H105" s="588"/>
      <c r="I105" s="587"/>
      <c r="J105" s="587"/>
      <c r="K105" s="587"/>
      <c r="L105" s="589"/>
      <c r="M105" s="590"/>
      <c r="N105" s="591"/>
      <c r="O105" s="95"/>
      <c r="P105" s="579"/>
      <c r="Q105" s="580"/>
      <c r="R105" s="580"/>
      <c r="S105" s="581"/>
      <c r="T105" s="582"/>
      <c r="U105" s="79"/>
      <c r="V105" s="621"/>
      <c r="Y105" s="44"/>
      <c r="Z105" s="44"/>
      <c r="AA105" s="44"/>
      <c r="AB105" s="44"/>
    </row>
    <row r="106" spans="1:28" s="45" customFormat="1">
      <c r="A106" s="586"/>
      <c r="B106" s="779">
        <f t="shared" si="16"/>
        <v>4.1699999999999982</v>
      </c>
      <c r="C106" s="102" t="s">
        <v>946</v>
      </c>
      <c r="D106" s="772" t="s">
        <v>540</v>
      </c>
      <c r="E106" s="587">
        <v>30</v>
      </c>
      <c r="F106" s="587">
        <v>29330</v>
      </c>
      <c r="G106" s="774">
        <f>+E106*F106</f>
        <v>879900</v>
      </c>
      <c r="H106" s="588"/>
      <c r="I106" s="587"/>
      <c r="J106" s="587"/>
      <c r="K106" s="587"/>
      <c r="L106" s="589"/>
      <c r="M106" s="590"/>
      <c r="N106" s="591"/>
      <c r="O106" s="95"/>
      <c r="P106" s="579"/>
      <c r="Q106" s="580"/>
      <c r="R106" s="580"/>
      <c r="S106" s="581"/>
      <c r="T106" s="582"/>
      <c r="U106" s="79"/>
      <c r="V106" s="621"/>
      <c r="Y106" s="44"/>
      <c r="Z106" s="44"/>
      <c r="AA106" s="44"/>
      <c r="AB106" s="44"/>
    </row>
    <row r="107" spans="1:28" s="45" customFormat="1">
      <c r="A107" s="586"/>
      <c r="B107" s="779">
        <f t="shared" si="16"/>
        <v>4.1799999999999979</v>
      </c>
      <c r="C107" s="782" t="s">
        <v>950</v>
      </c>
      <c r="D107" s="772" t="s">
        <v>540</v>
      </c>
      <c r="E107" s="587">
        <v>56</v>
      </c>
      <c r="F107" s="587">
        <v>18420</v>
      </c>
      <c r="G107" s="774">
        <f>+E107*F107</f>
        <v>1031520</v>
      </c>
      <c r="H107" s="588"/>
      <c r="I107" s="587"/>
      <c r="J107" s="587"/>
      <c r="K107" s="587"/>
      <c r="L107" s="589"/>
      <c r="M107" s="590"/>
      <c r="N107" s="591"/>
      <c r="O107" s="95"/>
      <c r="P107" s="579"/>
      <c r="Q107" s="580"/>
      <c r="R107" s="580"/>
      <c r="S107" s="581"/>
      <c r="T107" s="582"/>
      <c r="U107" s="79"/>
      <c r="V107" s="621"/>
      <c r="Y107" s="44"/>
      <c r="Z107" s="44"/>
      <c r="AA107" s="44"/>
      <c r="AB107" s="44"/>
    </row>
    <row r="108" spans="1:28" s="45" customFormat="1" ht="24.75" customHeight="1">
      <c r="A108" s="586"/>
      <c r="B108" s="779">
        <f t="shared" si="16"/>
        <v>4.1899999999999977</v>
      </c>
      <c r="C108" s="782" t="s">
        <v>964</v>
      </c>
      <c r="D108" s="772" t="s">
        <v>22</v>
      </c>
      <c r="E108" s="587">
        <v>138</v>
      </c>
      <c r="F108" s="587">
        <v>8400</v>
      </c>
      <c r="G108" s="774">
        <f t="shared" ref="G108:G111" si="18">+E108*F108</f>
        <v>1159200</v>
      </c>
      <c r="H108" s="588"/>
      <c r="I108" s="587"/>
      <c r="J108" s="587"/>
      <c r="K108" s="587"/>
      <c r="L108" s="589"/>
      <c r="M108" s="590"/>
      <c r="N108" s="591"/>
      <c r="O108" s="95"/>
      <c r="P108" s="579"/>
      <c r="Q108" s="580"/>
      <c r="R108" s="580"/>
      <c r="S108" s="581"/>
      <c r="T108" s="582"/>
      <c r="U108" s="79"/>
      <c r="V108" s="621"/>
      <c r="Y108" s="44"/>
      <c r="Z108" s="44"/>
      <c r="AA108" s="44"/>
      <c r="AB108" s="44"/>
    </row>
    <row r="109" spans="1:28" s="45" customFormat="1" ht="15" customHeight="1">
      <c r="A109" s="586"/>
      <c r="B109" s="779">
        <f t="shared" si="16"/>
        <v>4.1999999999999975</v>
      </c>
      <c r="C109" s="102" t="s">
        <v>509</v>
      </c>
      <c r="D109" s="772" t="s">
        <v>56</v>
      </c>
      <c r="E109" s="587">
        <v>36</v>
      </c>
      <c r="F109" s="587">
        <v>150170</v>
      </c>
      <c r="G109" s="774">
        <f t="shared" si="18"/>
        <v>5406120</v>
      </c>
      <c r="H109" s="588"/>
      <c r="I109" s="587"/>
      <c r="J109" s="587"/>
      <c r="K109" s="587"/>
      <c r="L109" s="589"/>
      <c r="M109" s="590"/>
      <c r="N109" s="591"/>
      <c r="O109" s="95"/>
      <c r="P109" s="579"/>
      <c r="Q109" s="580"/>
      <c r="R109" s="580"/>
      <c r="S109" s="581"/>
      <c r="T109" s="582"/>
      <c r="U109" s="79"/>
      <c r="V109" s="621"/>
      <c r="W109" s="215"/>
      <c r="X109" s="830"/>
      <c r="Y109" s="829"/>
      <c r="Z109" s="95"/>
      <c r="AA109" s="95"/>
      <c r="AB109" s="44"/>
    </row>
    <row r="110" spans="1:28" s="45" customFormat="1" ht="25.5">
      <c r="A110" s="586"/>
      <c r="B110" s="779">
        <f t="shared" si="16"/>
        <v>4.2099999999999973</v>
      </c>
      <c r="C110" s="102" t="s">
        <v>935</v>
      </c>
      <c r="D110" s="777" t="s">
        <v>22</v>
      </c>
      <c r="E110" s="587">
        <v>42</v>
      </c>
      <c r="F110" s="587">
        <v>59200</v>
      </c>
      <c r="G110" s="774">
        <f t="shared" si="18"/>
        <v>2486400</v>
      </c>
      <c r="H110" s="588"/>
      <c r="I110" s="587"/>
      <c r="J110" s="587"/>
      <c r="K110" s="587"/>
      <c r="L110" s="589"/>
      <c r="M110" s="590"/>
      <c r="N110" s="591"/>
      <c r="O110" s="95"/>
      <c r="P110" s="579"/>
      <c r="Q110" s="580"/>
      <c r="R110" s="580"/>
      <c r="S110" s="581"/>
      <c r="T110" s="582"/>
      <c r="U110" s="79"/>
      <c r="V110" s="621"/>
      <c r="Y110" s="44"/>
      <c r="Z110" s="44"/>
      <c r="AA110" s="44"/>
      <c r="AB110" s="44"/>
    </row>
    <row r="111" spans="1:28" s="45" customFormat="1" ht="25.5">
      <c r="A111" s="586"/>
      <c r="B111" s="779">
        <f t="shared" si="16"/>
        <v>4.2199999999999971</v>
      </c>
      <c r="C111" s="102" t="s">
        <v>1018</v>
      </c>
      <c r="D111" s="777" t="s">
        <v>512</v>
      </c>
      <c r="E111" s="587">
        <v>30</v>
      </c>
      <c r="F111" s="587">
        <v>30550</v>
      </c>
      <c r="G111" s="774">
        <f t="shared" si="18"/>
        <v>916500</v>
      </c>
      <c r="H111" s="588"/>
      <c r="I111" s="587"/>
      <c r="J111" s="587"/>
      <c r="K111" s="587"/>
      <c r="L111" s="589"/>
      <c r="M111" s="590"/>
      <c r="N111" s="591"/>
      <c r="O111" s="95"/>
      <c r="P111" s="579"/>
      <c r="Q111" s="580"/>
      <c r="R111" s="580"/>
      <c r="S111" s="581"/>
      <c r="T111" s="582"/>
      <c r="U111" s="79"/>
      <c r="V111" s="621"/>
      <c r="Y111" s="44"/>
      <c r="Z111" s="44"/>
      <c r="AA111" s="44"/>
      <c r="AB111" s="44"/>
    </row>
    <row r="112" spans="1:28" s="45" customFormat="1">
      <c r="A112" s="586"/>
      <c r="B112" s="779">
        <f t="shared" si="16"/>
        <v>4.2299999999999969</v>
      </c>
      <c r="C112" s="102" t="s">
        <v>543</v>
      </c>
      <c r="D112" s="777" t="s">
        <v>512</v>
      </c>
      <c r="E112" s="587">
        <v>32</v>
      </c>
      <c r="F112" s="587">
        <v>21450</v>
      </c>
      <c r="G112" s="774">
        <f t="shared" si="13"/>
        <v>686400</v>
      </c>
      <c r="H112" s="588"/>
      <c r="I112" s="587"/>
      <c r="J112" s="587"/>
      <c r="K112" s="587"/>
      <c r="L112" s="589"/>
      <c r="M112" s="590"/>
      <c r="N112" s="591"/>
      <c r="O112" s="95"/>
      <c r="P112" s="579"/>
      <c r="Q112" s="580"/>
      <c r="R112" s="580"/>
      <c r="S112" s="581"/>
      <c r="T112" s="582"/>
      <c r="U112" s="79"/>
      <c r="V112" s="621"/>
      <c r="Y112" s="44"/>
      <c r="Z112" s="44"/>
      <c r="AA112" s="44"/>
      <c r="AB112" s="44"/>
    </row>
    <row r="113" spans="1:28" s="45" customFormat="1">
      <c r="A113" s="586"/>
      <c r="B113" s="779">
        <f t="shared" si="16"/>
        <v>4.2399999999999967</v>
      </c>
      <c r="C113" s="102" t="s">
        <v>545</v>
      </c>
      <c r="D113" s="777" t="s">
        <v>500</v>
      </c>
      <c r="E113" s="587">
        <v>6</v>
      </c>
      <c r="F113" s="587">
        <v>13910</v>
      </c>
      <c r="G113" s="774">
        <f t="shared" si="13"/>
        <v>83460</v>
      </c>
      <c r="H113" s="588"/>
      <c r="I113" s="587"/>
      <c r="J113" s="587"/>
      <c r="K113" s="587"/>
      <c r="L113" s="589"/>
      <c r="M113" s="590"/>
      <c r="N113" s="591"/>
      <c r="O113" s="95"/>
      <c r="P113" s="579"/>
      <c r="Q113" s="580"/>
      <c r="R113" s="580"/>
      <c r="S113" s="581"/>
      <c r="T113" s="582"/>
      <c r="U113" s="79"/>
      <c r="V113" s="621"/>
      <c r="Y113" s="44"/>
      <c r="Z113" s="44"/>
      <c r="AA113" s="44"/>
      <c r="AB113" s="44"/>
    </row>
    <row r="114" spans="1:28" s="45" customFormat="1">
      <c r="A114" s="586"/>
      <c r="B114" s="779">
        <f t="shared" si="16"/>
        <v>4.2499999999999964</v>
      </c>
      <c r="C114" s="102" t="s">
        <v>965</v>
      </c>
      <c r="D114" s="772" t="s">
        <v>512</v>
      </c>
      <c r="E114" s="587">
        <v>32</v>
      </c>
      <c r="F114" s="587">
        <v>3720</v>
      </c>
      <c r="G114" s="774">
        <f t="shared" si="13"/>
        <v>119040</v>
      </c>
      <c r="H114" s="588"/>
      <c r="I114" s="587"/>
      <c r="J114" s="587"/>
      <c r="K114" s="587"/>
      <c r="L114" s="589"/>
      <c r="M114" s="590"/>
      <c r="N114" s="591"/>
      <c r="O114" s="95"/>
      <c r="P114" s="579"/>
      <c r="Q114" s="580"/>
      <c r="R114" s="580"/>
      <c r="S114" s="581"/>
      <c r="T114" s="582"/>
      <c r="U114" s="79"/>
      <c r="V114" s="621"/>
      <c r="Y114" s="44"/>
      <c r="Z114" s="44"/>
      <c r="AA114" s="44"/>
      <c r="AB114" s="44"/>
    </row>
    <row r="115" spans="1:28" s="45" customFormat="1">
      <c r="A115" s="586"/>
      <c r="B115" s="779">
        <f t="shared" si="16"/>
        <v>4.2599999999999962</v>
      </c>
      <c r="C115" s="102" t="s">
        <v>547</v>
      </c>
      <c r="D115" s="777" t="s">
        <v>22</v>
      </c>
      <c r="E115" s="587">
        <v>1</v>
      </c>
      <c r="F115" s="858">
        <v>115000</v>
      </c>
      <c r="G115" s="774">
        <f t="shared" si="13"/>
        <v>115000</v>
      </c>
      <c r="H115" s="588"/>
      <c r="I115" s="587"/>
      <c r="J115" s="587"/>
      <c r="K115" s="587"/>
      <c r="L115" s="589"/>
      <c r="M115" s="590"/>
      <c r="N115" s="591"/>
      <c r="O115" s="95"/>
      <c r="P115" s="579"/>
      <c r="Q115" s="580"/>
      <c r="R115" s="580"/>
      <c r="S115" s="581"/>
      <c r="T115" s="582"/>
      <c r="U115" s="79"/>
      <c r="V115" s="621"/>
      <c r="W115" s="45">
        <f>348000*1.16*1.16</f>
        <v>468268.79999999999</v>
      </c>
      <c r="Y115" s="44"/>
      <c r="Z115" s="44"/>
      <c r="AA115" s="44"/>
      <c r="AB115" s="44"/>
    </row>
    <row r="116" spans="1:28" s="45" customFormat="1">
      <c r="A116" s="586"/>
      <c r="B116" s="779">
        <f t="shared" si="16"/>
        <v>4.269999999999996</v>
      </c>
      <c r="C116" s="102" t="s">
        <v>548</v>
      </c>
      <c r="D116" s="777" t="s">
        <v>22</v>
      </c>
      <c r="E116" s="587">
        <v>4</v>
      </c>
      <c r="F116" s="858">
        <v>469000</v>
      </c>
      <c r="G116" s="774">
        <f t="shared" si="13"/>
        <v>1876000</v>
      </c>
      <c r="H116" s="588"/>
      <c r="I116" s="587"/>
      <c r="J116" s="587"/>
      <c r="K116" s="587"/>
      <c r="L116" s="589"/>
      <c r="M116" s="590"/>
      <c r="N116" s="591"/>
      <c r="O116" s="95"/>
      <c r="P116" s="579"/>
      <c r="Q116" s="580"/>
      <c r="R116" s="580"/>
      <c r="S116" s="581"/>
      <c r="T116" s="582"/>
      <c r="U116" s="79"/>
      <c r="V116" s="621"/>
      <c r="W116" s="45">
        <f>348000*1.16*1.16</f>
        <v>468268.79999999999</v>
      </c>
      <c r="Y116" s="44"/>
      <c r="Z116" s="44"/>
      <c r="AA116" s="44"/>
      <c r="AB116" s="44"/>
    </row>
    <row r="117" spans="1:28" s="45" customFormat="1">
      <c r="A117" s="586"/>
      <c r="B117" s="779">
        <f t="shared" si="16"/>
        <v>4.2799999999999958</v>
      </c>
      <c r="C117" s="860" t="s">
        <v>513</v>
      </c>
      <c r="D117" s="880" t="s">
        <v>22</v>
      </c>
      <c r="E117" s="863">
        <v>676</v>
      </c>
      <c r="F117" s="863">
        <v>43000</v>
      </c>
      <c r="G117" s="864">
        <f t="shared" si="13"/>
        <v>29068000</v>
      </c>
      <c r="H117" s="588"/>
      <c r="I117" s="587"/>
      <c r="J117" s="587"/>
      <c r="K117" s="587"/>
      <c r="L117" s="589"/>
      <c r="M117" s="590"/>
      <c r="N117" s="591"/>
      <c r="O117" s="95"/>
      <c r="P117" s="579"/>
      <c r="Q117" s="580"/>
      <c r="R117" s="580"/>
      <c r="S117" s="581"/>
      <c r="T117" s="582"/>
      <c r="U117" s="79"/>
      <c r="V117" s="621"/>
      <c r="W117" s="878"/>
      <c r="Y117" s="44"/>
      <c r="Z117" s="44"/>
      <c r="AA117" s="44"/>
      <c r="AB117" s="44"/>
    </row>
    <row r="118" spans="1:28" s="45" customFormat="1">
      <c r="A118" s="586"/>
      <c r="B118" s="779">
        <f t="shared" si="16"/>
        <v>4.2899999999999956</v>
      </c>
      <c r="C118" s="102" t="s">
        <v>514</v>
      </c>
      <c r="D118" s="777" t="s">
        <v>22</v>
      </c>
      <c r="E118" s="587">
        <v>676</v>
      </c>
      <c r="F118" s="858">
        <v>14047</v>
      </c>
      <c r="G118" s="774">
        <f>E117*F118</f>
        <v>9495772</v>
      </c>
      <c r="H118" s="588"/>
      <c r="I118" s="587"/>
      <c r="J118" s="587"/>
      <c r="K118" s="587"/>
      <c r="L118" s="589"/>
      <c r="M118" s="590"/>
      <c r="N118" s="591"/>
      <c r="O118" s="95"/>
      <c r="P118" s="579"/>
      <c r="Q118" s="580"/>
      <c r="R118" s="580"/>
      <c r="S118" s="581"/>
      <c r="T118" s="582"/>
      <c r="U118" s="79"/>
      <c r="V118" s="621"/>
      <c r="W118" s="45">
        <v>14047</v>
      </c>
      <c r="Y118" s="44"/>
      <c r="Z118" s="44"/>
      <c r="AA118" s="44"/>
      <c r="AB118" s="44"/>
    </row>
    <row r="119" spans="1:28" s="45" customFormat="1">
      <c r="A119" s="586"/>
      <c r="B119" s="779">
        <f t="shared" si="16"/>
        <v>4.2999999999999954</v>
      </c>
      <c r="C119" s="102" t="s">
        <v>515</v>
      </c>
      <c r="D119" s="772" t="s">
        <v>22</v>
      </c>
      <c r="E119" s="587">
        <v>1372</v>
      </c>
      <c r="F119" s="858">
        <v>2923</v>
      </c>
      <c r="G119" s="774">
        <f>E118*F119</f>
        <v>1975948</v>
      </c>
      <c r="H119" s="588"/>
      <c r="I119" s="587"/>
      <c r="J119" s="587"/>
      <c r="K119" s="587"/>
      <c r="L119" s="589"/>
      <c r="M119" s="590"/>
      <c r="N119" s="591"/>
      <c r="O119" s="95"/>
      <c r="P119" s="579"/>
      <c r="Q119" s="580"/>
      <c r="R119" s="580"/>
      <c r="S119" s="581"/>
      <c r="T119" s="582"/>
      <c r="U119" s="79"/>
      <c r="V119" s="621"/>
      <c r="Y119" s="44"/>
      <c r="Z119" s="44"/>
      <c r="AA119" s="44"/>
      <c r="AB119" s="44"/>
    </row>
    <row r="120" spans="1:28" s="45" customFormat="1">
      <c r="A120" s="586"/>
      <c r="B120" s="779"/>
      <c r="C120" s="102"/>
      <c r="D120" s="777"/>
      <c r="E120" s="780"/>
      <c r="F120" s="776"/>
      <c r="G120" s="774">
        <f t="shared" si="13"/>
        <v>0</v>
      </c>
      <c r="H120" s="588"/>
      <c r="I120" s="587"/>
      <c r="J120" s="587"/>
      <c r="K120" s="587"/>
      <c r="L120" s="589"/>
      <c r="M120" s="590"/>
      <c r="N120" s="591"/>
      <c r="O120" s="95"/>
      <c r="P120" s="579"/>
      <c r="Q120" s="580"/>
      <c r="R120" s="580"/>
      <c r="S120" s="581"/>
      <c r="T120" s="582"/>
      <c r="U120" s="79"/>
      <c r="V120" s="621"/>
      <c r="Y120" s="44"/>
      <c r="Z120" s="44"/>
      <c r="AA120" s="44"/>
      <c r="AB120" s="44"/>
    </row>
    <row r="121" spans="1:28" s="45" customFormat="1">
      <c r="A121" s="586"/>
      <c r="B121" s="771"/>
      <c r="C121" s="102"/>
      <c r="D121" s="777"/>
      <c r="E121" s="780"/>
      <c r="F121" s="587"/>
      <c r="G121" s="774"/>
      <c r="H121" s="588"/>
      <c r="I121" s="587"/>
      <c r="J121" s="587"/>
      <c r="K121" s="587"/>
      <c r="L121" s="589"/>
      <c r="M121" s="590"/>
      <c r="N121" s="591"/>
      <c r="O121" s="95"/>
      <c r="P121" s="579"/>
      <c r="Q121" s="580"/>
      <c r="R121" s="580"/>
      <c r="S121" s="581"/>
      <c r="T121" s="582"/>
      <c r="U121" s="79"/>
      <c r="V121" s="621"/>
      <c r="Y121" s="44"/>
      <c r="Z121" s="44"/>
      <c r="AA121" s="44"/>
      <c r="AB121" s="44"/>
    </row>
    <row r="122" spans="1:28" s="45" customFormat="1" ht="15.75" thickBot="1">
      <c r="A122" s="586"/>
      <c r="B122" s="114"/>
      <c r="C122" s="114"/>
      <c r="D122" s="115"/>
      <c r="E122" s="116"/>
      <c r="F122" s="117" t="s">
        <v>959</v>
      </c>
      <c r="G122" s="118">
        <f>SUM(G97:G120)</f>
        <v>79397282</v>
      </c>
      <c r="H122" s="588"/>
      <c r="I122" s="587"/>
      <c r="J122" s="587"/>
      <c r="K122" s="587"/>
      <c r="L122" s="589"/>
      <c r="M122" s="590"/>
      <c r="N122" s="591"/>
      <c r="O122" s="95"/>
      <c r="P122" s="579"/>
      <c r="Q122" s="580"/>
      <c r="R122" s="580"/>
      <c r="S122" s="581"/>
      <c r="T122" s="582"/>
      <c r="U122" s="79"/>
      <c r="V122" s="621"/>
      <c r="Y122" s="44"/>
      <c r="Z122" s="44"/>
      <c r="AA122" s="44"/>
      <c r="AB122" s="44"/>
    </row>
    <row r="123" spans="1:28" s="45" customFormat="1">
      <c r="A123" s="586"/>
      <c r="B123" s="771"/>
      <c r="C123" s="102"/>
      <c r="D123" s="772"/>
      <c r="E123" s="773"/>
      <c r="F123" s="587"/>
      <c r="G123" s="774"/>
      <c r="H123" s="588"/>
      <c r="I123" s="587"/>
      <c r="J123" s="587"/>
      <c r="K123" s="587"/>
      <c r="L123" s="589"/>
      <c r="M123" s="590"/>
      <c r="N123" s="591"/>
      <c r="O123" s="95"/>
      <c r="P123" s="579"/>
      <c r="Q123" s="580"/>
      <c r="R123" s="580"/>
      <c r="S123" s="581"/>
      <c r="T123" s="582"/>
      <c r="U123" s="79"/>
      <c r="V123" s="621"/>
      <c r="Y123" s="44"/>
      <c r="Z123" s="44"/>
      <c r="AA123" s="44"/>
      <c r="AB123" s="44"/>
    </row>
    <row r="124" spans="1:28" s="45" customFormat="1" ht="15.75" thickBot="1">
      <c r="A124" s="586"/>
      <c r="B124" s="871"/>
      <c r="C124" s="871"/>
      <c r="D124" s="873"/>
      <c r="E124" s="874"/>
      <c r="F124" s="940" t="s">
        <v>960</v>
      </c>
      <c r="G124" s="1004">
        <f>+G94+G122</f>
        <v>131864234</v>
      </c>
      <c r="H124" s="588"/>
      <c r="I124" s="587"/>
      <c r="J124" s="587"/>
      <c r="K124" s="587"/>
      <c r="L124" s="589"/>
      <c r="M124" s="590"/>
      <c r="N124" s="591"/>
      <c r="O124" s="95"/>
      <c r="P124" s="579"/>
      <c r="Q124" s="580"/>
      <c r="R124" s="580"/>
      <c r="S124" s="581"/>
      <c r="T124" s="582"/>
      <c r="U124" s="79"/>
      <c r="V124" s="621"/>
      <c r="Y124" s="44"/>
      <c r="Z124" s="44"/>
      <c r="AA124" s="44"/>
      <c r="AB124" s="44"/>
    </row>
    <row r="125" spans="1:28" s="45" customFormat="1" ht="15.75" thickBot="1">
      <c r="A125" s="586"/>
      <c r="B125" s="771"/>
      <c r="C125" s="102"/>
      <c r="D125" s="772"/>
      <c r="E125" s="773"/>
      <c r="F125" s="587"/>
      <c r="G125" s="774"/>
      <c r="H125" s="588"/>
      <c r="I125" s="587"/>
      <c r="J125" s="587"/>
      <c r="K125" s="587"/>
      <c r="L125" s="589"/>
      <c r="M125" s="590"/>
      <c r="N125" s="591"/>
      <c r="O125" s="95"/>
      <c r="P125" s="579"/>
      <c r="Q125" s="580"/>
      <c r="R125" s="580"/>
      <c r="S125" s="581"/>
      <c r="T125" s="582"/>
      <c r="U125" s="79"/>
      <c r="V125" s="621"/>
      <c r="Y125" s="44"/>
      <c r="Z125" s="44"/>
      <c r="AA125" s="44"/>
      <c r="AB125" s="44"/>
    </row>
    <row r="126" spans="1:28" s="45" customFormat="1">
      <c r="A126" s="586"/>
      <c r="B126" s="74">
        <v>5</v>
      </c>
      <c r="C126" s="75" t="s">
        <v>476</v>
      </c>
      <c r="D126" s="76"/>
      <c r="E126" s="76"/>
      <c r="F126" s="76"/>
      <c r="G126" s="126"/>
      <c r="H126" s="588"/>
      <c r="I126" s="587"/>
      <c r="J126" s="587"/>
      <c r="K126" s="587"/>
      <c r="L126" s="589"/>
      <c r="M126" s="590"/>
      <c r="N126" s="591"/>
      <c r="O126" s="95"/>
      <c r="P126" s="579"/>
      <c r="Q126" s="580"/>
      <c r="R126" s="580"/>
      <c r="S126" s="581"/>
      <c r="T126" s="582"/>
      <c r="U126" s="79"/>
      <c r="V126" s="621"/>
      <c r="Y126" s="44"/>
      <c r="Z126" s="44"/>
      <c r="AA126" s="44"/>
      <c r="AB126" s="44"/>
    </row>
    <row r="127" spans="1:28" s="45" customFormat="1">
      <c r="A127" s="586"/>
      <c r="B127" s="771"/>
      <c r="C127" s="788" t="s">
        <v>947</v>
      </c>
      <c r="D127" s="772"/>
      <c r="E127" s="773"/>
      <c r="F127" s="587"/>
      <c r="G127" s="774"/>
      <c r="H127" s="588"/>
      <c r="I127" s="587"/>
      <c r="J127" s="587"/>
      <c r="K127" s="587"/>
      <c r="L127" s="589"/>
      <c r="M127" s="590"/>
      <c r="N127" s="591"/>
      <c r="O127" s="95"/>
      <c r="P127" s="579"/>
      <c r="Q127" s="580"/>
      <c r="R127" s="580"/>
      <c r="S127" s="581"/>
      <c r="T127" s="582"/>
      <c r="U127" s="79"/>
      <c r="V127" s="621"/>
      <c r="Y127" s="44"/>
      <c r="Z127" s="44"/>
      <c r="AA127" s="44"/>
      <c r="AB127" s="44"/>
    </row>
    <row r="128" spans="1:28" s="45" customFormat="1">
      <c r="A128" s="586"/>
      <c r="B128" s="771">
        <v>5.0999999999999996</v>
      </c>
      <c r="C128" s="102" t="s">
        <v>943</v>
      </c>
      <c r="D128" s="772" t="s">
        <v>139</v>
      </c>
      <c r="E128" s="587">
        <v>457</v>
      </c>
      <c r="F128" s="587">
        <v>2610</v>
      </c>
      <c r="G128" s="774">
        <f>+E128*F128</f>
        <v>1192770</v>
      </c>
      <c r="H128" s="588"/>
      <c r="I128" s="587"/>
      <c r="J128" s="587"/>
      <c r="K128" s="587"/>
      <c r="L128" s="589"/>
      <c r="M128" s="590"/>
      <c r="N128" s="591"/>
      <c r="O128" s="95"/>
      <c r="P128" s="579"/>
      <c r="Q128" s="580"/>
      <c r="R128" s="580"/>
      <c r="S128" s="581"/>
      <c r="T128" s="582"/>
      <c r="U128" s="79"/>
      <c r="V128" s="621"/>
      <c r="Y128" s="44"/>
      <c r="Z128" s="44"/>
      <c r="AA128" s="44"/>
      <c r="AB128" s="44"/>
    </row>
    <row r="129" spans="1:32" s="45" customFormat="1">
      <c r="A129" s="586"/>
      <c r="B129" s="771">
        <f>+B128+0.1</f>
        <v>5.1999999999999993</v>
      </c>
      <c r="C129" s="102" t="s">
        <v>1101</v>
      </c>
      <c r="D129" s="772" t="s">
        <v>139</v>
      </c>
      <c r="E129" s="587">
        <v>451</v>
      </c>
      <c r="F129" s="587">
        <v>5190</v>
      </c>
      <c r="G129" s="774">
        <f t="shared" ref="G129:G134" si="19">+E129*F129</f>
        <v>2340690</v>
      </c>
      <c r="H129" s="588"/>
      <c r="I129" s="587"/>
      <c r="J129" s="587"/>
      <c r="K129" s="587"/>
      <c r="L129" s="589"/>
      <c r="M129" s="590"/>
      <c r="N129" s="591"/>
      <c r="O129" s="95"/>
      <c r="P129" s="579"/>
      <c r="Q129" s="580"/>
      <c r="R129" s="580"/>
      <c r="S129" s="581"/>
      <c r="T129" s="582"/>
      <c r="U129" s="79"/>
      <c r="V129" s="621"/>
      <c r="AB129" s="44"/>
    </row>
    <row r="130" spans="1:32" s="45" customFormat="1">
      <c r="A130" s="586"/>
      <c r="B130" s="771">
        <f t="shared" ref="B130:B135" si="20">+B129+0.1</f>
        <v>5.2999999999999989</v>
      </c>
      <c r="C130" s="102" t="s">
        <v>941</v>
      </c>
      <c r="D130" s="777" t="s">
        <v>139</v>
      </c>
      <c r="E130" s="587">
        <v>64</v>
      </c>
      <c r="F130" s="587">
        <v>10240</v>
      </c>
      <c r="G130" s="774">
        <f t="shared" si="19"/>
        <v>655360</v>
      </c>
      <c r="H130" s="588"/>
      <c r="I130" s="587"/>
      <c r="J130" s="587"/>
      <c r="K130" s="587"/>
      <c r="L130" s="589"/>
      <c r="M130" s="590"/>
      <c r="N130" s="591"/>
      <c r="O130" s="95"/>
      <c r="P130" s="579"/>
      <c r="Q130" s="580"/>
      <c r="R130" s="580"/>
      <c r="S130" s="581"/>
      <c r="T130" s="582"/>
      <c r="U130" s="79"/>
      <c r="V130" s="621"/>
      <c r="AB130" s="44"/>
    </row>
    <row r="131" spans="1:32" s="45" customFormat="1">
      <c r="A131" s="586"/>
      <c r="B131" s="771">
        <f t="shared" si="20"/>
        <v>5.3999999999999986</v>
      </c>
      <c r="C131" s="102" t="s">
        <v>497</v>
      </c>
      <c r="D131" s="777" t="s">
        <v>56</v>
      </c>
      <c r="E131" s="587">
        <v>80</v>
      </c>
      <c r="F131" s="587">
        <v>17220</v>
      </c>
      <c r="G131" s="774">
        <f t="shared" si="19"/>
        <v>1377600</v>
      </c>
      <c r="H131" s="588"/>
      <c r="I131" s="587"/>
      <c r="J131" s="587"/>
      <c r="K131" s="587"/>
      <c r="L131" s="589"/>
      <c r="M131" s="590"/>
      <c r="N131" s="591"/>
      <c r="O131" s="95"/>
      <c r="P131" s="579"/>
      <c r="Q131" s="580"/>
      <c r="R131" s="580"/>
      <c r="S131" s="581"/>
      <c r="T131" s="582"/>
      <c r="U131" s="79"/>
      <c r="V131" s="621"/>
      <c r="AB131" s="44"/>
    </row>
    <row r="132" spans="1:32" s="45" customFormat="1">
      <c r="A132" s="586"/>
      <c r="B132" s="771">
        <f t="shared" si="20"/>
        <v>5.4999999999999982</v>
      </c>
      <c r="C132" s="782" t="s">
        <v>979</v>
      </c>
      <c r="D132" s="772" t="s">
        <v>139</v>
      </c>
      <c r="E132" s="587">
        <v>29</v>
      </c>
      <c r="F132" s="587">
        <v>573533</v>
      </c>
      <c r="G132" s="774">
        <f t="shared" si="19"/>
        <v>16632457</v>
      </c>
      <c r="H132" s="588"/>
      <c r="I132" s="587"/>
      <c r="J132" s="587"/>
      <c r="K132" s="587"/>
      <c r="L132" s="589"/>
      <c r="M132" s="590"/>
      <c r="N132" s="591"/>
      <c r="O132" s="95"/>
      <c r="P132" s="579"/>
      <c r="Q132" s="580"/>
      <c r="R132" s="580"/>
      <c r="S132" s="581"/>
      <c r="T132" s="582"/>
      <c r="U132" s="79"/>
      <c r="V132" s="621"/>
      <c r="AB132" s="44"/>
    </row>
    <row r="133" spans="1:32" s="45" customFormat="1">
      <c r="A133" s="586"/>
      <c r="B133" s="771">
        <f t="shared" si="20"/>
        <v>5.5999999999999979</v>
      </c>
      <c r="C133" s="102" t="s">
        <v>976</v>
      </c>
      <c r="D133" s="772" t="s">
        <v>139</v>
      </c>
      <c r="E133" s="587">
        <v>1.5</v>
      </c>
      <c r="F133" s="587">
        <v>614040</v>
      </c>
      <c r="G133" s="774">
        <f t="shared" si="19"/>
        <v>921060</v>
      </c>
      <c r="H133" s="588"/>
      <c r="I133" s="587"/>
      <c r="J133" s="587"/>
      <c r="K133" s="587"/>
      <c r="L133" s="589"/>
      <c r="M133" s="590"/>
      <c r="N133" s="591"/>
      <c r="O133" s="95"/>
      <c r="P133" s="579"/>
      <c r="Q133" s="580"/>
      <c r="R133" s="580"/>
      <c r="S133" s="581"/>
      <c r="T133" s="582"/>
      <c r="U133" s="79"/>
      <c r="V133" s="621"/>
      <c r="AB133" s="44"/>
    </row>
    <row r="134" spans="1:32" s="45" customFormat="1">
      <c r="A134" s="586"/>
      <c r="B134" s="771">
        <f t="shared" si="20"/>
        <v>5.6999999999999975</v>
      </c>
      <c r="C134" s="102" t="s">
        <v>944</v>
      </c>
      <c r="D134" s="772" t="s">
        <v>139</v>
      </c>
      <c r="E134" s="587">
        <v>88</v>
      </c>
      <c r="F134" s="587">
        <f>+F53</f>
        <v>614040</v>
      </c>
      <c r="G134" s="774">
        <f t="shared" si="19"/>
        <v>54035520</v>
      </c>
      <c r="H134" s="588"/>
      <c r="I134" s="587"/>
      <c r="J134" s="587"/>
      <c r="K134" s="587"/>
      <c r="L134" s="589"/>
      <c r="M134" s="590"/>
      <c r="N134" s="591"/>
      <c r="O134" s="95"/>
      <c r="P134" s="579"/>
      <c r="Q134" s="580"/>
      <c r="R134" s="580"/>
      <c r="S134" s="581"/>
      <c r="T134" s="582"/>
      <c r="U134" s="79"/>
      <c r="V134" s="621"/>
      <c r="AB134" s="44"/>
    </row>
    <row r="135" spans="1:32" s="45" customFormat="1">
      <c r="A135" s="586"/>
      <c r="B135" s="771">
        <f t="shared" si="20"/>
        <v>5.7999999999999972</v>
      </c>
      <c r="C135" s="102" t="s">
        <v>939</v>
      </c>
      <c r="D135" s="772" t="s">
        <v>139</v>
      </c>
      <c r="E135" s="587">
        <v>23</v>
      </c>
      <c r="F135" s="587">
        <v>594610</v>
      </c>
      <c r="G135" s="774">
        <f>+E135*F135</f>
        <v>13676030</v>
      </c>
      <c r="H135" s="588"/>
      <c r="I135" s="587"/>
      <c r="J135" s="587"/>
      <c r="K135" s="587"/>
      <c r="L135" s="589"/>
      <c r="M135" s="590"/>
      <c r="N135" s="591"/>
      <c r="O135" s="95"/>
      <c r="P135" s="579"/>
      <c r="Q135" s="580"/>
      <c r="R135" s="580"/>
      <c r="S135" s="581"/>
      <c r="T135" s="582"/>
      <c r="U135" s="79"/>
      <c r="V135" s="621"/>
      <c r="AB135" s="44"/>
    </row>
    <row r="136" spans="1:32" s="45" customFormat="1">
      <c r="A136" s="586"/>
      <c r="B136" s="771"/>
      <c r="C136" s="215"/>
      <c r="D136" s="216"/>
      <c r="E136" s="95"/>
      <c r="F136" s="95"/>
      <c r="G136" s="774"/>
      <c r="H136" s="588"/>
      <c r="I136" s="587"/>
      <c r="J136" s="587"/>
      <c r="K136" s="587"/>
      <c r="L136" s="589"/>
      <c r="M136" s="590"/>
      <c r="N136" s="591"/>
      <c r="O136" s="95"/>
      <c r="P136" s="579"/>
      <c r="Q136" s="580"/>
      <c r="R136" s="580"/>
      <c r="S136" s="581"/>
      <c r="T136" s="582"/>
      <c r="U136" s="79"/>
      <c r="V136" s="621"/>
      <c r="AB136" s="44"/>
    </row>
    <row r="137" spans="1:32" s="45" customFormat="1" ht="15.75" thickBot="1">
      <c r="A137" s="586"/>
      <c r="B137" s="114"/>
      <c r="C137" s="114"/>
      <c r="D137" s="115"/>
      <c r="E137" s="116"/>
      <c r="F137" s="117" t="s">
        <v>967</v>
      </c>
      <c r="G137" s="118">
        <f>SUM(G128:G135)</f>
        <v>90831487</v>
      </c>
      <c r="H137" s="588"/>
      <c r="I137" s="587"/>
      <c r="J137" s="587"/>
      <c r="K137" s="587"/>
      <c r="L137" s="589"/>
      <c r="M137" s="590"/>
      <c r="N137" s="591"/>
      <c r="O137" s="95"/>
      <c r="P137" s="579"/>
      <c r="Q137" s="580"/>
      <c r="R137" s="580"/>
      <c r="S137" s="581"/>
      <c r="T137" s="582"/>
      <c r="U137" s="79"/>
      <c r="V137" s="621"/>
      <c r="X137" s="819"/>
      <c r="Y137" s="44"/>
      <c r="Z137" s="44"/>
      <c r="AA137" s="44"/>
      <c r="AB137" s="44"/>
    </row>
    <row r="138" spans="1:32" s="45" customFormat="1">
      <c r="A138" s="586"/>
      <c r="B138" s="771"/>
      <c r="C138" s="102"/>
      <c r="D138" s="772"/>
      <c r="E138" s="773"/>
      <c r="F138" s="587"/>
      <c r="G138" s="774">
        <f>+E138*F203</f>
        <v>0</v>
      </c>
      <c r="H138" s="588"/>
      <c r="I138" s="587"/>
      <c r="J138" s="587"/>
      <c r="K138" s="587"/>
      <c r="L138" s="589"/>
      <c r="M138" s="590"/>
      <c r="N138" s="591"/>
      <c r="O138" s="95"/>
      <c r="P138" s="579"/>
      <c r="Q138" s="580"/>
      <c r="R138" s="580"/>
      <c r="S138" s="581"/>
      <c r="T138" s="582"/>
      <c r="U138" s="79"/>
      <c r="V138" s="621"/>
      <c r="Y138" s="44"/>
      <c r="Z138" s="44"/>
      <c r="AA138" s="44"/>
      <c r="AB138" s="44"/>
    </row>
    <row r="139" spans="1:32" s="45" customFormat="1">
      <c r="A139" s="586"/>
      <c r="B139" s="771"/>
      <c r="C139" s="787" t="s">
        <v>948</v>
      </c>
      <c r="D139" s="772"/>
      <c r="E139" s="773"/>
      <c r="F139" s="587"/>
      <c r="G139" s="774"/>
      <c r="H139" s="588"/>
      <c r="I139" s="587"/>
      <c r="J139" s="587"/>
      <c r="K139" s="587"/>
      <c r="L139" s="589"/>
      <c r="M139" s="590"/>
      <c r="N139" s="591"/>
      <c r="O139" s="95"/>
      <c r="P139" s="579"/>
      <c r="Q139" s="580"/>
      <c r="R139" s="580"/>
      <c r="S139" s="581"/>
      <c r="T139" s="582"/>
      <c r="U139" s="79"/>
      <c r="V139" s="621"/>
      <c r="Y139" s="44"/>
      <c r="Z139" s="44"/>
      <c r="AA139" s="44"/>
      <c r="AB139" s="44"/>
    </row>
    <row r="140" spans="1:32" s="45" customFormat="1" ht="105.75" customHeight="1">
      <c r="A140" s="586"/>
      <c r="B140" s="986">
        <v>5.9</v>
      </c>
      <c r="C140" s="988" t="s">
        <v>1287</v>
      </c>
      <c r="D140" s="820"/>
      <c r="E140" s="969"/>
      <c r="F140" s="858"/>
      <c r="G140" s="990">
        <f>E140*F140</f>
        <v>0</v>
      </c>
      <c r="H140" s="588"/>
      <c r="I140" s="587"/>
      <c r="J140" s="587"/>
      <c r="K140" s="587"/>
      <c r="L140" s="589"/>
      <c r="M140" s="590"/>
      <c r="N140" s="591"/>
      <c r="O140" s="95"/>
      <c r="P140" s="579"/>
      <c r="Q140" s="580"/>
      <c r="R140" s="580"/>
      <c r="S140" s="581"/>
      <c r="T140" s="582"/>
      <c r="U140" s="79"/>
      <c r="V140" s="621"/>
      <c r="Y140" s="44"/>
      <c r="Z140" s="44"/>
      <c r="AA140" s="44"/>
      <c r="AB140" s="44"/>
    </row>
    <row r="141" spans="1:32" s="45" customFormat="1">
      <c r="A141" s="586"/>
      <c r="B141" s="986" t="s">
        <v>988</v>
      </c>
      <c r="C141" s="988" t="s">
        <v>1009</v>
      </c>
      <c r="D141" s="820" t="s">
        <v>22</v>
      </c>
      <c r="E141" s="969">
        <v>4</v>
      </c>
      <c r="F141" s="858">
        <v>257218</v>
      </c>
      <c r="G141" s="990">
        <f>+E141*F141</f>
        <v>1028872</v>
      </c>
      <c r="H141" s="588"/>
      <c r="I141" s="587"/>
      <c r="J141" s="587"/>
      <c r="K141" s="587"/>
      <c r="L141" s="589"/>
      <c r="M141" s="590"/>
      <c r="N141" s="591"/>
      <c r="O141" s="95"/>
      <c r="P141" s="579"/>
      <c r="Q141" s="580"/>
      <c r="R141" s="580"/>
      <c r="S141" s="581"/>
      <c r="T141" s="582"/>
      <c r="U141" s="79"/>
      <c r="V141" s="621"/>
      <c r="X141" s="45">
        <f>1.16*1.15</f>
        <v>1.3339999999999999</v>
      </c>
      <c r="Y141" s="44">
        <v>4434800</v>
      </c>
      <c r="Z141" s="868">
        <f>+Y141*X141</f>
        <v>5916023.1999999993</v>
      </c>
      <c r="AA141" s="45">
        <f>1.16*1.1</f>
        <v>1.276</v>
      </c>
      <c r="AB141" s="44">
        <v>4434800</v>
      </c>
      <c r="AD141" s="45">
        <f>+AB141*AA141</f>
        <v>5658804.7999999998</v>
      </c>
      <c r="AE141" s="961">
        <f>+Z141-AD141</f>
        <v>257218.39999999944</v>
      </c>
      <c r="AF141" s="45">
        <v>257218</v>
      </c>
    </row>
    <row r="142" spans="1:32" s="45" customFormat="1" ht="15" customHeight="1">
      <c r="A142" s="586"/>
      <c r="B142" s="986" t="s">
        <v>989</v>
      </c>
      <c r="C142" s="988" t="s">
        <v>1010</v>
      </c>
      <c r="D142" s="989" t="s">
        <v>22</v>
      </c>
      <c r="E142" s="969">
        <v>4</v>
      </c>
      <c r="F142" s="858">
        <v>694733</v>
      </c>
      <c r="G142" s="990">
        <f t="shared" ref="G142:G155" si="21">+E142*F142</f>
        <v>2778932</v>
      </c>
      <c r="H142" s="588"/>
      <c r="I142" s="587"/>
      <c r="J142" s="587"/>
      <c r="K142" s="587"/>
      <c r="L142" s="589"/>
      <c r="M142" s="590"/>
      <c r="N142" s="591"/>
      <c r="O142" s="95"/>
      <c r="P142" s="579"/>
      <c r="Q142" s="580"/>
      <c r="R142" s="580"/>
      <c r="S142" s="581"/>
      <c r="T142" s="582"/>
      <c r="U142" s="79"/>
      <c r="V142" s="621"/>
      <c r="X142" s="45">
        <f t="shared" ref="X142:X146" si="22">1.16*1.15</f>
        <v>1.3339999999999999</v>
      </c>
      <c r="Y142" s="44">
        <v>19963600</v>
      </c>
      <c r="Z142" s="868">
        <f t="shared" ref="Z142:Z146" si="23">+Y142*X142</f>
        <v>26631442.399999999</v>
      </c>
      <c r="AA142" s="45">
        <f>1.16*1.12</f>
        <v>1.2992000000000001</v>
      </c>
      <c r="AB142" s="44">
        <v>19963600</v>
      </c>
      <c r="AD142" s="45">
        <f t="shared" ref="AD142:AD146" si="24">+AB142*AA142</f>
        <v>25936709.120000001</v>
      </c>
      <c r="AE142" s="961">
        <f t="shared" ref="AE142:AE146" si="25">+Z142-AD142</f>
        <v>694733.27999999747</v>
      </c>
      <c r="AF142" s="45">
        <v>694733</v>
      </c>
    </row>
    <row r="143" spans="1:32" s="45" customFormat="1">
      <c r="A143" s="586"/>
      <c r="B143" s="986"/>
      <c r="C143" s="988" t="s">
        <v>1011</v>
      </c>
      <c r="D143" s="989" t="s">
        <v>22</v>
      </c>
      <c r="E143" s="969">
        <v>1</v>
      </c>
      <c r="F143" s="858">
        <v>388529</v>
      </c>
      <c r="G143" s="990">
        <f t="shared" si="21"/>
        <v>388529</v>
      </c>
      <c r="H143" s="588"/>
      <c r="I143" s="587"/>
      <c r="J143" s="587"/>
      <c r="K143" s="587"/>
      <c r="L143" s="589"/>
      <c r="M143" s="590"/>
      <c r="N143" s="591"/>
      <c r="O143" s="95"/>
      <c r="P143" s="579"/>
      <c r="Q143" s="580"/>
      <c r="R143" s="580"/>
      <c r="S143" s="581"/>
      <c r="T143" s="582"/>
      <c r="U143" s="79"/>
      <c r="V143" s="621"/>
      <c r="X143" s="45">
        <f t="shared" si="22"/>
        <v>1.3339999999999999</v>
      </c>
      <c r="Y143" s="44">
        <v>8373470</v>
      </c>
      <c r="Z143" s="868">
        <f t="shared" si="23"/>
        <v>11170208.979999999</v>
      </c>
      <c r="AA143" s="45">
        <f>1.16*1.11</f>
        <v>1.2876000000000001</v>
      </c>
      <c r="AB143" s="44">
        <v>8373470</v>
      </c>
      <c r="AD143" s="45">
        <f t="shared" si="24"/>
        <v>10781679.972000001</v>
      </c>
      <c r="AE143" s="961">
        <f t="shared" si="25"/>
        <v>388529.00799999759</v>
      </c>
      <c r="AF143" s="45">
        <v>388529</v>
      </c>
    </row>
    <row r="144" spans="1:32" s="45" customFormat="1">
      <c r="A144" s="586"/>
      <c r="B144" s="986" t="s">
        <v>990</v>
      </c>
      <c r="C144" s="988" t="s">
        <v>1012</v>
      </c>
      <c r="D144" s="820" t="s">
        <v>22</v>
      </c>
      <c r="E144" s="969">
        <v>4</v>
      </c>
      <c r="F144" s="858">
        <v>664591</v>
      </c>
      <c r="G144" s="990">
        <f t="shared" si="21"/>
        <v>2658364</v>
      </c>
      <c r="H144" s="588"/>
      <c r="I144" s="587"/>
      <c r="J144" s="587"/>
      <c r="K144" s="587"/>
      <c r="L144" s="589"/>
      <c r="M144" s="590"/>
      <c r="N144" s="591"/>
      <c r="O144" s="95"/>
      <c r="P144" s="579"/>
      <c r="Q144" s="580"/>
      <c r="R144" s="580"/>
      <c r="S144" s="581"/>
      <c r="T144" s="582"/>
      <c r="U144" s="79"/>
      <c r="V144" s="621"/>
      <c r="X144" s="45">
        <f t="shared" si="22"/>
        <v>1.3339999999999999</v>
      </c>
      <c r="Y144" s="44">
        <v>11458470</v>
      </c>
      <c r="Z144" s="868">
        <f t="shared" si="23"/>
        <v>15285598.979999999</v>
      </c>
      <c r="AA144" s="45">
        <f>1.16*1.1</f>
        <v>1.276</v>
      </c>
      <c r="AB144" s="44">
        <v>11458470</v>
      </c>
      <c r="AD144" s="45">
        <f t="shared" si="24"/>
        <v>14621007.720000001</v>
      </c>
      <c r="AE144" s="961">
        <f t="shared" si="25"/>
        <v>664591.25999999791</v>
      </c>
      <c r="AF144" s="45">
        <v>664591</v>
      </c>
    </row>
    <row r="145" spans="1:32" s="45" customFormat="1">
      <c r="A145" s="586"/>
      <c r="B145" s="986" t="s">
        <v>991</v>
      </c>
      <c r="C145" s="988" t="s">
        <v>1013</v>
      </c>
      <c r="D145" s="820" t="s">
        <v>22</v>
      </c>
      <c r="E145" s="969">
        <v>1</v>
      </c>
      <c r="F145" s="858">
        <v>323309</v>
      </c>
      <c r="G145" s="990">
        <f t="shared" si="21"/>
        <v>323309</v>
      </c>
      <c r="H145" s="588"/>
      <c r="I145" s="587"/>
      <c r="J145" s="587"/>
      <c r="K145" s="587"/>
      <c r="L145" s="589"/>
      <c r="M145" s="590"/>
      <c r="N145" s="591"/>
      <c r="O145" s="95"/>
      <c r="P145" s="579"/>
      <c r="Q145" s="580"/>
      <c r="R145" s="580"/>
      <c r="S145" s="581"/>
      <c r="T145" s="582"/>
      <c r="U145" s="79"/>
      <c r="V145" s="621"/>
      <c r="X145" s="45">
        <f t="shared" si="22"/>
        <v>1.3339999999999999</v>
      </c>
      <c r="Y145" s="44">
        <v>5574300</v>
      </c>
      <c r="Z145" s="868">
        <f t="shared" si="23"/>
        <v>7436116.1999999993</v>
      </c>
      <c r="AA145" s="45">
        <f>1.16*1.1</f>
        <v>1.276</v>
      </c>
      <c r="AB145" s="44">
        <v>5574300</v>
      </c>
      <c r="AD145" s="45">
        <f t="shared" si="24"/>
        <v>7112806.7999999998</v>
      </c>
      <c r="AE145" s="961">
        <f t="shared" si="25"/>
        <v>323309.39999999944</v>
      </c>
      <c r="AF145" s="45">
        <v>323309</v>
      </c>
    </row>
    <row r="146" spans="1:32" s="45" customFormat="1">
      <c r="A146" s="586"/>
      <c r="B146" s="986" t="s">
        <v>992</v>
      </c>
      <c r="C146" s="988" t="s">
        <v>1288</v>
      </c>
      <c r="D146" s="989" t="s">
        <v>22</v>
      </c>
      <c r="E146" s="969">
        <v>4</v>
      </c>
      <c r="F146" s="858">
        <v>42572</v>
      </c>
      <c r="G146" s="990">
        <f t="shared" si="21"/>
        <v>170288</v>
      </c>
      <c r="H146" s="588"/>
      <c r="I146" s="587"/>
      <c r="J146" s="587"/>
      <c r="K146" s="587"/>
      <c r="L146" s="589"/>
      <c r="M146" s="590"/>
      <c r="N146" s="591"/>
      <c r="O146" s="95"/>
      <c r="P146" s="579"/>
      <c r="Q146" s="580"/>
      <c r="R146" s="580"/>
      <c r="S146" s="581"/>
      <c r="T146" s="582"/>
      <c r="U146" s="79"/>
      <c r="V146" s="621"/>
      <c r="W146" s="45" t="s">
        <v>1028</v>
      </c>
      <c r="X146" s="45">
        <f t="shared" si="22"/>
        <v>1.3339999999999999</v>
      </c>
      <c r="Y146" s="44">
        <v>367000</v>
      </c>
      <c r="Z146" s="868">
        <f t="shared" si="23"/>
        <v>489577.99999999994</v>
      </c>
      <c r="AA146" s="45">
        <f>1.16*1.05</f>
        <v>1.218</v>
      </c>
      <c r="AB146" s="44">
        <v>367000</v>
      </c>
      <c r="AD146" s="45">
        <f t="shared" si="24"/>
        <v>447006</v>
      </c>
      <c r="AE146" s="961">
        <f t="shared" si="25"/>
        <v>42571.999999999942</v>
      </c>
      <c r="AF146" s="45">
        <v>42572</v>
      </c>
    </row>
    <row r="147" spans="1:32" s="45" customFormat="1" ht="25.5">
      <c r="A147" s="586"/>
      <c r="B147" s="987">
        <v>5.0999999999999996</v>
      </c>
      <c r="C147" s="988" t="s">
        <v>1289</v>
      </c>
      <c r="D147" s="989" t="s">
        <v>512</v>
      </c>
      <c r="E147" s="969">
        <v>4</v>
      </c>
      <c r="F147" s="858">
        <v>61236</v>
      </c>
      <c r="G147" s="990">
        <f t="shared" si="21"/>
        <v>244944</v>
      </c>
      <c r="H147" s="588"/>
      <c r="I147" s="587"/>
      <c r="J147" s="587"/>
      <c r="K147" s="587"/>
      <c r="L147" s="589"/>
      <c r="M147" s="590"/>
      <c r="N147" s="591"/>
      <c r="O147" s="95"/>
      <c r="P147" s="579"/>
      <c r="Q147" s="580"/>
      <c r="R147" s="580"/>
      <c r="S147" s="581"/>
      <c r="T147" s="582"/>
      <c r="U147" s="79"/>
      <c r="V147" s="621"/>
      <c r="W147" s="45">
        <f>567000*1.16*1.1</f>
        <v>723492.00000000012</v>
      </c>
      <c r="X147" s="587">
        <v>612360</v>
      </c>
      <c r="Y147" s="44">
        <f>+X147*0.9</f>
        <v>551124</v>
      </c>
      <c r="Z147" s="962">
        <f>+Y147-X147</f>
        <v>-61236</v>
      </c>
      <c r="AA147" s="44"/>
      <c r="AB147" s="44"/>
    </row>
    <row r="148" spans="1:32" s="45" customFormat="1" ht="25.5">
      <c r="A148" s="586"/>
      <c r="B148" s="987">
        <f t="shared" ref="B148:B160" si="26">+B147+0.01</f>
        <v>5.1099999999999994</v>
      </c>
      <c r="C148" s="988" t="s">
        <v>1290</v>
      </c>
      <c r="D148" s="820" t="s">
        <v>512</v>
      </c>
      <c r="E148" s="969">
        <v>1</v>
      </c>
      <c r="F148" s="858">
        <v>86910</v>
      </c>
      <c r="G148" s="990">
        <f t="shared" si="21"/>
        <v>86910</v>
      </c>
      <c r="H148" s="588"/>
      <c r="I148" s="587"/>
      <c r="J148" s="587"/>
      <c r="K148" s="587"/>
      <c r="L148" s="589"/>
      <c r="M148" s="590"/>
      <c r="N148" s="591"/>
      <c r="O148" s="95"/>
      <c r="P148" s="579"/>
      <c r="Q148" s="580"/>
      <c r="R148" s="580"/>
      <c r="S148" s="581"/>
      <c r="T148" s="582"/>
      <c r="U148" s="79"/>
      <c r="V148" s="621"/>
      <c r="X148" s="587">
        <v>869100</v>
      </c>
      <c r="Y148" s="44">
        <f t="shared" ref="Y148" si="27">+X148*0.9</f>
        <v>782190</v>
      </c>
      <c r="Z148" s="962">
        <f t="shared" ref="Z148:Z150" si="28">+Y148-X148</f>
        <v>-86910</v>
      </c>
      <c r="AA148" s="44"/>
      <c r="AB148" s="44"/>
    </row>
    <row r="149" spans="1:32" s="45" customFormat="1" ht="25.5">
      <c r="A149" s="586"/>
      <c r="B149" s="987">
        <f t="shared" si="26"/>
        <v>5.1199999999999992</v>
      </c>
      <c r="C149" s="988" t="s">
        <v>1291</v>
      </c>
      <c r="D149" s="820" t="s">
        <v>22</v>
      </c>
      <c r="E149" s="969">
        <v>1</v>
      </c>
      <c r="F149" s="858">
        <v>48510</v>
      </c>
      <c r="G149" s="990">
        <f t="shared" si="21"/>
        <v>48510</v>
      </c>
      <c r="H149" s="588"/>
      <c r="I149" s="587"/>
      <c r="J149" s="587"/>
      <c r="K149" s="587"/>
      <c r="L149" s="589"/>
      <c r="M149" s="590"/>
      <c r="N149" s="591"/>
      <c r="O149" s="95"/>
      <c r="P149" s="579"/>
      <c r="Q149" s="580"/>
      <c r="R149" s="580"/>
      <c r="S149" s="581"/>
      <c r="T149" s="582"/>
      <c r="U149" s="79"/>
      <c r="V149" s="621"/>
      <c r="X149" s="587">
        <v>323400</v>
      </c>
      <c r="Y149" s="44">
        <f>+X149*0.85</f>
        <v>274890</v>
      </c>
      <c r="Z149" s="962">
        <f t="shared" si="28"/>
        <v>-48510</v>
      </c>
      <c r="AA149" s="44"/>
      <c r="AB149" s="44"/>
    </row>
    <row r="150" spans="1:32" s="45" customFormat="1">
      <c r="A150" s="586"/>
      <c r="B150" s="987">
        <f t="shared" si="26"/>
        <v>5.129999999999999</v>
      </c>
      <c r="C150" s="988" t="s">
        <v>1292</v>
      </c>
      <c r="D150" s="989" t="s">
        <v>22</v>
      </c>
      <c r="E150" s="969">
        <v>4</v>
      </c>
      <c r="F150" s="858">
        <v>27960</v>
      </c>
      <c r="G150" s="990">
        <f t="shared" si="21"/>
        <v>111840</v>
      </c>
      <c r="H150" s="588"/>
      <c r="I150" s="587"/>
      <c r="J150" s="587"/>
      <c r="K150" s="587"/>
      <c r="L150" s="589"/>
      <c r="M150" s="590"/>
      <c r="N150" s="591"/>
      <c r="O150" s="95"/>
      <c r="P150" s="579"/>
      <c r="Q150" s="580"/>
      <c r="R150" s="580"/>
      <c r="S150" s="581"/>
      <c r="T150" s="582"/>
      <c r="U150" s="79"/>
      <c r="V150" s="621"/>
      <c r="X150" s="587">
        <v>139800</v>
      </c>
      <c r="Y150" s="44">
        <f>+X150*0.8</f>
        <v>111840</v>
      </c>
      <c r="Z150" s="962">
        <f t="shared" si="28"/>
        <v>-27960</v>
      </c>
      <c r="AA150" s="44"/>
      <c r="AB150" s="44"/>
    </row>
    <row r="151" spans="1:32" s="45" customFormat="1">
      <c r="A151" s="586"/>
      <c r="B151" s="779">
        <f t="shared" si="26"/>
        <v>5.1399999999999988</v>
      </c>
      <c r="C151" s="102" t="s">
        <v>921</v>
      </c>
      <c r="D151" s="777" t="s">
        <v>512</v>
      </c>
      <c r="E151" s="780">
        <v>4</v>
      </c>
      <c r="F151" s="858">
        <v>524784</v>
      </c>
      <c r="G151" s="774">
        <f t="shared" si="21"/>
        <v>2099136</v>
      </c>
      <c r="H151" s="588"/>
      <c r="I151" s="587"/>
      <c r="J151" s="587"/>
      <c r="K151" s="587"/>
      <c r="L151" s="589"/>
      <c r="M151" s="590"/>
      <c r="N151" s="591"/>
      <c r="O151" s="95"/>
      <c r="P151" s="579"/>
      <c r="Q151" s="580"/>
      <c r="R151" s="580"/>
      <c r="S151" s="581"/>
      <c r="T151" s="582"/>
      <c r="U151" s="79"/>
      <c r="V151" s="621"/>
      <c r="W151" s="45">
        <f>390000*1.16*1.16</f>
        <v>524783.99999999988</v>
      </c>
      <c r="Y151" s="44"/>
      <c r="Z151" s="44"/>
      <c r="AA151" s="44"/>
      <c r="AB151" s="44"/>
    </row>
    <row r="152" spans="1:32" s="45" customFormat="1">
      <c r="A152" s="586"/>
      <c r="B152" s="779">
        <f t="shared" si="26"/>
        <v>5.1499999999999986</v>
      </c>
      <c r="C152" s="102" t="s">
        <v>922</v>
      </c>
      <c r="D152" s="772" t="s">
        <v>512</v>
      </c>
      <c r="E152" s="780">
        <v>4</v>
      </c>
      <c r="F152" s="858">
        <v>469000</v>
      </c>
      <c r="G152" s="774">
        <f t="shared" si="21"/>
        <v>1876000</v>
      </c>
      <c r="H152" s="588"/>
      <c r="I152" s="587"/>
      <c r="J152" s="587"/>
      <c r="K152" s="587"/>
      <c r="L152" s="589"/>
      <c r="M152" s="590"/>
      <c r="N152" s="591"/>
      <c r="O152" s="95"/>
      <c r="P152" s="579"/>
      <c r="Q152" s="580"/>
      <c r="R152" s="580"/>
      <c r="S152" s="581"/>
      <c r="T152" s="582"/>
      <c r="U152" s="79"/>
      <c r="V152" s="621"/>
      <c r="Y152" s="44"/>
      <c r="Z152" s="44"/>
      <c r="AA152" s="44"/>
      <c r="AB152" s="44"/>
    </row>
    <row r="153" spans="1:32" s="45" customFormat="1" ht="25.5">
      <c r="A153" s="586"/>
      <c r="B153" s="779">
        <f t="shared" si="26"/>
        <v>5.1599999999999984</v>
      </c>
      <c r="C153" s="102" t="s">
        <v>1018</v>
      </c>
      <c r="D153" s="772" t="s">
        <v>22</v>
      </c>
      <c r="E153" s="780">
        <v>30</v>
      </c>
      <c r="F153" s="858">
        <v>30550</v>
      </c>
      <c r="G153" s="774">
        <f t="shared" si="21"/>
        <v>916500</v>
      </c>
      <c r="H153" s="588"/>
      <c r="I153" s="587"/>
      <c r="J153" s="587"/>
      <c r="K153" s="587"/>
      <c r="L153" s="589"/>
      <c r="M153" s="590"/>
      <c r="N153" s="591"/>
      <c r="O153" s="95"/>
      <c r="P153" s="579"/>
      <c r="Q153" s="580"/>
      <c r="R153" s="580"/>
      <c r="S153" s="581"/>
      <c r="T153" s="582"/>
      <c r="U153" s="79"/>
      <c r="V153" s="621"/>
      <c r="Y153" s="44"/>
      <c r="Z153" s="44"/>
      <c r="AA153" s="44"/>
      <c r="AB153" s="44"/>
    </row>
    <row r="154" spans="1:32" s="45" customFormat="1">
      <c r="A154" s="586"/>
      <c r="B154" s="987">
        <f t="shared" si="26"/>
        <v>5.1699999999999982</v>
      </c>
      <c r="C154" s="988" t="s">
        <v>522</v>
      </c>
      <c r="D154" s="820" t="s">
        <v>142</v>
      </c>
      <c r="E154" s="858">
        <v>8700</v>
      </c>
      <c r="F154" s="858">
        <v>3201</v>
      </c>
      <c r="G154" s="990">
        <f t="shared" si="21"/>
        <v>27848700</v>
      </c>
      <c r="H154" s="588"/>
      <c r="I154" s="587"/>
      <c r="J154" s="587"/>
      <c r="K154" s="587"/>
      <c r="L154" s="589"/>
      <c r="M154" s="590"/>
      <c r="N154" s="591"/>
      <c r="O154" s="95"/>
      <c r="P154" s="579"/>
      <c r="Q154" s="580"/>
      <c r="R154" s="580"/>
      <c r="S154" s="581"/>
      <c r="T154" s="582"/>
      <c r="U154" s="79"/>
      <c r="V154" s="621"/>
      <c r="W154" s="877">
        <v>1261428000</v>
      </c>
      <c r="Y154" s="44"/>
      <c r="Z154" s="44"/>
      <c r="AA154" s="44"/>
      <c r="AB154" s="44"/>
    </row>
    <row r="155" spans="1:32" s="45" customFormat="1">
      <c r="A155" s="586"/>
      <c r="B155" s="987">
        <f t="shared" si="26"/>
        <v>5.1799999999999979</v>
      </c>
      <c r="C155" s="988" t="s">
        <v>509</v>
      </c>
      <c r="D155" s="989" t="s">
        <v>56</v>
      </c>
      <c r="E155" s="969">
        <v>45</v>
      </c>
      <c r="F155" s="858">
        <v>150170</v>
      </c>
      <c r="G155" s="990">
        <f t="shared" si="21"/>
        <v>6757650</v>
      </c>
      <c r="H155" s="588"/>
      <c r="I155" s="587"/>
      <c r="J155" s="587"/>
      <c r="K155" s="587"/>
      <c r="L155" s="589"/>
      <c r="M155" s="590"/>
      <c r="N155" s="591"/>
      <c r="O155" s="95"/>
      <c r="P155" s="579"/>
      <c r="Q155" s="580"/>
      <c r="R155" s="580"/>
      <c r="S155" s="581"/>
      <c r="T155" s="582"/>
      <c r="U155" s="79"/>
      <c r="V155" s="621"/>
      <c r="Y155" s="44"/>
      <c r="Z155" s="44"/>
      <c r="AA155" s="44"/>
      <c r="AB155" s="44"/>
    </row>
    <row r="156" spans="1:32" s="45" customFormat="1">
      <c r="A156" s="586"/>
      <c r="B156" s="987">
        <f t="shared" si="26"/>
        <v>5.1899999999999977</v>
      </c>
      <c r="C156" s="988" t="s">
        <v>508</v>
      </c>
      <c r="D156" s="989" t="s">
        <v>500</v>
      </c>
      <c r="E156" s="969">
        <v>53</v>
      </c>
      <c r="F156" s="858">
        <v>18420</v>
      </c>
      <c r="G156" s="990">
        <f>E155*F156</f>
        <v>828900</v>
      </c>
      <c r="H156" s="588"/>
      <c r="I156" s="587"/>
      <c r="J156" s="587"/>
      <c r="K156" s="587"/>
      <c r="L156" s="589"/>
      <c r="M156" s="590"/>
      <c r="N156" s="591"/>
      <c r="O156" s="95"/>
      <c r="P156" s="579"/>
      <c r="Q156" s="580"/>
      <c r="R156" s="580"/>
      <c r="S156" s="581"/>
      <c r="T156" s="582"/>
      <c r="U156" s="79"/>
      <c r="V156" s="621"/>
      <c r="Y156" s="44"/>
      <c r="Z156" s="44"/>
      <c r="AA156" s="44"/>
      <c r="AB156" s="44"/>
    </row>
    <row r="157" spans="1:32" s="45" customFormat="1" ht="79.5" customHeight="1">
      <c r="A157" s="586"/>
      <c r="B157" s="987">
        <f t="shared" si="26"/>
        <v>5.1999999999999975</v>
      </c>
      <c r="C157" s="988" t="s">
        <v>928</v>
      </c>
      <c r="D157" s="1005" t="s">
        <v>22</v>
      </c>
      <c r="E157" s="1006">
        <v>19</v>
      </c>
      <c r="F157" s="1007">
        <v>271502</v>
      </c>
      <c r="G157" s="1008">
        <f>E156*F157</f>
        <v>14389606</v>
      </c>
      <c r="H157" s="588"/>
      <c r="I157" s="587"/>
      <c r="J157" s="587"/>
      <c r="K157" s="587"/>
      <c r="L157" s="589"/>
      <c r="M157" s="590"/>
      <c r="N157" s="591"/>
      <c r="O157" s="95"/>
      <c r="P157" s="579"/>
      <c r="Q157" s="580"/>
      <c r="R157" s="580"/>
      <c r="S157" s="581"/>
      <c r="T157" s="582"/>
      <c r="U157" s="79"/>
      <c r="V157" s="621"/>
      <c r="Y157" s="44"/>
      <c r="Z157" s="44"/>
      <c r="AA157" s="44"/>
      <c r="AB157" s="44"/>
    </row>
    <row r="158" spans="1:32" s="45" customFormat="1" ht="25.5">
      <c r="A158" s="586"/>
      <c r="B158" s="987">
        <f t="shared" si="26"/>
        <v>5.2099999999999973</v>
      </c>
      <c r="C158" s="988" t="s">
        <v>930</v>
      </c>
      <c r="D158" s="820" t="s">
        <v>139</v>
      </c>
      <c r="E158" s="969">
        <v>14.26</v>
      </c>
      <c r="F158" s="858">
        <f>405000*1.16*1.15</f>
        <v>540269.99999999988</v>
      </c>
      <c r="G158" s="1008">
        <f t="shared" ref="G158:G160" si="29">E157*F158</f>
        <v>10265129.999999998</v>
      </c>
      <c r="H158" s="588"/>
      <c r="I158" s="587"/>
      <c r="J158" s="587"/>
      <c r="K158" s="587"/>
      <c r="L158" s="589"/>
      <c r="M158" s="590"/>
      <c r="N158" s="591"/>
      <c r="O158" s="95"/>
      <c r="P158" s="579"/>
      <c r="Q158" s="580"/>
      <c r="R158" s="580"/>
      <c r="S158" s="581"/>
      <c r="T158" s="582"/>
      <c r="U158" s="79"/>
      <c r="V158" s="621"/>
      <c r="X158" s="45">
        <f>0.75*100000</f>
        <v>75000</v>
      </c>
      <c r="Y158" s="44"/>
      <c r="Z158" s="44"/>
      <c r="AA158" s="44"/>
      <c r="AB158" s="44"/>
    </row>
    <row r="159" spans="1:32" s="45" customFormat="1" ht="25.5">
      <c r="A159" s="586"/>
      <c r="B159" s="987">
        <f t="shared" si="26"/>
        <v>5.2199999999999971</v>
      </c>
      <c r="C159" s="988" t="s">
        <v>931</v>
      </c>
      <c r="D159" s="989" t="s">
        <v>139</v>
      </c>
      <c r="E159" s="969">
        <v>9.5</v>
      </c>
      <c r="F159" s="858">
        <v>105259</v>
      </c>
      <c r="G159" s="1008">
        <f t="shared" si="29"/>
        <v>1500993.34</v>
      </c>
      <c r="H159" s="588"/>
      <c r="I159" s="587"/>
      <c r="J159" s="587"/>
      <c r="K159" s="587"/>
      <c r="L159" s="589"/>
      <c r="M159" s="590"/>
      <c r="N159" s="591"/>
      <c r="O159" s="95"/>
      <c r="P159" s="579"/>
      <c r="Q159" s="580"/>
      <c r="R159" s="580"/>
      <c r="S159" s="581"/>
      <c r="T159" s="582"/>
      <c r="U159" s="79"/>
      <c r="V159" s="621"/>
      <c r="Y159" s="44"/>
      <c r="Z159" s="44"/>
      <c r="AA159" s="44"/>
      <c r="AB159" s="44"/>
    </row>
    <row r="160" spans="1:32" s="45" customFormat="1">
      <c r="A160" s="586"/>
      <c r="B160" s="987">
        <f t="shared" si="26"/>
        <v>5.2299999999999969</v>
      </c>
      <c r="C160" s="988" t="s">
        <v>932</v>
      </c>
      <c r="D160" s="989" t="s">
        <v>139</v>
      </c>
      <c r="E160" s="969">
        <v>13.6</v>
      </c>
      <c r="F160" s="964">
        <v>63050</v>
      </c>
      <c r="G160" s="1008">
        <f t="shared" si="29"/>
        <v>598975</v>
      </c>
      <c r="H160" s="588"/>
      <c r="I160" s="587"/>
      <c r="J160" s="587"/>
      <c r="K160" s="587"/>
      <c r="L160" s="589"/>
      <c r="M160" s="590"/>
      <c r="N160" s="591"/>
      <c r="O160" s="95"/>
      <c r="P160" s="579"/>
      <c r="Q160" s="580"/>
      <c r="R160" s="580"/>
      <c r="S160" s="581"/>
      <c r="T160" s="582"/>
      <c r="U160" s="79"/>
      <c r="V160" s="621"/>
      <c r="X160" s="45">
        <v>95690</v>
      </c>
      <c r="Y160" s="44">
        <f>+X160*1.1</f>
        <v>105259.00000000001</v>
      </c>
      <c r="Z160" s="44"/>
      <c r="AA160" s="44"/>
      <c r="AB160" s="44"/>
    </row>
    <row r="161" spans="1:28" s="45" customFormat="1">
      <c r="A161" s="138">
        <v>200314</v>
      </c>
      <c r="B161" s="986"/>
      <c r="C161" s="988"/>
      <c r="D161" s="989"/>
      <c r="E161" s="969"/>
      <c r="F161" s="879"/>
      <c r="G161" s="990"/>
      <c r="H161" s="576">
        <v>44727</v>
      </c>
      <c r="I161" s="25">
        <v>59389</v>
      </c>
      <c r="J161" s="25">
        <v>1</v>
      </c>
      <c r="K161" s="25">
        <v>1</v>
      </c>
      <c r="L161" s="28">
        <v>3563340</v>
      </c>
      <c r="M161" s="29">
        <v>2683620</v>
      </c>
      <c r="N161" s="29">
        <v>2683620</v>
      </c>
      <c r="O161" s="95"/>
      <c r="P161" s="96"/>
      <c r="Q161" s="97">
        <v>52319</v>
      </c>
      <c r="R161" s="97">
        <v>890394</v>
      </c>
      <c r="S161" s="98">
        <v>1740900</v>
      </c>
      <c r="T161" s="99"/>
      <c r="U161" s="79"/>
      <c r="V161" s="621">
        <v>33</v>
      </c>
      <c r="W161" s="808"/>
      <c r="X161" s="44"/>
      <c r="Y161" s="44"/>
      <c r="Z161" s="44"/>
      <c r="AA161" s="44"/>
      <c r="AB161" s="44"/>
    </row>
    <row r="162" spans="1:28" s="45" customFormat="1" ht="15.75" thickBot="1">
      <c r="A162" s="143">
        <v>140404</v>
      </c>
      <c r="B162" s="114"/>
      <c r="C162" s="114"/>
      <c r="D162" s="115"/>
      <c r="E162" s="116"/>
      <c r="F162" s="117" t="s">
        <v>987</v>
      </c>
      <c r="G162" s="118">
        <f>SUM(G140:G161)</f>
        <v>74922088.340000004</v>
      </c>
      <c r="H162" s="576">
        <v>90513</v>
      </c>
      <c r="I162" s="25">
        <v>120183</v>
      </c>
      <c r="J162" s="25">
        <v>1</v>
      </c>
      <c r="K162" s="25">
        <v>1</v>
      </c>
      <c r="L162" s="28">
        <v>2163294</v>
      </c>
      <c r="M162" s="29">
        <v>1629234</v>
      </c>
      <c r="N162" s="29">
        <v>1629234</v>
      </c>
      <c r="O162" s="95"/>
      <c r="P162" s="96"/>
      <c r="Q162" s="97">
        <v>48580</v>
      </c>
      <c r="R162" s="97">
        <v>593604</v>
      </c>
      <c r="S162" s="98">
        <v>987055</v>
      </c>
      <c r="T162" s="99"/>
      <c r="U162" s="79"/>
      <c r="V162" s="621">
        <v>34</v>
      </c>
      <c r="W162" s="808"/>
      <c r="X162" s="44"/>
      <c r="Y162" s="44"/>
      <c r="Z162" s="44"/>
      <c r="AA162" s="44"/>
      <c r="AB162" s="44"/>
    </row>
    <row r="163" spans="1:28" s="45" customFormat="1">
      <c r="A163" s="105"/>
      <c r="B163" s="139"/>
      <c r="C163" s="140"/>
      <c r="D163" s="23"/>
      <c r="E163" s="107"/>
      <c r="F163" s="25"/>
      <c r="G163" s="795"/>
      <c r="H163" s="576"/>
      <c r="I163" s="25"/>
      <c r="J163" s="25"/>
      <c r="K163" s="25"/>
      <c r="L163" s="109"/>
      <c r="M163" s="110"/>
      <c r="N163" s="111"/>
      <c r="O163" s="95"/>
      <c r="P163" s="96"/>
      <c r="Q163" s="97"/>
      <c r="R163" s="97"/>
      <c r="S163" s="98"/>
      <c r="T163" s="99"/>
      <c r="U163" s="79"/>
      <c r="V163" s="621"/>
      <c r="W163" s="807"/>
      <c r="X163" s="44"/>
      <c r="Y163" s="44"/>
      <c r="Z163" s="44"/>
      <c r="AA163" s="44"/>
      <c r="AB163" s="44"/>
    </row>
    <row r="164" spans="1:28" s="45" customFormat="1" ht="23.1" customHeight="1" thickBot="1">
      <c r="A164" s="124"/>
      <c r="B164" s="876"/>
      <c r="C164" s="871"/>
      <c r="D164" s="873"/>
      <c r="E164" s="874"/>
      <c r="F164" s="940" t="s">
        <v>972</v>
      </c>
      <c r="G164" s="1004">
        <f>+G137+G162</f>
        <v>165753575.34</v>
      </c>
      <c r="H164" s="917"/>
      <c r="I164" s="917"/>
      <c r="J164" s="917"/>
      <c r="K164" s="917"/>
      <c r="L164" s="917"/>
      <c r="M164" s="917"/>
      <c r="N164" s="917"/>
      <c r="O164" s="917"/>
      <c r="P164" s="917"/>
      <c r="Q164" s="917"/>
      <c r="R164" s="917"/>
      <c r="S164" s="917"/>
      <c r="T164" s="917"/>
      <c r="U164" s="917"/>
      <c r="V164" s="621"/>
      <c r="W164" s="807"/>
      <c r="X164" s="44"/>
      <c r="Y164" s="44"/>
      <c r="Z164" s="44"/>
      <c r="AA164" s="44"/>
      <c r="AB164" s="44"/>
    </row>
    <row r="165" spans="1:28" s="45" customFormat="1" hidden="1">
      <c r="A165" s="84" t="s">
        <v>40</v>
      </c>
      <c r="B165" s="74"/>
      <c r="C165" s="75" t="s">
        <v>477</v>
      </c>
      <c r="D165" s="811"/>
      <c r="E165" s="812"/>
      <c r="F165" s="813"/>
      <c r="G165" s="814"/>
      <c r="H165" s="91"/>
      <c r="I165" s="89"/>
      <c r="J165" s="89"/>
      <c r="K165" s="89"/>
      <c r="L165" s="92"/>
      <c r="M165" s="93"/>
      <c r="N165" s="94"/>
      <c r="O165" s="95"/>
      <c r="P165" s="96"/>
      <c r="Q165" s="97"/>
      <c r="R165" s="97"/>
      <c r="S165" s="98"/>
      <c r="T165" s="99"/>
      <c r="U165" s="79"/>
      <c r="V165" s="621"/>
      <c r="W165" s="807"/>
      <c r="X165" s="44"/>
      <c r="Y165" s="44"/>
      <c r="Z165" s="44"/>
      <c r="AA165" s="44"/>
      <c r="AB165" s="44"/>
    </row>
    <row r="166" spans="1:28" s="45" customFormat="1" ht="15.75" thickBot="1">
      <c r="A166" s="127">
        <v>301305</v>
      </c>
      <c r="B166" s="85"/>
      <c r="C166" s="86"/>
      <c r="D166" s="815"/>
      <c r="E166" s="816"/>
      <c r="F166" s="817"/>
      <c r="G166" s="818"/>
      <c r="H166" s="576">
        <v>618839</v>
      </c>
      <c r="I166" s="25">
        <v>821694</v>
      </c>
      <c r="J166" s="25">
        <v>1</v>
      </c>
      <c r="K166" s="25">
        <v>1</v>
      </c>
      <c r="L166" s="28">
        <v>821694</v>
      </c>
      <c r="M166" s="29">
        <v>618839</v>
      </c>
      <c r="N166" s="29">
        <v>618839</v>
      </c>
      <c r="O166" s="95"/>
      <c r="P166" s="96"/>
      <c r="Q166" s="97">
        <v>13014</v>
      </c>
      <c r="R166" s="97">
        <v>260289</v>
      </c>
      <c r="S166" s="98">
        <v>345535</v>
      </c>
      <c r="T166" s="99"/>
      <c r="U166" s="79"/>
      <c r="V166" s="621">
        <v>36</v>
      </c>
      <c r="W166" s="808"/>
      <c r="X166" s="44"/>
      <c r="Y166" s="44"/>
      <c r="Z166" s="44"/>
      <c r="AA166" s="44"/>
      <c r="AB166" s="44"/>
    </row>
    <row r="167" spans="1:28" s="45" customFormat="1">
      <c r="A167" s="584"/>
      <c r="B167" s="74">
        <v>6</v>
      </c>
      <c r="C167" s="75" t="s">
        <v>534</v>
      </c>
      <c r="D167" s="76"/>
      <c r="E167" s="76"/>
      <c r="F167" s="76"/>
      <c r="G167" s="126"/>
      <c r="H167" s="576"/>
      <c r="I167" s="575"/>
      <c r="J167" s="575"/>
      <c r="K167" s="575"/>
      <c r="L167" s="577"/>
      <c r="M167" s="578"/>
      <c r="N167" s="578"/>
      <c r="O167" s="95"/>
      <c r="P167" s="579"/>
      <c r="Q167" s="580"/>
      <c r="R167" s="580"/>
      <c r="S167" s="581"/>
      <c r="T167" s="582"/>
      <c r="U167" s="79"/>
      <c r="V167" s="621"/>
      <c r="W167" s="808"/>
      <c r="X167" s="44"/>
      <c r="Y167" s="44"/>
      <c r="Z167" s="44"/>
      <c r="AA167" s="44"/>
      <c r="AB167" s="44"/>
    </row>
    <row r="168" spans="1:28" s="45" customFormat="1">
      <c r="A168" s="584"/>
      <c r="B168" s="771"/>
      <c r="C168" s="788" t="s">
        <v>947</v>
      </c>
      <c r="D168" s="772"/>
      <c r="E168" s="773"/>
      <c r="F168" s="587"/>
      <c r="G168" s="774"/>
      <c r="H168" s="576"/>
      <c r="I168" s="575"/>
      <c r="J168" s="575"/>
      <c r="K168" s="575"/>
      <c r="L168" s="577"/>
      <c r="M168" s="578"/>
      <c r="N168" s="578"/>
      <c r="O168" s="95"/>
      <c r="P168" s="579"/>
      <c r="Q168" s="580"/>
      <c r="R168" s="580"/>
      <c r="S168" s="581"/>
      <c r="T168" s="582"/>
      <c r="U168" s="79"/>
      <c r="V168" s="621"/>
      <c r="W168" s="808"/>
      <c r="X168" s="44"/>
      <c r="Y168" s="44"/>
      <c r="Z168" s="44"/>
      <c r="AA168" s="44"/>
      <c r="AB168" s="44"/>
    </row>
    <row r="169" spans="1:28" s="45" customFormat="1">
      <c r="A169" s="584"/>
      <c r="B169" s="771">
        <v>6.1</v>
      </c>
      <c r="C169" s="102" t="s">
        <v>943</v>
      </c>
      <c r="D169" s="772" t="s">
        <v>139</v>
      </c>
      <c r="E169" s="780">
        <v>251</v>
      </c>
      <c r="F169" s="587">
        <v>2610</v>
      </c>
      <c r="G169" s="774">
        <f>+E169*F169</f>
        <v>655110</v>
      </c>
      <c r="H169" s="576"/>
      <c r="I169" s="575"/>
      <c r="J169" s="575"/>
      <c r="K169" s="575"/>
      <c r="L169" s="577"/>
      <c r="M169" s="578"/>
      <c r="N169" s="578"/>
      <c r="O169" s="95"/>
      <c r="P169" s="579"/>
      <c r="Q169" s="580"/>
      <c r="R169" s="580"/>
      <c r="S169" s="581"/>
      <c r="T169" s="582"/>
      <c r="U169" s="79"/>
      <c r="V169" s="621"/>
      <c r="W169" s="828"/>
      <c r="X169" s="216"/>
      <c r="Y169" s="829"/>
      <c r="Z169" s="95"/>
      <c r="AA169" s="95"/>
      <c r="AB169" s="833"/>
    </row>
    <row r="170" spans="1:28" s="45" customFormat="1">
      <c r="A170" s="584"/>
      <c r="B170" s="771">
        <f>+B169+0.1</f>
        <v>6.1999999999999993</v>
      </c>
      <c r="C170" s="102" t="s">
        <v>1101</v>
      </c>
      <c r="D170" s="772" t="s">
        <v>139</v>
      </c>
      <c r="E170" s="780">
        <v>189</v>
      </c>
      <c r="F170" s="587">
        <v>5190</v>
      </c>
      <c r="G170" s="774">
        <f t="shared" ref="G170:G174" si="30">+E170*F170</f>
        <v>980910</v>
      </c>
      <c r="H170" s="576"/>
      <c r="I170" s="575"/>
      <c r="J170" s="575"/>
      <c r="K170" s="575"/>
      <c r="L170" s="577"/>
      <c r="M170" s="578"/>
      <c r="N170" s="578"/>
      <c r="O170" s="95"/>
      <c r="P170" s="579"/>
      <c r="Q170" s="580"/>
      <c r="R170" s="580"/>
      <c r="S170" s="581"/>
      <c r="T170" s="582"/>
      <c r="U170" s="79"/>
      <c r="V170" s="621"/>
      <c r="W170" s="828"/>
      <c r="X170" s="216"/>
      <c r="Y170" s="829"/>
      <c r="Z170" s="95"/>
      <c r="AA170" s="95"/>
      <c r="AB170" s="833"/>
    </row>
    <row r="171" spans="1:28" s="45" customFormat="1">
      <c r="A171" s="584"/>
      <c r="B171" s="771">
        <f t="shared" ref="B171:B178" si="31">+B170+0.1</f>
        <v>6.2999999999999989</v>
      </c>
      <c r="C171" s="102" t="s">
        <v>941</v>
      </c>
      <c r="D171" s="777" t="s">
        <v>139</v>
      </c>
      <c r="E171" s="780">
        <v>53</v>
      </c>
      <c r="F171" s="587">
        <v>10240</v>
      </c>
      <c r="G171" s="774">
        <f t="shared" si="30"/>
        <v>542720</v>
      </c>
      <c r="H171" s="576"/>
      <c r="I171" s="575"/>
      <c r="J171" s="575"/>
      <c r="K171" s="575"/>
      <c r="L171" s="577"/>
      <c r="M171" s="578"/>
      <c r="N171" s="578"/>
      <c r="O171" s="95"/>
      <c r="P171" s="579"/>
      <c r="Q171" s="580"/>
      <c r="R171" s="580"/>
      <c r="S171" s="581"/>
      <c r="T171" s="582"/>
      <c r="U171" s="79"/>
      <c r="V171" s="621"/>
      <c r="W171" s="828"/>
      <c r="X171" s="830"/>
      <c r="Y171" s="829"/>
      <c r="Z171" s="831"/>
      <c r="AA171" s="95"/>
      <c r="AB171" s="834"/>
    </row>
    <row r="172" spans="1:28" s="45" customFormat="1">
      <c r="A172" s="584"/>
      <c r="B172" s="771">
        <f t="shared" si="31"/>
        <v>6.3999999999999986</v>
      </c>
      <c r="C172" s="102" t="s">
        <v>497</v>
      </c>
      <c r="D172" s="777" t="s">
        <v>56</v>
      </c>
      <c r="E172" s="780">
        <v>60</v>
      </c>
      <c r="F172" s="587">
        <v>17220</v>
      </c>
      <c r="G172" s="774">
        <f t="shared" si="30"/>
        <v>1033200</v>
      </c>
      <c r="H172" s="576"/>
      <c r="I172" s="575"/>
      <c r="J172" s="575"/>
      <c r="K172" s="575"/>
      <c r="L172" s="577"/>
      <c r="M172" s="578"/>
      <c r="N172" s="578"/>
      <c r="O172" s="95"/>
      <c r="P172" s="579"/>
      <c r="Q172" s="580"/>
      <c r="R172" s="580"/>
      <c r="S172" s="581"/>
      <c r="T172" s="582"/>
      <c r="U172" s="79"/>
      <c r="V172" s="621"/>
      <c r="W172" s="828"/>
      <c r="X172" s="830"/>
      <c r="Y172" s="829"/>
      <c r="Z172" s="95"/>
      <c r="AA172" s="95"/>
      <c r="AB172" s="833"/>
    </row>
    <row r="173" spans="1:28" s="45" customFormat="1">
      <c r="A173" s="584"/>
      <c r="B173" s="771">
        <f t="shared" si="31"/>
        <v>6.4999999999999982</v>
      </c>
      <c r="C173" s="782" t="s">
        <v>1000</v>
      </c>
      <c r="D173" s="790" t="s">
        <v>139</v>
      </c>
      <c r="E173" s="780">
        <v>16</v>
      </c>
      <c r="F173" s="587">
        <f>+F52</f>
        <v>573533</v>
      </c>
      <c r="G173" s="774">
        <f t="shared" si="30"/>
        <v>9176528</v>
      </c>
      <c r="H173" s="576"/>
      <c r="I173" s="575"/>
      <c r="J173" s="575"/>
      <c r="K173" s="575"/>
      <c r="L173" s="577"/>
      <c r="M173" s="578"/>
      <c r="N173" s="578"/>
      <c r="O173" s="95"/>
      <c r="P173" s="579"/>
      <c r="Q173" s="580"/>
      <c r="R173" s="580"/>
      <c r="S173" s="581"/>
      <c r="T173" s="582"/>
      <c r="U173" s="79"/>
      <c r="V173" s="621"/>
      <c r="AA173" s="95"/>
      <c r="AB173" s="833"/>
    </row>
    <row r="174" spans="1:28" s="45" customFormat="1">
      <c r="A174" s="584"/>
      <c r="B174" s="771">
        <f>+B173+0.1</f>
        <v>6.5999999999999979</v>
      </c>
      <c r="C174" s="102" t="s">
        <v>976</v>
      </c>
      <c r="D174" s="772" t="s">
        <v>139</v>
      </c>
      <c r="E174" s="780">
        <v>82</v>
      </c>
      <c r="F174" s="587">
        <v>614040</v>
      </c>
      <c r="G174" s="774">
        <f t="shared" si="30"/>
        <v>50351280</v>
      </c>
      <c r="H174" s="576"/>
      <c r="I174" s="575"/>
      <c r="J174" s="575"/>
      <c r="K174" s="575"/>
      <c r="L174" s="577"/>
      <c r="M174" s="578"/>
      <c r="N174" s="578"/>
      <c r="O174" s="95"/>
      <c r="P174" s="579"/>
      <c r="Q174" s="580"/>
      <c r="R174" s="580"/>
      <c r="S174" s="581"/>
      <c r="T174" s="582"/>
      <c r="U174" s="79"/>
      <c r="V174" s="621"/>
      <c r="W174" s="835"/>
      <c r="X174" s="216"/>
      <c r="Y174" s="95"/>
      <c r="Z174" s="95"/>
      <c r="AA174" s="95"/>
      <c r="AB174" s="833"/>
    </row>
    <row r="175" spans="1:28" s="45" customFormat="1">
      <c r="A175" s="584"/>
      <c r="B175" s="771">
        <f>+B173+0.1</f>
        <v>6.5999999999999979</v>
      </c>
      <c r="C175" s="102" t="s">
        <v>939</v>
      </c>
      <c r="D175" s="772" t="s">
        <v>139</v>
      </c>
      <c r="E175" s="587">
        <v>8</v>
      </c>
      <c r="F175" s="587">
        <v>594610</v>
      </c>
      <c r="G175" s="774">
        <f>+E175*F175</f>
        <v>4756880</v>
      </c>
      <c r="H175" s="576"/>
      <c r="I175" s="575"/>
      <c r="J175" s="575"/>
      <c r="K175" s="575"/>
      <c r="L175" s="577"/>
      <c r="M175" s="578"/>
      <c r="N175" s="578"/>
      <c r="O175" s="95"/>
      <c r="P175" s="579"/>
      <c r="Q175" s="580"/>
      <c r="R175" s="580"/>
      <c r="S175" s="581"/>
      <c r="T175" s="582"/>
      <c r="U175" s="79"/>
      <c r="V175" s="621"/>
      <c r="W175" s="215"/>
      <c r="X175" s="216"/>
      <c r="Y175" s="95"/>
      <c r="Z175" s="95"/>
      <c r="AA175" s="95"/>
      <c r="AB175" s="833"/>
    </row>
    <row r="176" spans="1:28" s="45" customFormat="1">
      <c r="A176" s="584"/>
      <c r="B176" s="771">
        <f t="shared" si="31"/>
        <v>6.6999999999999975</v>
      </c>
      <c r="C176" s="102" t="s">
        <v>939</v>
      </c>
      <c r="D176" s="772" t="s">
        <v>139</v>
      </c>
      <c r="E176" s="587">
        <v>8</v>
      </c>
      <c r="F176" s="587">
        <v>594610</v>
      </c>
      <c r="G176" s="774">
        <f>+E176*F176</f>
        <v>4756880</v>
      </c>
      <c r="H176" s="576"/>
      <c r="I176" s="575"/>
      <c r="J176" s="575"/>
      <c r="K176" s="575"/>
      <c r="L176" s="577"/>
      <c r="M176" s="578"/>
      <c r="N176" s="578"/>
      <c r="O176" s="95"/>
      <c r="P176" s="579"/>
      <c r="Q176" s="580"/>
      <c r="R176" s="580"/>
      <c r="S176" s="581"/>
      <c r="T176" s="582"/>
      <c r="U176" s="79"/>
      <c r="V176" s="621"/>
      <c r="W176" s="215"/>
      <c r="X176" s="216"/>
      <c r="Y176" s="95"/>
      <c r="Z176" s="95"/>
      <c r="AA176" s="95"/>
      <c r="AB176" s="833"/>
    </row>
    <row r="177" spans="1:28" s="45" customFormat="1">
      <c r="A177" s="584"/>
      <c r="B177" s="771">
        <f t="shared" si="31"/>
        <v>6.7999999999999972</v>
      </c>
      <c r="C177" s="102" t="s">
        <v>1002</v>
      </c>
      <c r="D177" s="772" t="s">
        <v>139</v>
      </c>
      <c r="E177" s="780">
        <v>0.5</v>
      </c>
      <c r="F177" s="587">
        <v>448900</v>
      </c>
      <c r="G177" s="774">
        <f t="shared" ref="G177" si="32">+E177*F177</f>
        <v>224450</v>
      </c>
      <c r="H177" s="576"/>
      <c r="I177" s="575"/>
      <c r="J177" s="575"/>
      <c r="K177" s="575"/>
      <c r="L177" s="577"/>
      <c r="M177" s="578"/>
      <c r="N177" s="578"/>
      <c r="O177" s="95"/>
      <c r="P177" s="579"/>
      <c r="Q177" s="580"/>
      <c r="R177" s="580"/>
      <c r="S177" s="581"/>
      <c r="T177" s="582"/>
      <c r="U177" s="79"/>
      <c r="V177" s="621"/>
      <c r="W177" s="215"/>
      <c r="X177" s="216"/>
      <c r="Y177" s="95"/>
      <c r="Z177" s="95"/>
      <c r="AA177" s="95"/>
      <c r="AB177" s="833"/>
    </row>
    <row r="178" spans="1:28" s="45" customFormat="1">
      <c r="A178" s="584"/>
      <c r="B178" s="771">
        <f t="shared" si="31"/>
        <v>6.8999999999999968</v>
      </c>
      <c r="C178" s="782" t="s">
        <v>1003</v>
      </c>
      <c r="D178" s="790" t="s">
        <v>139</v>
      </c>
      <c r="E178" s="780">
        <v>1.5</v>
      </c>
      <c r="F178" s="587">
        <v>393333</v>
      </c>
      <c r="G178" s="774">
        <f>+E178*F178</f>
        <v>589999.5</v>
      </c>
      <c r="H178" s="576"/>
      <c r="I178" s="575"/>
      <c r="J178" s="575"/>
      <c r="K178" s="575"/>
      <c r="L178" s="577"/>
      <c r="M178" s="578"/>
      <c r="N178" s="578"/>
      <c r="O178" s="95"/>
      <c r="P178" s="579"/>
      <c r="Q178" s="580"/>
      <c r="R178" s="580"/>
      <c r="S178" s="581"/>
      <c r="T178" s="582"/>
      <c r="U178" s="79"/>
      <c r="V178" s="621"/>
      <c r="W178" s="215"/>
      <c r="X178" s="216"/>
      <c r="Y178" s="829"/>
      <c r="Z178" s="95"/>
      <c r="AA178" s="95"/>
      <c r="AB178" s="833"/>
    </row>
    <row r="179" spans="1:28" s="45" customFormat="1">
      <c r="A179" s="584"/>
      <c r="B179" s="779">
        <v>6.1</v>
      </c>
      <c r="C179" s="102" t="s">
        <v>1004</v>
      </c>
      <c r="D179" s="777" t="s">
        <v>139</v>
      </c>
      <c r="E179" s="780">
        <v>0.7</v>
      </c>
      <c r="F179" s="776">
        <v>751550</v>
      </c>
      <c r="G179" s="774">
        <f>+E179*F179</f>
        <v>526085</v>
      </c>
      <c r="H179" s="576"/>
      <c r="I179" s="575"/>
      <c r="J179" s="575"/>
      <c r="K179" s="575"/>
      <c r="L179" s="577"/>
      <c r="M179" s="578"/>
      <c r="N179" s="578"/>
      <c r="O179" s="95"/>
      <c r="P179" s="579"/>
      <c r="Q179" s="580"/>
      <c r="R179" s="580"/>
      <c r="S179" s="581"/>
      <c r="T179" s="582"/>
      <c r="U179" s="79"/>
      <c r="V179" s="621"/>
      <c r="W179" s="808"/>
      <c r="X179" s="44"/>
      <c r="Y179" s="835"/>
      <c r="Z179" s="832"/>
      <c r="AA179" s="829"/>
      <c r="AB179" s="833"/>
    </row>
    <row r="180" spans="1:28" s="45" customFormat="1">
      <c r="A180" s="584"/>
      <c r="B180" s="771"/>
      <c r="C180" s="102"/>
      <c r="D180" s="777"/>
      <c r="E180" s="780"/>
      <c r="F180" s="776"/>
      <c r="G180" s="774"/>
      <c r="H180" s="576"/>
      <c r="I180" s="575"/>
      <c r="J180" s="575"/>
      <c r="K180" s="575"/>
      <c r="L180" s="577"/>
      <c r="M180" s="578"/>
      <c r="N180" s="578"/>
      <c r="O180" s="95"/>
      <c r="P180" s="579"/>
      <c r="Q180" s="580"/>
      <c r="R180" s="580"/>
      <c r="S180" s="581"/>
      <c r="T180" s="582"/>
      <c r="U180" s="79"/>
      <c r="V180" s="621"/>
      <c r="W180" s="808"/>
      <c r="X180" s="44"/>
      <c r="Y180" s="835"/>
      <c r="Z180" s="832"/>
      <c r="AA180" s="829"/>
      <c r="AB180" s="833"/>
    </row>
    <row r="181" spans="1:28" s="45" customFormat="1" ht="15.75" thickBot="1">
      <c r="A181" s="584"/>
      <c r="B181" s="114"/>
      <c r="C181" s="114"/>
      <c r="D181" s="115"/>
      <c r="E181" s="116"/>
      <c r="F181" s="117" t="s">
        <v>969</v>
      </c>
      <c r="G181" s="118">
        <f>SUM(G169:G179)</f>
        <v>73594042.5</v>
      </c>
      <c r="H181" s="576"/>
      <c r="I181" s="575"/>
      <c r="J181" s="575"/>
      <c r="K181" s="575"/>
      <c r="L181" s="577"/>
      <c r="M181" s="578"/>
      <c r="N181" s="578"/>
      <c r="O181" s="95"/>
      <c r="P181" s="579"/>
      <c r="Q181" s="580"/>
      <c r="R181" s="580"/>
      <c r="S181" s="581"/>
      <c r="T181" s="582"/>
      <c r="U181" s="79"/>
      <c r="V181" s="621"/>
      <c r="W181" s="808"/>
      <c r="X181" s="44"/>
      <c r="Y181" s="44"/>
      <c r="Z181" s="44"/>
      <c r="AA181" s="44"/>
      <c r="AB181" s="44"/>
    </row>
    <row r="182" spans="1:28" s="45" customFormat="1">
      <c r="A182" s="584"/>
      <c r="B182" s="771"/>
      <c r="C182" s="102"/>
      <c r="D182" s="777"/>
      <c r="E182" s="780"/>
      <c r="F182" s="776"/>
      <c r="G182" s="795"/>
      <c r="H182" s="576"/>
      <c r="I182" s="575"/>
      <c r="J182" s="575"/>
      <c r="K182" s="575"/>
      <c r="L182" s="577"/>
      <c r="M182" s="578"/>
      <c r="N182" s="578"/>
      <c r="O182" s="95"/>
      <c r="P182" s="579"/>
      <c r="Q182" s="580"/>
      <c r="R182" s="580"/>
      <c r="S182" s="581"/>
      <c r="T182" s="582"/>
      <c r="U182" s="79"/>
      <c r="V182" s="621"/>
      <c r="W182" s="808"/>
      <c r="X182" s="44"/>
      <c r="Y182" s="44"/>
      <c r="Z182" s="44"/>
      <c r="AA182" s="44"/>
      <c r="AB182" s="44"/>
    </row>
    <row r="183" spans="1:28" s="45" customFormat="1">
      <c r="A183" s="586"/>
      <c r="B183" s="771"/>
      <c r="C183" s="787" t="s">
        <v>948</v>
      </c>
      <c r="D183" s="772"/>
      <c r="E183" s="773"/>
      <c r="F183" s="587"/>
      <c r="G183" s="774"/>
      <c r="H183" s="588"/>
      <c r="I183" s="587"/>
      <c r="J183" s="587"/>
      <c r="K183" s="587"/>
      <c r="L183" s="589"/>
      <c r="M183" s="590"/>
      <c r="N183" s="591"/>
      <c r="O183" s="95"/>
      <c r="P183" s="579"/>
      <c r="Q183" s="580"/>
      <c r="R183" s="580"/>
      <c r="S183" s="581"/>
      <c r="T183" s="582"/>
      <c r="U183" s="79"/>
      <c r="V183" s="621"/>
      <c r="Y183" s="44"/>
      <c r="Z183" s="44"/>
      <c r="AA183" s="44"/>
      <c r="AB183" s="44"/>
    </row>
    <row r="184" spans="1:28" s="45" customFormat="1">
      <c r="A184" s="584"/>
      <c r="B184" s="771">
        <v>6.9</v>
      </c>
      <c r="C184" s="102" t="s">
        <v>942</v>
      </c>
      <c r="D184" s="777" t="s">
        <v>56</v>
      </c>
      <c r="E184" s="780">
        <v>288</v>
      </c>
      <c r="F184" s="776">
        <v>4500</v>
      </c>
      <c r="G184" s="774">
        <f t="shared" ref="G184:G185" si="33">+E184*F185</f>
        <v>18158400</v>
      </c>
      <c r="H184" s="576"/>
      <c r="I184" s="575"/>
      <c r="J184" s="575"/>
      <c r="K184" s="575"/>
      <c r="L184" s="577"/>
      <c r="M184" s="578"/>
      <c r="N184" s="578"/>
      <c r="O184" s="95"/>
      <c r="P184" s="579"/>
      <c r="Q184" s="580"/>
      <c r="R184" s="580"/>
      <c r="S184" s="581"/>
      <c r="T184" s="582"/>
      <c r="U184" s="79"/>
      <c r="V184" s="621"/>
      <c r="W184" s="808"/>
      <c r="X184" s="44"/>
      <c r="Y184" s="44"/>
      <c r="Z184" s="44"/>
      <c r="AA184" s="44"/>
      <c r="AB184" s="44"/>
    </row>
    <row r="185" spans="1:28" s="45" customFormat="1">
      <c r="A185" s="584"/>
      <c r="B185" s="779">
        <v>6.1</v>
      </c>
      <c r="C185" s="102" t="s">
        <v>945</v>
      </c>
      <c r="D185" s="777" t="s">
        <v>139</v>
      </c>
      <c r="E185" s="780">
        <v>7</v>
      </c>
      <c r="F185" s="776">
        <v>63050</v>
      </c>
      <c r="G185" s="795">
        <f t="shared" si="33"/>
        <v>205310</v>
      </c>
      <c r="H185" s="576"/>
      <c r="I185" s="575"/>
      <c r="J185" s="575"/>
      <c r="K185" s="575"/>
      <c r="L185" s="577"/>
      <c r="M185" s="578"/>
      <c r="N185" s="578"/>
      <c r="O185" s="95"/>
      <c r="P185" s="579"/>
      <c r="Q185" s="580"/>
      <c r="R185" s="580"/>
      <c r="S185" s="581"/>
      <c r="T185" s="582"/>
      <c r="U185" s="79"/>
      <c r="V185" s="621"/>
      <c r="W185" s="808"/>
      <c r="X185" s="44"/>
      <c r="Y185" s="44"/>
      <c r="Z185" s="44"/>
      <c r="AA185" s="44"/>
      <c r="AB185" s="44"/>
    </row>
    <row r="186" spans="1:28" s="45" customFormat="1">
      <c r="A186" s="584"/>
      <c r="B186" s="779">
        <f>+B185+0.01</f>
        <v>6.1099999999999994</v>
      </c>
      <c r="C186" s="102" t="s">
        <v>946</v>
      </c>
      <c r="D186" s="777" t="s">
        <v>540</v>
      </c>
      <c r="E186" s="780">
        <v>33</v>
      </c>
      <c r="F186" s="776">
        <v>29330</v>
      </c>
      <c r="G186" s="774">
        <f>+E186*F186</f>
        <v>967890</v>
      </c>
      <c r="H186" s="576"/>
      <c r="I186" s="575"/>
      <c r="J186" s="575"/>
      <c r="K186" s="575"/>
      <c r="L186" s="577"/>
      <c r="M186" s="578"/>
      <c r="N186" s="578"/>
      <c r="O186" s="95"/>
      <c r="P186" s="579"/>
      <c r="Q186" s="580"/>
      <c r="R186" s="580"/>
      <c r="S186" s="581"/>
      <c r="T186" s="582"/>
      <c r="U186" s="79"/>
      <c r="V186" s="621"/>
      <c r="W186" s="808"/>
      <c r="X186" s="44"/>
      <c r="Y186" s="44"/>
      <c r="Z186" s="44"/>
      <c r="AA186" s="44"/>
      <c r="AB186" s="44"/>
    </row>
    <row r="187" spans="1:28" s="45" customFormat="1">
      <c r="A187" s="584"/>
      <c r="B187" s="779">
        <f t="shared" ref="B187:B198" si="34">+B186+0.01</f>
        <v>6.1199999999999992</v>
      </c>
      <c r="C187" s="102" t="s">
        <v>522</v>
      </c>
      <c r="D187" s="777" t="s">
        <v>142</v>
      </c>
      <c r="E187" s="780">
        <v>2200</v>
      </c>
      <c r="F187" s="587">
        <v>3201</v>
      </c>
      <c r="G187" s="774">
        <f t="shared" ref="G187:G198" si="35">+E187*F187</f>
        <v>7042200</v>
      </c>
      <c r="H187" s="576"/>
      <c r="I187" s="575"/>
      <c r="J187" s="575"/>
      <c r="K187" s="575"/>
      <c r="L187" s="577"/>
      <c r="M187" s="578"/>
      <c r="N187" s="578"/>
      <c r="O187" s="95"/>
      <c r="P187" s="579"/>
      <c r="Q187" s="580"/>
      <c r="R187" s="580"/>
      <c r="S187" s="581"/>
      <c r="T187" s="582"/>
      <c r="U187" s="79"/>
      <c r="V187" s="621"/>
      <c r="W187" s="808"/>
      <c r="X187" s="44"/>
      <c r="Y187" s="44"/>
      <c r="Z187" s="44"/>
      <c r="AA187" s="44"/>
      <c r="AB187" s="44"/>
    </row>
    <row r="188" spans="1:28" s="45" customFormat="1">
      <c r="A188" s="584"/>
      <c r="B188" s="779">
        <f t="shared" si="34"/>
        <v>6.129999999999999</v>
      </c>
      <c r="C188" s="102" t="s">
        <v>508</v>
      </c>
      <c r="D188" s="777" t="s">
        <v>500</v>
      </c>
      <c r="E188" s="780">
        <v>35</v>
      </c>
      <c r="F188" s="587">
        <v>18420</v>
      </c>
      <c r="G188" s="774">
        <f t="shared" si="35"/>
        <v>644700</v>
      </c>
      <c r="H188" s="576"/>
      <c r="I188" s="575"/>
      <c r="J188" s="575"/>
      <c r="K188" s="575"/>
      <c r="L188" s="577"/>
      <c r="M188" s="578"/>
      <c r="N188" s="578"/>
      <c r="O188" s="95"/>
      <c r="P188" s="579"/>
      <c r="Q188" s="580"/>
      <c r="R188" s="580"/>
      <c r="S188" s="581"/>
      <c r="T188" s="582"/>
      <c r="U188" s="79"/>
      <c r="V188" s="621"/>
      <c r="W188" s="808"/>
      <c r="X188" s="44"/>
      <c r="Y188" s="44"/>
      <c r="Z188" s="44"/>
      <c r="AA188" s="44"/>
      <c r="AB188" s="44"/>
    </row>
    <row r="189" spans="1:28" s="45" customFormat="1">
      <c r="A189" s="584"/>
      <c r="B189" s="779">
        <f t="shared" si="34"/>
        <v>6.1399999999999988</v>
      </c>
      <c r="C189" s="102" t="s">
        <v>904</v>
      </c>
      <c r="D189" s="777" t="s">
        <v>22</v>
      </c>
      <c r="E189" s="102">
        <v>8</v>
      </c>
      <c r="F189" s="587">
        <v>10670</v>
      </c>
      <c r="G189" s="774">
        <f t="shared" si="35"/>
        <v>85360</v>
      </c>
      <c r="H189" s="576"/>
      <c r="I189" s="575"/>
      <c r="J189" s="575"/>
      <c r="K189" s="575"/>
      <c r="L189" s="577"/>
      <c r="M189" s="578"/>
      <c r="N189" s="578"/>
      <c r="O189" s="95"/>
      <c r="P189" s="579"/>
      <c r="Q189" s="580"/>
      <c r="R189" s="580"/>
      <c r="S189" s="581"/>
      <c r="T189" s="582"/>
      <c r="U189" s="79"/>
      <c r="V189" s="621"/>
      <c r="W189" s="808"/>
      <c r="X189" s="44"/>
      <c r="Y189" s="44"/>
      <c r="Z189" s="44"/>
      <c r="AA189" s="44"/>
      <c r="AB189" s="44"/>
    </row>
    <row r="190" spans="1:28" s="45" customFormat="1">
      <c r="A190" s="584"/>
      <c r="B190" s="779">
        <f t="shared" si="34"/>
        <v>6.1499999999999986</v>
      </c>
      <c r="C190" s="102" t="s">
        <v>996</v>
      </c>
      <c r="D190" s="777" t="s">
        <v>540</v>
      </c>
      <c r="E190" s="102">
        <v>2</v>
      </c>
      <c r="F190" s="587">
        <v>22800</v>
      </c>
      <c r="G190" s="774">
        <f t="shared" si="35"/>
        <v>45600</v>
      </c>
      <c r="H190" s="576"/>
      <c r="I190" s="575"/>
      <c r="J190" s="575"/>
      <c r="K190" s="575"/>
      <c r="L190" s="577"/>
      <c r="M190" s="578"/>
      <c r="N190" s="578"/>
      <c r="O190" s="95"/>
      <c r="P190" s="579"/>
      <c r="Q190" s="580"/>
      <c r="R190" s="580"/>
      <c r="S190" s="581"/>
      <c r="T190" s="582"/>
      <c r="U190" s="79"/>
      <c r="V190" s="621"/>
      <c r="W190" s="808"/>
      <c r="X190" s="44"/>
      <c r="Y190" s="44"/>
      <c r="Z190" s="44"/>
      <c r="AA190" s="44"/>
      <c r="AB190" s="44"/>
    </row>
    <row r="191" spans="1:28" s="45" customFormat="1">
      <c r="A191" s="584"/>
      <c r="B191" s="779">
        <f t="shared" si="34"/>
        <v>6.1599999999999984</v>
      </c>
      <c r="C191" s="988" t="s">
        <v>895</v>
      </c>
      <c r="D191" s="989" t="s">
        <v>22</v>
      </c>
      <c r="E191" s="988">
        <v>4</v>
      </c>
      <c r="F191" s="858">
        <v>6530</v>
      </c>
      <c r="G191" s="990">
        <f t="shared" si="35"/>
        <v>26120</v>
      </c>
      <c r="H191" s="576"/>
      <c r="I191" s="575"/>
      <c r="J191" s="575"/>
      <c r="K191" s="575"/>
      <c r="L191" s="577"/>
      <c r="M191" s="578"/>
      <c r="N191" s="578"/>
      <c r="O191" s="95"/>
      <c r="P191" s="579"/>
      <c r="Q191" s="580"/>
      <c r="R191" s="580"/>
      <c r="S191" s="581"/>
      <c r="T191" s="582"/>
      <c r="U191" s="79"/>
      <c r="V191" s="621"/>
      <c r="W191" s="808"/>
      <c r="X191" s="44"/>
      <c r="Y191" s="44"/>
      <c r="Z191" s="44"/>
      <c r="AA191" s="44"/>
      <c r="AB191" s="44"/>
    </row>
    <row r="192" spans="1:28" s="45" customFormat="1" ht="25.5">
      <c r="A192" s="584"/>
      <c r="B192" s="779">
        <f t="shared" si="34"/>
        <v>6.1699999999999982</v>
      </c>
      <c r="C192" s="988" t="s">
        <v>1293</v>
      </c>
      <c r="D192" s="989" t="s">
        <v>22</v>
      </c>
      <c r="E192" s="988">
        <v>2</v>
      </c>
      <c r="F192" s="858">
        <v>118392</v>
      </c>
      <c r="G192" s="990">
        <f t="shared" si="35"/>
        <v>236784</v>
      </c>
      <c r="H192" s="576"/>
      <c r="I192" s="575"/>
      <c r="J192" s="575"/>
      <c r="K192" s="575"/>
      <c r="L192" s="577"/>
      <c r="M192" s="578"/>
      <c r="N192" s="578"/>
      <c r="O192" s="95"/>
      <c r="P192" s="579"/>
      <c r="Q192" s="580"/>
      <c r="R192" s="580"/>
      <c r="S192" s="581"/>
      <c r="T192" s="582"/>
      <c r="U192" s="79"/>
      <c r="V192" s="621"/>
      <c r="W192" s="649"/>
      <c r="X192" s="951">
        <v>1479906</v>
      </c>
      <c r="Y192" s="44">
        <f>+X192*0.92</f>
        <v>1361513.52</v>
      </c>
      <c r="Z192" s="960">
        <f>+X192-Y192</f>
        <v>118392.47999999998</v>
      </c>
      <c r="AA192" s="44"/>
      <c r="AB192" s="44"/>
    </row>
    <row r="193" spans="1:28" s="45" customFormat="1" ht="25.5">
      <c r="A193" s="584"/>
      <c r="B193" s="779">
        <f t="shared" si="34"/>
        <v>6.1799999999999979</v>
      </c>
      <c r="C193" s="988" t="s">
        <v>1294</v>
      </c>
      <c r="D193" s="989" t="s">
        <v>22</v>
      </c>
      <c r="E193" s="988">
        <v>2</v>
      </c>
      <c r="F193" s="858">
        <v>61236</v>
      </c>
      <c r="G193" s="990">
        <f t="shared" si="35"/>
        <v>122472</v>
      </c>
      <c r="H193" s="576"/>
      <c r="I193" s="575"/>
      <c r="J193" s="575"/>
      <c r="K193" s="575"/>
      <c r="L193" s="577"/>
      <c r="M193" s="578"/>
      <c r="N193" s="578"/>
      <c r="O193" s="95"/>
      <c r="P193" s="579"/>
      <c r="Q193" s="580"/>
      <c r="R193" s="580"/>
      <c r="S193" s="581"/>
      <c r="T193" s="582"/>
      <c r="U193" s="79"/>
      <c r="V193" s="621"/>
      <c r="W193" s="808"/>
      <c r="X193" s="587">
        <v>612360</v>
      </c>
      <c r="Y193" s="44">
        <f>+X193*0.9</f>
        <v>551124</v>
      </c>
      <c r="Z193" s="960">
        <f>+X193-Y193</f>
        <v>61236</v>
      </c>
      <c r="AA193" s="44"/>
      <c r="AB193" s="44"/>
    </row>
    <row r="194" spans="1:28" s="45" customFormat="1">
      <c r="A194" s="584"/>
      <c r="B194" s="779">
        <f t="shared" si="34"/>
        <v>6.1899999999999977</v>
      </c>
      <c r="C194" s="102" t="s">
        <v>1005</v>
      </c>
      <c r="D194" s="777" t="s">
        <v>540</v>
      </c>
      <c r="E194" s="102">
        <v>24</v>
      </c>
      <c r="F194" s="587">
        <v>48740</v>
      </c>
      <c r="G194" s="774">
        <f t="shared" si="35"/>
        <v>1169760</v>
      </c>
      <c r="H194" s="576"/>
      <c r="I194" s="575"/>
      <c r="J194" s="575"/>
      <c r="K194" s="575"/>
      <c r="L194" s="577"/>
      <c r="M194" s="578"/>
      <c r="N194" s="578"/>
      <c r="O194" s="95"/>
      <c r="P194" s="579"/>
      <c r="Q194" s="580"/>
      <c r="R194" s="580"/>
      <c r="S194" s="581"/>
      <c r="T194" s="582"/>
      <c r="U194" s="79"/>
      <c r="V194" s="621"/>
      <c r="W194" s="808"/>
      <c r="X194" s="44"/>
      <c r="Y194" s="44"/>
      <c r="Z194" s="44"/>
      <c r="AA194" s="44"/>
      <c r="AB194" s="44"/>
    </row>
    <row r="195" spans="1:28" s="45" customFormat="1">
      <c r="A195" s="584"/>
      <c r="B195" s="779">
        <f t="shared" si="34"/>
        <v>6.1999999999999975</v>
      </c>
      <c r="C195" s="102" t="s">
        <v>1006</v>
      </c>
      <c r="D195" s="777" t="s">
        <v>540</v>
      </c>
      <c r="E195" s="102">
        <v>7</v>
      </c>
      <c r="F195" s="587">
        <v>105300</v>
      </c>
      <c r="G195" s="774">
        <f t="shared" si="35"/>
        <v>737100</v>
      </c>
      <c r="H195" s="576"/>
      <c r="I195" s="575"/>
      <c r="J195" s="575"/>
      <c r="K195" s="575"/>
      <c r="L195" s="577"/>
      <c r="M195" s="578"/>
      <c r="N195" s="578"/>
      <c r="O195" s="95"/>
      <c r="P195" s="579"/>
      <c r="Q195" s="580"/>
      <c r="R195" s="580"/>
      <c r="S195" s="581"/>
      <c r="T195" s="582"/>
      <c r="U195" s="79"/>
      <c r="V195" s="621"/>
      <c r="W195" s="808"/>
      <c r="X195" s="44"/>
      <c r="Y195" s="44"/>
      <c r="Z195" s="44"/>
      <c r="AA195" s="44"/>
      <c r="AB195" s="44"/>
    </row>
    <row r="196" spans="1:28" s="45" customFormat="1">
      <c r="A196" s="584"/>
      <c r="B196" s="779">
        <f t="shared" si="34"/>
        <v>6.2099999999999973</v>
      </c>
      <c r="C196" s="102" t="s">
        <v>1007</v>
      </c>
      <c r="D196" s="777" t="s">
        <v>512</v>
      </c>
      <c r="E196" s="102">
        <v>2</v>
      </c>
      <c r="F196" s="776">
        <v>628300</v>
      </c>
      <c r="G196" s="774">
        <f t="shared" si="35"/>
        <v>1256600</v>
      </c>
      <c r="H196" s="576"/>
      <c r="I196" s="575"/>
      <c r="J196" s="575"/>
      <c r="K196" s="575"/>
      <c r="L196" s="577"/>
      <c r="M196" s="578"/>
      <c r="N196" s="578"/>
      <c r="O196" s="95"/>
      <c r="P196" s="579"/>
      <c r="Q196" s="580"/>
      <c r="R196" s="580"/>
      <c r="S196" s="581"/>
      <c r="T196" s="582"/>
      <c r="U196" s="79"/>
      <c r="V196" s="621"/>
      <c r="W196" s="808"/>
      <c r="X196" s="44"/>
      <c r="Y196" s="44"/>
      <c r="Z196" s="44"/>
      <c r="AA196" s="44"/>
      <c r="AB196" s="44"/>
    </row>
    <row r="197" spans="1:28" s="45" customFormat="1">
      <c r="A197" s="584"/>
      <c r="B197" s="779">
        <f t="shared" si="34"/>
        <v>6.2199999999999971</v>
      </c>
      <c r="C197" s="102" t="s">
        <v>1021</v>
      </c>
      <c r="D197" s="777" t="s">
        <v>22</v>
      </c>
      <c r="E197" s="102">
        <v>6</v>
      </c>
      <c r="F197" s="879">
        <v>410000</v>
      </c>
      <c r="G197" s="774">
        <f t="shared" si="35"/>
        <v>2460000</v>
      </c>
      <c r="H197" s="576"/>
      <c r="I197" s="575"/>
      <c r="J197" s="575"/>
      <c r="K197" s="575"/>
      <c r="L197" s="577"/>
      <c r="M197" s="578"/>
      <c r="N197" s="578"/>
      <c r="O197" s="95"/>
      <c r="P197" s="579"/>
      <c r="Q197" s="580"/>
      <c r="R197" s="580"/>
      <c r="S197" s="581"/>
      <c r="T197" s="582"/>
      <c r="U197" s="79"/>
      <c r="V197" s="621"/>
      <c r="W197" s="808"/>
      <c r="X197" s="44"/>
      <c r="Y197" s="44"/>
      <c r="Z197" s="44"/>
      <c r="AA197" s="44"/>
      <c r="AB197" s="44"/>
    </row>
    <row r="198" spans="1:28" s="45" customFormat="1">
      <c r="A198" s="584"/>
      <c r="B198" s="779">
        <f t="shared" si="34"/>
        <v>6.2299999999999969</v>
      </c>
      <c r="C198" s="102" t="s">
        <v>1022</v>
      </c>
      <c r="D198" s="777" t="s">
        <v>22</v>
      </c>
      <c r="E198" s="102">
        <v>1</v>
      </c>
      <c r="F198" s="879">
        <v>308000</v>
      </c>
      <c r="G198" s="774">
        <f t="shared" si="35"/>
        <v>308000</v>
      </c>
      <c r="H198" s="576"/>
      <c r="I198" s="575"/>
      <c r="J198" s="575"/>
      <c r="K198" s="575"/>
      <c r="L198" s="577"/>
      <c r="M198" s="578"/>
      <c r="N198" s="578"/>
      <c r="O198" s="95"/>
      <c r="P198" s="579"/>
      <c r="Q198" s="580"/>
      <c r="R198" s="580"/>
      <c r="S198" s="581"/>
      <c r="T198" s="582"/>
      <c r="U198" s="79"/>
      <c r="V198" s="621"/>
      <c r="W198" s="808"/>
      <c r="X198" s="44"/>
      <c r="Y198" s="44"/>
      <c r="Z198" s="44"/>
      <c r="AA198" s="44"/>
      <c r="AB198" s="44"/>
    </row>
    <row r="199" spans="1:28" s="45" customFormat="1">
      <c r="A199" s="138">
        <v>200314</v>
      </c>
      <c r="B199" s="779">
        <f>+B79+0.01</f>
        <v>3.2399999999999998</v>
      </c>
      <c r="C199" s="781" t="s">
        <v>1321</v>
      </c>
      <c r="D199" s="783" t="s">
        <v>22</v>
      </c>
      <c r="E199" s="784">
        <v>1</v>
      </c>
      <c r="F199" s="785">
        <v>200000</v>
      </c>
      <c r="G199" s="786">
        <f>+E199*F199</f>
        <v>200000</v>
      </c>
      <c r="H199" s="576">
        <v>44727</v>
      </c>
      <c r="I199" s="25">
        <v>59389</v>
      </c>
      <c r="J199" s="25">
        <v>1</v>
      </c>
      <c r="K199" s="25">
        <v>1</v>
      </c>
      <c r="L199" s="28">
        <v>3563340</v>
      </c>
      <c r="M199" s="29">
        <v>2683620</v>
      </c>
      <c r="N199" s="29">
        <v>2683620</v>
      </c>
      <c r="O199" s="95"/>
      <c r="P199" s="96"/>
      <c r="Q199" s="97">
        <v>52319</v>
      </c>
      <c r="R199" s="97">
        <v>890394</v>
      </c>
      <c r="S199" s="98">
        <v>1740900</v>
      </c>
      <c r="T199" s="99"/>
      <c r="U199" s="79"/>
      <c r="V199" s="621">
        <v>33</v>
      </c>
      <c r="W199" s="808"/>
      <c r="X199" s="44"/>
      <c r="Y199" s="44"/>
      <c r="Z199" s="44"/>
      <c r="AA199" s="44"/>
      <c r="AB199" s="44"/>
    </row>
    <row r="200" spans="1:28" s="45" customFormat="1" ht="15.75" thickBot="1">
      <c r="A200" s="143">
        <v>140404</v>
      </c>
      <c r="B200" s="871"/>
      <c r="C200" s="871"/>
      <c r="D200" s="873"/>
      <c r="E200" s="874"/>
      <c r="F200" s="940" t="s">
        <v>973</v>
      </c>
      <c r="G200" s="1004">
        <f>SUM(G184:G199)</f>
        <v>33666296</v>
      </c>
      <c r="H200" s="576">
        <v>90513</v>
      </c>
      <c r="I200" s="25">
        <v>120183</v>
      </c>
      <c r="J200" s="25">
        <v>1</v>
      </c>
      <c r="K200" s="25">
        <v>1</v>
      </c>
      <c r="L200" s="28">
        <v>2163294</v>
      </c>
      <c r="M200" s="29">
        <v>1629234</v>
      </c>
      <c r="N200" s="29">
        <v>1629234</v>
      </c>
      <c r="O200" s="95"/>
      <c r="P200" s="96"/>
      <c r="Q200" s="97">
        <v>48580</v>
      </c>
      <c r="R200" s="97">
        <v>593604</v>
      </c>
      <c r="S200" s="98">
        <v>987055</v>
      </c>
      <c r="T200" s="99"/>
      <c r="U200" s="79"/>
      <c r="V200" s="621">
        <v>34</v>
      </c>
      <c r="W200" s="808"/>
      <c r="X200" s="44"/>
      <c r="Y200" s="44"/>
      <c r="Z200" s="44"/>
      <c r="AA200" s="44"/>
      <c r="AB200" s="44"/>
    </row>
    <row r="201" spans="1:28" s="45" customFormat="1">
      <c r="A201" s="584"/>
      <c r="B201" s="771"/>
      <c r="C201" s="102"/>
      <c r="D201" s="777"/>
      <c r="E201" s="780"/>
      <c r="F201" s="776"/>
      <c r="G201" s="774"/>
      <c r="H201" s="576"/>
      <c r="I201" s="575"/>
      <c r="J201" s="575"/>
      <c r="K201" s="575"/>
      <c r="L201" s="577"/>
      <c r="M201" s="578"/>
      <c r="N201" s="578"/>
      <c r="O201" s="95"/>
      <c r="P201" s="579"/>
      <c r="Q201" s="580"/>
      <c r="R201" s="580"/>
      <c r="S201" s="581"/>
      <c r="T201" s="582"/>
      <c r="U201" s="79"/>
      <c r="V201" s="621"/>
      <c r="W201" s="808"/>
      <c r="X201" s="44"/>
      <c r="Y201" s="44"/>
      <c r="Z201" s="44"/>
      <c r="AA201" s="44"/>
      <c r="AB201" s="44"/>
    </row>
    <row r="202" spans="1:28" s="45" customFormat="1" ht="15.75" thickBot="1">
      <c r="A202" s="584"/>
      <c r="B202" s="771"/>
      <c r="C202" s="102"/>
      <c r="D202" s="777"/>
      <c r="E202" s="780"/>
      <c r="F202" s="776"/>
      <c r="G202" s="774"/>
      <c r="H202" s="576"/>
      <c r="I202" s="575"/>
      <c r="J202" s="575"/>
      <c r="K202" s="575"/>
      <c r="L202" s="577"/>
      <c r="M202" s="578"/>
      <c r="N202" s="578"/>
      <c r="O202" s="95"/>
      <c r="P202" s="579"/>
      <c r="Q202" s="580"/>
      <c r="R202" s="580"/>
      <c r="S202" s="581"/>
      <c r="T202" s="582"/>
      <c r="U202" s="79"/>
      <c r="V202" s="621"/>
      <c r="W202" s="808"/>
      <c r="X202" s="44"/>
      <c r="Y202" s="44"/>
      <c r="Z202" s="44"/>
      <c r="AA202" s="44"/>
      <c r="AB202" s="44"/>
    </row>
    <row r="203" spans="1:28" s="45" customFormat="1" ht="15.75" hidden="1" thickBot="1">
      <c r="A203" s="84" t="s">
        <v>40</v>
      </c>
      <c r="B203" s="74"/>
      <c r="C203" s="75" t="s">
        <v>478</v>
      </c>
      <c r="D203" s="87"/>
      <c r="E203" s="88"/>
      <c r="F203" s="89"/>
      <c r="G203" s="90"/>
      <c r="H203" s="91"/>
      <c r="I203" s="89"/>
      <c r="J203" s="89"/>
      <c r="K203" s="89"/>
      <c r="L203" s="92"/>
      <c r="M203" s="93"/>
      <c r="N203" s="94"/>
      <c r="O203" s="95"/>
      <c r="P203" s="96"/>
      <c r="Q203" s="97"/>
      <c r="R203" s="97"/>
      <c r="S203" s="98"/>
      <c r="T203" s="99"/>
      <c r="U203" s="79"/>
      <c r="V203" s="621"/>
      <c r="W203" s="807"/>
      <c r="X203" s="44"/>
      <c r="Y203" s="44"/>
      <c r="Z203" s="44"/>
      <c r="AA203" s="44"/>
      <c r="AB203" s="44"/>
    </row>
    <row r="204" spans="1:28" s="45" customFormat="1">
      <c r="A204" s="586"/>
      <c r="B204" s="74">
        <v>7</v>
      </c>
      <c r="C204" s="75" t="s">
        <v>478</v>
      </c>
      <c r="D204" s="76"/>
      <c r="E204" s="76"/>
      <c r="F204" s="76"/>
      <c r="G204" s="126"/>
      <c r="H204" s="588"/>
      <c r="I204" s="587"/>
      <c r="J204" s="587"/>
      <c r="K204" s="587"/>
      <c r="L204" s="589"/>
      <c r="M204" s="590"/>
      <c r="N204" s="591"/>
      <c r="O204" s="95"/>
      <c r="P204" s="579"/>
      <c r="Q204" s="580"/>
      <c r="R204" s="580"/>
      <c r="S204" s="581"/>
      <c r="T204" s="582"/>
      <c r="U204" s="79"/>
      <c r="V204" s="621"/>
      <c r="W204" s="808"/>
      <c r="X204" s="44"/>
      <c r="Y204" s="44"/>
      <c r="Z204" s="44"/>
      <c r="AA204" s="44"/>
      <c r="AB204" s="44"/>
    </row>
    <row r="205" spans="1:28" s="45" customFormat="1">
      <c r="A205" s="586"/>
      <c r="B205" s="771"/>
      <c r="C205" s="788" t="s">
        <v>947</v>
      </c>
      <c r="D205" s="772"/>
      <c r="E205" s="773"/>
      <c r="F205" s="587"/>
      <c r="G205" s="774"/>
      <c r="H205" s="588"/>
      <c r="I205" s="587"/>
      <c r="J205" s="587"/>
      <c r="K205" s="587"/>
      <c r="L205" s="589"/>
      <c r="M205" s="590"/>
      <c r="N205" s="591"/>
      <c r="O205" s="95"/>
      <c r="P205" s="579"/>
      <c r="Q205" s="580"/>
      <c r="R205" s="580"/>
      <c r="S205" s="581"/>
      <c r="T205" s="582"/>
      <c r="U205" s="79"/>
      <c r="V205" s="621"/>
      <c r="W205" s="808"/>
      <c r="X205" s="44"/>
      <c r="Y205" s="44"/>
      <c r="Z205" s="44"/>
      <c r="AA205" s="44"/>
      <c r="AB205" s="44"/>
    </row>
    <row r="206" spans="1:28" s="45" customFormat="1">
      <c r="A206" s="586"/>
      <c r="B206" s="771">
        <v>7.1</v>
      </c>
      <c r="C206" s="102" t="s">
        <v>943</v>
      </c>
      <c r="D206" s="772" t="s">
        <v>139</v>
      </c>
      <c r="E206" s="587">
        <v>4910</v>
      </c>
      <c r="F206" s="587">
        <v>2610</v>
      </c>
      <c r="G206" s="587">
        <f>+E206*F206</f>
        <v>12815100</v>
      </c>
      <c r="H206" s="588"/>
      <c r="I206" s="587"/>
      <c r="J206" s="587"/>
      <c r="K206" s="587"/>
      <c r="L206" s="589"/>
      <c r="M206" s="590"/>
      <c r="N206" s="591"/>
      <c r="O206" s="95"/>
      <c r="P206" s="579"/>
      <c r="Q206" s="580"/>
      <c r="R206" s="580"/>
      <c r="S206" s="581"/>
      <c r="T206" s="582"/>
      <c r="U206" s="79"/>
      <c r="V206" s="621"/>
      <c r="W206" s="808"/>
      <c r="X206" s="44"/>
      <c r="Y206" s="44"/>
      <c r="Z206" s="44"/>
      <c r="AA206" s="44"/>
      <c r="AB206" s="44"/>
    </row>
    <row r="207" spans="1:28" s="45" customFormat="1">
      <c r="A207" s="586"/>
      <c r="B207" s="771">
        <f>+B206+0.1</f>
        <v>7.1999999999999993</v>
      </c>
      <c r="C207" s="102" t="s">
        <v>1101</v>
      </c>
      <c r="D207" s="772" t="s">
        <v>139</v>
      </c>
      <c r="E207" s="587">
        <v>4468</v>
      </c>
      <c r="F207" s="587">
        <v>5190</v>
      </c>
      <c r="G207" s="587">
        <f t="shared" ref="G207:G211" si="36">+E207*F207</f>
        <v>23188920</v>
      </c>
      <c r="H207" s="588"/>
      <c r="I207" s="587"/>
      <c r="J207" s="587"/>
      <c r="K207" s="587"/>
      <c r="L207" s="589"/>
      <c r="M207" s="590"/>
      <c r="N207" s="591"/>
      <c r="O207" s="95"/>
      <c r="P207" s="579"/>
      <c r="Q207" s="580"/>
      <c r="R207" s="580"/>
      <c r="S207" s="581"/>
      <c r="T207" s="582"/>
      <c r="U207" s="79"/>
      <c r="V207" s="621"/>
      <c r="W207" s="808"/>
      <c r="X207" s="44"/>
      <c r="Y207" s="44"/>
      <c r="Z207" s="44"/>
      <c r="AA207" s="44"/>
      <c r="AB207" s="44"/>
    </row>
    <row r="208" spans="1:28" s="45" customFormat="1">
      <c r="A208" s="586"/>
      <c r="B208" s="771">
        <f t="shared" ref="B208:B214" si="37">+B207+0.1</f>
        <v>7.2999999999999989</v>
      </c>
      <c r="C208" s="102" t="s">
        <v>941</v>
      </c>
      <c r="D208" s="777" t="s">
        <v>139</v>
      </c>
      <c r="E208" s="587">
        <v>442</v>
      </c>
      <c r="F208" s="587">
        <v>10240</v>
      </c>
      <c r="G208" s="587">
        <f t="shared" si="36"/>
        <v>4526080</v>
      </c>
      <c r="H208" s="588"/>
      <c r="I208" s="587"/>
      <c r="J208" s="587"/>
      <c r="K208" s="587"/>
      <c r="L208" s="589"/>
      <c r="M208" s="590"/>
      <c r="N208" s="591"/>
      <c r="O208" s="95"/>
      <c r="P208" s="579"/>
      <c r="Q208" s="580"/>
      <c r="R208" s="580"/>
      <c r="S208" s="581"/>
      <c r="T208" s="582"/>
      <c r="U208" s="79"/>
      <c r="V208" s="621"/>
      <c r="W208" s="808"/>
      <c r="X208" s="44"/>
      <c r="Y208" s="44"/>
      <c r="Z208" s="44"/>
      <c r="AA208" s="44"/>
      <c r="AB208" s="44"/>
    </row>
    <row r="209" spans="1:28" s="45" customFormat="1">
      <c r="A209" s="586"/>
      <c r="B209" s="771">
        <f t="shared" si="37"/>
        <v>7.3999999999999986</v>
      </c>
      <c r="C209" s="102" t="s">
        <v>497</v>
      </c>
      <c r="D209" s="777" t="s">
        <v>56</v>
      </c>
      <c r="E209" s="587">
        <v>613</v>
      </c>
      <c r="F209" s="587">
        <v>17220</v>
      </c>
      <c r="G209" s="587">
        <f t="shared" si="36"/>
        <v>10555860</v>
      </c>
      <c r="H209" s="588"/>
      <c r="I209" s="587"/>
      <c r="J209" s="587"/>
      <c r="K209" s="587"/>
      <c r="L209" s="589"/>
      <c r="M209" s="590"/>
      <c r="N209" s="591"/>
      <c r="O209" s="95"/>
      <c r="P209" s="579"/>
      <c r="Q209" s="580"/>
      <c r="R209" s="580"/>
      <c r="S209" s="581"/>
      <c r="T209" s="582"/>
      <c r="U209" s="79"/>
      <c r="V209" s="621"/>
      <c r="W209" s="808"/>
      <c r="X209" s="44"/>
      <c r="Y209" s="44"/>
      <c r="Z209" s="44"/>
      <c r="AA209" s="44"/>
      <c r="AB209" s="44"/>
    </row>
    <row r="210" spans="1:28" s="45" customFormat="1">
      <c r="A210" s="127">
        <v>290304</v>
      </c>
      <c r="B210" s="771">
        <f t="shared" si="37"/>
        <v>7.4999999999999982</v>
      </c>
      <c r="C210" s="782" t="s">
        <v>981</v>
      </c>
      <c r="D210" s="790" t="s">
        <v>938</v>
      </c>
      <c r="E210" s="587">
        <v>179</v>
      </c>
      <c r="F210" s="587">
        <v>573533</v>
      </c>
      <c r="G210" s="587">
        <f t="shared" si="36"/>
        <v>102662407</v>
      </c>
      <c r="H210" s="576">
        <v>5550</v>
      </c>
      <c r="I210" s="25">
        <v>7369</v>
      </c>
      <c r="J210" s="25">
        <v>1</v>
      </c>
      <c r="K210" s="25">
        <v>2</v>
      </c>
      <c r="L210" s="28">
        <v>3345526</v>
      </c>
      <c r="M210" s="29">
        <v>2519700</v>
      </c>
      <c r="N210" s="29">
        <v>2519700</v>
      </c>
      <c r="O210" s="95"/>
      <c r="P210" s="96"/>
      <c r="Q210" s="97">
        <v>103998</v>
      </c>
      <c r="R210" s="97">
        <v>1431706</v>
      </c>
      <c r="S210" s="98">
        <v>983804</v>
      </c>
      <c r="T210" s="99"/>
      <c r="U210" s="79"/>
      <c r="V210" s="621">
        <v>44</v>
      </c>
      <c r="W210" s="808"/>
      <c r="X210" s="216"/>
      <c r="Y210" s="829"/>
      <c r="Z210" s="833"/>
      <c r="AA210" s="44"/>
      <c r="AB210" s="44"/>
    </row>
    <row r="211" spans="1:28" s="45" customFormat="1">
      <c r="A211" s="584"/>
      <c r="B211" s="771">
        <f t="shared" si="37"/>
        <v>7.5999999999999979</v>
      </c>
      <c r="C211" s="782" t="s">
        <v>993</v>
      </c>
      <c r="D211" s="790" t="s">
        <v>56</v>
      </c>
      <c r="E211" s="587">
        <v>922</v>
      </c>
      <c r="F211" s="587">
        <v>30000</v>
      </c>
      <c r="G211" s="587">
        <f t="shared" si="36"/>
        <v>27660000</v>
      </c>
      <c r="H211" s="576"/>
      <c r="I211" s="575"/>
      <c r="J211" s="575"/>
      <c r="K211" s="575"/>
      <c r="L211" s="577"/>
      <c r="M211" s="578"/>
      <c r="N211" s="578"/>
      <c r="O211" s="95"/>
      <c r="P211" s="579"/>
      <c r="Q211" s="580"/>
      <c r="R211" s="580"/>
      <c r="S211" s="581"/>
      <c r="T211" s="582"/>
      <c r="U211" s="79"/>
      <c r="V211" s="621"/>
      <c r="W211" s="808"/>
      <c r="X211" s="44"/>
      <c r="Y211" s="44"/>
      <c r="Z211" s="44"/>
      <c r="AA211" s="44"/>
      <c r="AB211" s="44"/>
    </row>
    <row r="212" spans="1:28" s="45" customFormat="1">
      <c r="A212" s="143">
        <v>290430</v>
      </c>
      <c r="B212" s="771">
        <f t="shared" si="37"/>
        <v>7.6999999999999975</v>
      </c>
      <c r="C212" s="102" t="s">
        <v>976</v>
      </c>
      <c r="D212" s="772" t="s">
        <v>139</v>
      </c>
      <c r="E212" s="587">
        <v>122</v>
      </c>
      <c r="F212" s="837">
        <v>614040</v>
      </c>
      <c r="G212" s="587">
        <f>+E212*F212</f>
        <v>74912880</v>
      </c>
      <c r="H212" s="576">
        <v>10638</v>
      </c>
      <c r="I212" s="25">
        <v>14125</v>
      </c>
      <c r="J212" s="25">
        <v>1</v>
      </c>
      <c r="K212" s="25">
        <v>1</v>
      </c>
      <c r="L212" s="28">
        <v>1186500</v>
      </c>
      <c r="M212" s="29">
        <v>893592</v>
      </c>
      <c r="N212" s="29">
        <v>893592</v>
      </c>
      <c r="O212" s="95"/>
      <c r="P212" s="96"/>
      <c r="Q212" s="97">
        <v>29433</v>
      </c>
      <c r="R212" s="97">
        <v>588668</v>
      </c>
      <c r="S212" s="98">
        <v>275486</v>
      </c>
      <c r="T212" s="99"/>
      <c r="U212" s="79"/>
      <c r="V212" s="621">
        <v>46</v>
      </c>
      <c r="W212" s="808"/>
      <c r="X212" s="44"/>
      <c r="Y212" s="44"/>
      <c r="Z212" s="44"/>
      <c r="AA212" s="44"/>
      <c r="AB212" s="44"/>
    </row>
    <row r="213" spans="1:28" s="45" customFormat="1">
      <c r="A213" s="584"/>
      <c r="B213" s="771">
        <f t="shared" si="37"/>
        <v>7.7999999999999972</v>
      </c>
      <c r="C213" s="102" t="s">
        <v>939</v>
      </c>
      <c r="D213" s="772" t="s">
        <v>139</v>
      </c>
      <c r="E213" s="587">
        <v>62</v>
      </c>
      <c r="F213" s="587">
        <v>594610</v>
      </c>
      <c r="G213" s="587">
        <f>+E213*F213</f>
        <v>36865820</v>
      </c>
      <c r="H213" s="576"/>
      <c r="I213" s="575"/>
      <c r="J213" s="575"/>
      <c r="K213" s="575"/>
      <c r="L213" s="577"/>
      <c r="M213" s="578"/>
      <c r="N213" s="585"/>
      <c r="O213" s="95"/>
      <c r="P213" s="579"/>
      <c r="Q213" s="580"/>
      <c r="R213" s="580"/>
      <c r="S213" s="581"/>
      <c r="T213" s="582"/>
      <c r="U213" s="79"/>
      <c r="V213" s="621"/>
      <c r="W213" s="808"/>
      <c r="X213" s="44"/>
      <c r="Y213" s="44"/>
      <c r="Z213" s="44"/>
      <c r="AA213" s="44"/>
      <c r="AB213" s="44"/>
    </row>
    <row r="214" spans="1:28" s="45" customFormat="1">
      <c r="A214" s="584"/>
      <c r="B214" s="771">
        <f t="shared" si="37"/>
        <v>7.8999999999999968</v>
      </c>
      <c r="C214" s="102" t="s">
        <v>985</v>
      </c>
      <c r="D214" s="772" t="s">
        <v>22</v>
      </c>
      <c r="E214" s="587">
        <v>2</v>
      </c>
      <c r="F214" s="587">
        <v>201870</v>
      </c>
      <c r="G214" s="587">
        <f>+E214*F214</f>
        <v>403740</v>
      </c>
      <c r="H214" s="576"/>
      <c r="I214" s="575"/>
      <c r="J214" s="575"/>
      <c r="K214" s="575"/>
      <c r="L214" s="577"/>
      <c r="M214" s="578"/>
      <c r="N214" s="585"/>
      <c r="O214" s="95"/>
      <c r="P214" s="579"/>
      <c r="Q214" s="580"/>
      <c r="R214" s="580"/>
      <c r="S214" s="581"/>
      <c r="T214" s="582"/>
      <c r="U214" s="79"/>
      <c r="V214" s="621"/>
      <c r="W214" s="808"/>
      <c r="X214" s="44"/>
      <c r="Y214" s="44"/>
      <c r="Z214" s="44"/>
      <c r="AA214" s="44"/>
      <c r="AB214" s="44"/>
    </row>
    <row r="215" spans="1:28" s="45" customFormat="1">
      <c r="A215" s="584"/>
      <c r="B215" s="779">
        <v>7.1</v>
      </c>
      <c r="C215" s="102" t="s">
        <v>986</v>
      </c>
      <c r="D215" s="772" t="s">
        <v>22</v>
      </c>
      <c r="E215" s="587">
        <v>2</v>
      </c>
      <c r="F215" s="587">
        <v>1473920</v>
      </c>
      <c r="G215" s="587">
        <f>+E215*F215</f>
        <v>2947840</v>
      </c>
      <c r="H215" s="576"/>
      <c r="I215" s="575"/>
      <c r="J215" s="575"/>
      <c r="K215" s="575"/>
      <c r="L215" s="577"/>
      <c r="M215" s="578"/>
      <c r="N215" s="585"/>
      <c r="O215" s="95"/>
      <c r="P215" s="579"/>
      <c r="Q215" s="580"/>
      <c r="R215" s="580"/>
      <c r="S215" s="581"/>
      <c r="T215" s="582"/>
      <c r="U215" s="79"/>
      <c r="V215" s="621"/>
      <c r="W215" s="808"/>
      <c r="X215" s="44"/>
      <c r="Y215" s="44"/>
      <c r="Z215" s="44"/>
      <c r="AA215" s="44"/>
      <c r="AB215" s="44"/>
    </row>
    <row r="216" spans="1:28" s="45" customFormat="1">
      <c r="A216" s="584"/>
      <c r="B216" s="779">
        <v>7.11</v>
      </c>
      <c r="C216" s="102" t="s">
        <v>994</v>
      </c>
      <c r="D216" s="777" t="s">
        <v>22</v>
      </c>
      <c r="E216" s="780">
        <v>2</v>
      </c>
      <c r="F216" s="587">
        <v>118070</v>
      </c>
      <c r="G216" s="587">
        <f>+E216*F216</f>
        <v>236140</v>
      </c>
      <c r="H216" s="576"/>
      <c r="I216" s="575"/>
      <c r="J216" s="575"/>
      <c r="K216" s="575"/>
      <c r="L216" s="577"/>
      <c r="M216" s="578"/>
      <c r="N216" s="585"/>
      <c r="O216" s="95"/>
      <c r="P216" s="579"/>
      <c r="Q216" s="580"/>
      <c r="R216" s="580"/>
      <c r="S216" s="581"/>
      <c r="T216" s="582"/>
      <c r="U216" s="79"/>
      <c r="V216" s="621"/>
      <c r="W216" s="808"/>
      <c r="X216" s="44"/>
      <c r="Y216" s="44"/>
      <c r="Z216" s="44"/>
      <c r="AA216" s="44"/>
      <c r="AB216" s="44"/>
    </row>
    <row r="217" spans="1:28" s="45" customFormat="1">
      <c r="A217" s="105"/>
      <c r="B217" s="139"/>
      <c r="C217" s="140"/>
      <c r="D217" s="23"/>
      <c r="E217" s="107"/>
      <c r="F217" s="25"/>
      <c r="G217" s="795"/>
      <c r="H217" s="576"/>
      <c r="I217" s="25"/>
      <c r="J217" s="25"/>
      <c r="K217" s="25"/>
      <c r="L217" s="109"/>
      <c r="M217" s="110"/>
      <c r="N217" s="111"/>
      <c r="O217" s="95"/>
      <c r="P217" s="96"/>
      <c r="Q217" s="97"/>
      <c r="R217" s="97"/>
      <c r="S217" s="98"/>
      <c r="T217" s="99"/>
      <c r="U217" s="79"/>
      <c r="V217" s="621"/>
      <c r="W217" s="807"/>
      <c r="X217" s="44"/>
      <c r="Y217" s="44"/>
      <c r="Z217" s="44"/>
      <c r="AA217" s="44"/>
      <c r="AB217" s="44"/>
    </row>
    <row r="218" spans="1:28" s="45" customFormat="1" ht="15.75" thickBot="1">
      <c r="A218" s="112" t="s">
        <v>46</v>
      </c>
      <c r="B218" s="113"/>
      <c r="C218" s="114"/>
      <c r="D218" s="115"/>
      <c r="E218" s="116"/>
      <c r="F218" s="117" t="s">
        <v>479</v>
      </c>
      <c r="G218" s="118">
        <f>SUM(G206:G217)</f>
        <v>296774787</v>
      </c>
      <c r="H218" s="576"/>
      <c r="I218" s="25"/>
      <c r="J218" s="25"/>
      <c r="K218" s="25"/>
      <c r="L218" s="109"/>
      <c r="M218" s="110"/>
      <c r="N218" s="119">
        <v>8571640</v>
      </c>
      <c r="O218" s="95"/>
      <c r="P218" s="120">
        <v>0</v>
      </c>
      <c r="Q218" s="121">
        <v>303531</v>
      </c>
      <c r="R218" s="121">
        <v>4125784</v>
      </c>
      <c r="S218" s="122">
        <v>4141954</v>
      </c>
      <c r="T218" s="123">
        <v>0</v>
      </c>
      <c r="U218" s="79"/>
      <c r="V218" s="621"/>
      <c r="W218" s="807"/>
      <c r="X218" s="44"/>
      <c r="Y218" s="44"/>
      <c r="Z218" s="44"/>
      <c r="AA218" s="44"/>
      <c r="AB218" s="44"/>
    </row>
    <row r="219" spans="1:28" s="45" customFormat="1" hidden="1">
      <c r="A219" s="84" t="s">
        <v>40</v>
      </c>
      <c r="B219" s="779"/>
      <c r="C219" s="102"/>
      <c r="D219" s="777"/>
      <c r="E219" s="780"/>
      <c r="F219" s="776">
        <v>38550</v>
      </c>
      <c r="G219" s="774">
        <f t="shared" ref="G219" si="38">E219*F219</f>
        <v>0</v>
      </c>
      <c r="H219" s="91"/>
      <c r="I219" s="89"/>
      <c r="J219" s="89"/>
      <c r="K219" s="89"/>
      <c r="L219" s="92"/>
      <c r="M219" s="93"/>
      <c r="N219" s="94"/>
      <c r="O219" s="95"/>
      <c r="P219" s="96"/>
      <c r="Q219" s="97"/>
      <c r="R219" s="97"/>
      <c r="S219" s="98"/>
      <c r="T219" s="99"/>
      <c r="U219" s="79"/>
      <c r="V219" s="621"/>
      <c r="W219" s="807"/>
      <c r="X219" s="44"/>
      <c r="Y219" s="44"/>
      <c r="Z219" s="44"/>
      <c r="AA219" s="44"/>
      <c r="AB219" s="44"/>
    </row>
    <row r="220" spans="1:28" s="45" customFormat="1">
      <c r="A220" s="586"/>
      <c r="B220" s="771"/>
      <c r="C220" s="102"/>
      <c r="D220" s="777"/>
      <c r="E220" s="780"/>
      <c r="F220" s="587"/>
      <c r="G220" s="774"/>
      <c r="H220" s="588"/>
      <c r="I220" s="587"/>
      <c r="J220" s="587"/>
      <c r="K220" s="587"/>
      <c r="L220" s="589"/>
      <c r="M220" s="590"/>
      <c r="N220" s="591"/>
      <c r="O220" s="95"/>
      <c r="P220" s="579"/>
      <c r="Q220" s="580"/>
      <c r="R220" s="580"/>
      <c r="S220" s="581"/>
      <c r="T220" s="582"/>
      <c r="U220" s="79"/>
      <c r="V220" s="621"/>
      <c r="W220" s="808"/>
      <c r="X220" s="44"/>
      <c r="Y220" s="44"/>
      <c r="Z220" s="44"/>
      <c r="AA220" s="44"/>
      <c r="AB220" s="44"/>
    </row>
    <row r="221" spans="1:28" s="45" customFormat="1">
      <c r="A221" s="586"/>
      <c r="B221" s="771">
        <v>7.12</v>
      </c>
      <c r="C221" s="102" t="s">
        <v>522</v>
      </c>
      <c r="D221" s="777" t="s">
        <v>142</v>
      </c>
      <c r="E221" s="780">
        <v>11700</v>
      </c>
      <c r="F221" s="587">
        <v>3201</v>
      </c>
      <c r="G221" s="587">
        <f>+E221*F223</f>
        <v>52650000</v>
      </c>
      <c r="H221" s="588"/>
      <c r="I221" s="587"/>
      <c r="J221" s="587"/>
      <c r="K221" s="587"/>
      <c r="L221" s="589"/>
      <c r="M221" s="590"/>
      <c r="N221" s="591"/>
      <c r="O221" s="95"/>
      <c r="P221" s="579"/>
      <c r="Q221" s="580"/>
      <c r="R221" s="580"/>
      <c r="S221" s="581"/>
      <c r="T221" s="582"/>
      <c r="U221" s="79"/>
      <c r="V221" s="621"/>
      <c r="W221" s="808"/>
      <c r="X221" s="44"/>
      <c r="Y221" s="44"/>
      <c r="Z221" s="44"/>
      <c r="AA221" s="44"/>
      <c r="AB221" s="44"/>
    </row>
    <row r="222" spans="1:28" s="45" customFormat="1">
      <c r="A222" s="586"/>
      <c r="B222" s="771">
        <f>+B221+0.01</f>
        <v>7.13</v>
      </c>
      <c r="C222" s="102" t="s">
        <v>508</v>
      </c>
      <c r="D222" s="777" t="s">
        <v>500</v>
      </c>
      <c r="E222" s="780">
        <v>124</v>
      </c>
      <c r="F222" s="587">
        <v>18420</v>
      </c>
      <c r="G222" s="587">
        <f t="shared" ref="G222" si="39">E222*F222</f>
        <v>2284080</v>
      </c>
      <c r="H222" s="588"/>
      <c r="I222" s="587"/>
      <c r="J222" s="587"/>
      <c r="K222" s="587"/>
      <c r="L222" s="589"/>
      <c r="M222" s="590"/>
      <c r="N222" s="591"/>
      <c r="O222" s="95"/>
      <c r="P222" s="579"/>
      <c r="Q222" s="580"/>
      <c r="R222" s="580"/>
      <c r="S222" s="581"/>
      <c r="T222" s="582"/>
      <c r="U222" s="79"/>
      <c r="V222" s="621"/>
      <c r="W222" s="808"/>
      <c r="X222" s="44"/>
      <c r="Y222" s="44"/>
      <c r="Z222" s="44"/>
      <c r="AA222" s="44"/>
      <c r="AB222" s="44"/>
    </row>
    <row r="223" spans="1:28" s="45" customFormat="1">
      <c r="A223" s="586"/>
      <c r="B223" s="771">
        <f t="shared" ref="B223:B235" si="40">+B222+0.01</f>
        <v>7.14</v>
      </c>
      <c r="C223" s="102" t="s">
        <v>942</v>
      </c>
      <c r="D223" s="777" t="s">
        <v>56</v>
      </c>
      <c r="E223" s="780">
        <v>183</v>
      </c>
      <c r="F223" s="587">
        <v>4500</v>
      </c>
      <c r="G223" s="587">
        <f t="shared" ref="G223:G224" si="41">+E223*F224</f>
        <v>11538150</v>
      </c>
      <c r="H223" s="588"/>
      <c r="I223" s="587"/>
      <c r="J223" s="587"/>
      <c r="K223" s="587"/>
      <c r="L223" s="589"/>
      <c r="M223" s="590"/>
      <c r="N223" s="591"/>
      <c r="O223" s="95"/>
      <c r="P223" s="579"/>
      <c r="Q223" s="580"/>
      <c r="R223" s="580"/>
      <c r="S223" s="581"/>
      <c r="T223" s="582"/>
      <c r="U223" s="79"/>
      <c r="V223" s="621"/>
      <c r="W223" s="808"/>
      <c r="X223" s="44"/>
      <c r="Y223" s="44"/>
      <c r="Z223" s="44"/>
      <c r="AA223" s="44"/>
      <c r="AB223" s="44"/>
    </row>
    <row r="224" spans="1:28" s="45" customFormat="1">
      <c r="A224" s="586"/>
      <c r="B224" s="771">
        <f t="shared" si="40"/>
        <v>7.1499999999999995</v>
      </c>
      <c r="C224" s="102" t="s">
        <v>984</v>
      </c>
      <c r="D224" s="777" t="s">
        <v>139</v>
      </c>
      <c r="E224" s="780">
        <v>20</v>
      </c>
      <c r="F224" s="587">
        <v>63050</v>
      </c>
      <c r="G224" s="587">
        <f t="shared" si="41"/>
        <v>586600</v>
      </c>
      <c r="H224" s="588"/>
      <c r="I224" s="587"/>
      <c r="J224" s="587"/>
      <c r="K224" s="587"/>
      <c r="L224" s="589"/>
      <c r="M224" s="590"/>
      <c r="N224" s="591"/>
      <c r="O224" s="95"/>
      <c r="P224" s="579"/>
      <c r="Q224" s="580"/>
      <c r="R224" s="580"/>
      <c r="S224" s="581"/>
      <c r="T224" s="582"/>
      <c r="U224" s="79"/>
      <c r="V224" s="621"/>
      <c r="W224" s="808"/>
      <c r="X224" s="44"/>
      <c r="Y224" s="44"/>
      <c r="Z224" s="44"/>
      <c r="AA224" s="44"/>
      <c r="AB224" s="44"/>
    </row>
    <row r="225" spans="1:30" s="45" customFormat="1">
      <c r="A225" s="586"/>
      <c r="B225" s="771">
        <f t="shared" si="40"/>
        <v>7.1599999999999993</v>
      </c>
      <c r="C225" s="102" t="s">
        <v>946</v>
      </c>
      <c r="D225" s="777" t="s">
        <v>540</v>
      </c>
      <c r="E225" s="780">
        <v>101</v>
      </c>
      <c r="F225" s="587">
        <v>29330</v>
      </c>
      <c r="G225" s="587">
        <f>+E225*F225</f>
        <v>2962330</v>
      </c>
      <c r="H225" s="588"/>
      <c r="I225" s="587"/>
      <c r="J225" s="587"/>
      <c r="K225" s="587"/>
      <c r="L225" s="589"/>
      <c r="M225" s="590"/>
      <c r="N225" s="591"/>
      <c r="O225" s="95"/>
      <c r="P225" s="579"/>
      <c r="Q225" s="580"/>
      <c r="R225" s="580"/>
      <c r="S225" s="581"/>
      <c r="T225" s="582"/>
      <c r="U225" s="79"/>
      <c r="V225" s="621"/>
      <c r="W225" s="808"/>
      <c r="X225" s="44"/>
      <c r="Y225" s="44"/>
      <c r="Z225" s="44"/>
      <c r="AA225" s="44"/>
      <c r="AB225" s="44"/>
    </row>
    <row r="226" spans="1:30" s="45" customFormat="1" ht="25.5">
      <c r="A226" s="586"/>
      <c r="B226" s="986">
        <f t="shared" si="40"/>
        <v>7.169999999999999</v>
      </c>
      <c r="C226" s="988" t="s">
        <v>1295</v>
      </c>
      <c r="D226" s="820" t="s">
        <v>22</v>
      </c>
      <c r="E226" s="858">
        <v>2</v>
      </c>
      <c r="F226" s="858">
        <v>72700</v>
      </c>
      <c r="G226" s="858">
        <f t="shared" ref="G226:G235" si="42">+E226*F226</f>
        <v>145400</v>
      </c>
      <c r="H226" s="588"/>
      <c r="I226" s="587"/>
      <c r="J226" s="587"/>
      <c r="K226" s="587"/>
      <c r="L226" s="589"/>
      <c r="M226" s="590"/>
      <c r="N226" s="591"/>
      <c r="O226" s="95"/>
      <c r="P226" s="579"/>
      <c r="Q226" s="580"/>
      <c r="R226" s="580"/>
      <c r="S226" s="581"/>
      <c r="T226" s="582"/>
      <c r="U226" s="79"/>
      <c r="V226" s="621"/>
      <c r="W226" s="808"/>
      <c r="X226" s="45">
        <f>1.16*1.15</f>
        <v>1.3339999999999999</v>
      </c>
      <c r="Y226" s="881">
        <v>545000</v>
      </c>
      <c r="Z226" s="868">
        <f>+Y226*X226</f>
        <v>727029.99999999988</v>
      </c>
      <c r="AA226" s="44"/>
      <c r="AB226" s="44"/>
    </row>
    <row r="227" spans="1:30" s="45" customFormat="1">
      <c r="A227" s="586"/>
      <c r="B227" s="986">
        <f t="shared" si="40"/>
        <v>7.1799999999999988</v>
      </c>
      <c r="C227" s="988" t="s">
        <v>1296</v>
      </c>
      <c r="D227" s="989" t="s">
        <v>22</v>
      </c>
      <c r="E227" s="858">
        <v>2</v>
      </c>
      <c r="F227" s="858">
        <v>61236</v>
      </c>
      <c r="G227" s="858">
        <f t="shared" si="42"/>
        <v>122472</v>
      </c>
      <c r="H227" s="588"/>
      <c r="I227" s="587"/>
      <c r="J227" s="587"/>
      <c r="K227" s="587"/>
      <c r="L227" s="589"/>
      <c r="M227" s="590"/>
      <c r="N227" s="591"/>
      <c r="O227" s="95"/>
      <c r="P227" s="579"/>
      <c r="Q227" s="580"/>
      <c r="R227" s="580"/>
      <c r="S227" s="581"/>
      <c r="T227" s="582"/>
      <c r="U227" s="79"/>
      <c r="V227" s="621"/>
      <c r="W227" s="808"/>
      <c r="X227" s="45">
        <f t="shared" ref="X227:X231" si="43">1.16*1.15</f>
        <v>1.3339999999999999</v>
      </c>
      <c r="Y227" s="44"/>
      <c r="Z227" s="868">
        <f t="shared" ref="Z227:Z231" si="44">+Y227*X227</f>
        <v>0</v>
      </c>
      <c r="AA227" s="44"/>
      <c r="AB227" s="44"/>
    </row>
    <row r="228" spans="1:30" s="45" customFormat="1">
      <c r="A228" s="586"/>
      <c r="B228" s="986">
        <f t="shared" si="40"/>
        <v>7.1899999999999986</v>
      </c>
      <c r="C228" s="988" t="s">
        <v>1031</v>
      </c>
      <c r="D228" s="820" t="s">
        <v>22</v>
      </c>
      <c r="E228" s="858">
        <v>2</v>
      </c>
      <c r="F228" s="858">
        <v>1007200</v>
      </c>
      <c r="G228" s="858">
        <f t="shared" si="42"/>
        <v>2014400</v>
      </c>
      <c r="H228" s="588"/>
      <c r="I228" s="587"/>
      <c r="J228" s="587"/>
      <c r="K228" s="587"/>
      <c r="L228" s="589"/>
      <c r="M228" s="590"/>
      <c r="N228" s="591"/>
      <c r="O228" s="95"/>
      <c r="P228" s="579"/>
      <c r="Q228" s="580"/>
      <c r="R228" s="580"/>
      <c r="S228" s="581"/>
      <c r="T228" s="582"/>
      <c r="U228" s="79"/>
      <c r="V228" s="621"/>
      <c r="W228" s="808"/>
      <c r="X228" s="45">
        <f t="shared" si="43"/>
        <v>1.3339999999999999</v>
      </c>
      <c r="Y228" s="44">
        <v>755000</v>
      </c>
      <c r="Z228" s="868">
        <f t="shared" si="44"/>
        <v>1007169.9999999999</v>
      </c>
      <c r="AA228" s="44"/>
      <c r="AB228" s="44"/>
    </row>
    <row r="229" spans="1:30" s="45" customFormat="1" ht="25.5">
      <c r="A229" s="586"/>
      <c r="B229" s="987">
        <f t="shared" si="40"/>
        <v>7.1999999999999984</v>
      </c>
      <c r="C229" s="989" t="s">
        <v>1297</v>
      </c>
      <c r="D229" s="989" t="s">
        <v>22</v>
      </c>
      <c r="E229" s="858">
        <v>2</v>
      </c>
      <c r="F229" s="858">
        <v>147378</v>
      </c>
      <c r="G229" s="858">
        <f t="shared" si="42"/>
        <v>294756</v>
      </c>
      <c r="H229" s="588"/>
      <c r="I229" s="587"/>
      <c r="J229" s="587"/>
      <c r="K229" s="587"/>
      <c r="L229" s="589"/>
      <c r="M229" s="590"/>
      <c r="N229" s="591"/>
      <c r="O229" s="95"/>
      <c r="P229" s="579"/>
      <c r="Q229" s="580"/>
      <c r="R229" s="580"/>
      <c r="S229" s="581"/>
      <c r="T229" s="582"/>
      <c r="U229" s="79"/>
      <c r="V229" s="621"/>
      <c r="W229" s="808"/>
      <c r="X229" s="45">
        <f>1.16*1.15</f>
        <v>1.3339999999999999</v>
      </c>
      <c r="Y229" s="44">
        <v>2541000</v>
      </c>
      <c r="Z229" s="883">
        <f t="shared" si="44"/>
        <v>3389693.9999999995</v>
      </c>
      <c r="AA229" s="45">
        <f>1.16*1.1</f>
        <v>1.276</v>
      </c>
      <c r="AB229" s="44">
        <v>2541000</v>
      </c>
      <c r="AC229" s="961">
        <f>+AB229*AA229</f>
        <v>3242316</v>
      </c>
      <c r="AD229" s="961">
        <f>+Z229-AC229</f>
        <v>147377.99999999953</v>
      </c>
    </row>
    <row r="230" spans="1:30" s="45" customFormat="1">
      <c r="A230" s="586"/>
      <c r="B230" s="987">
        <f t="shared" si="40"/>
        <v>7.2099999999999982</v>
      </c>
      <c r="C230" s="988" t="s">
        <v>1298</v>
      </c>
      <c r="D230" s="989" t="s">
        <v>22</v>
      </c>
      <c r="E230" s="858">
        <v>2</v>
      </c>
      <c r="F230" s="858">
        <v>118392</v>
      </c>
      <c r="G230" s="858">
        <f t="shared" si="42"/>
        <v>236784</v>
      </c>
      <c r="H230" s="588"/>
      <c r="I230" s="587"/>
      <c r="J230" s="587"/>
      <c r="K230" s="587"/>
      <c r="L230" s="589"/>
      <c r="M230" s="590"/>
      <c r="N230" s="591"/>
      <c r="O230" s="95"/>
      <c r="P230" s="579"/>
      <c r="Q230" s="580"/>
      <c r="R230" s="580"/>
      <c r="S230" s="581"/>
      <c r="T230" s="582"/>
      <c r="U230" s="79"/>
      <c r="V230" s="621"/>
      <c r="W230" s="960">
        <v>118392.47999999998</v>
      </c>
      <c r="X230" s="45">
        <f t="shared" si="43"/>
        <v>1.3339999999999999</v>
      </c>
      <c r="Y230" s="44">
        <v>859000</v>
      </c>
      <c r="Z230" s="883">
        <f t="shared" si="44"/>
        <v>1145905.9999999998</v>
      </c>
      <c r="AA230" s="45">
        <f>1.16*1.07</f>
        <v>1.2412000000000001</v>
      </c>
      <c r="AB230" s="44">
        <v>859000</v>
      </c>
      <c r="AC230" s="961">
        <f t="shared" ref="AC230:AC231" si="45">+AB230*AA230</f>
        <v>1066190.8</v>
      </c>
      <c r="AD230" s="961">
        <f t="shared" ref="AD230:AD231" si="46">+Z230-AC230</f>
        <v>79715.199999999721</v>
      </c>
    </row>
    <row r="231" spans="1:30" s="45" customFormat="1">
      <c r="A231" s="586"/>
      <c r="B231" s="987">
        <f t="shared" si="40"/>
        <v>7.219999999999998</v>
      </c>
      <c r="C231" s="988" t="s">
        <v>1299</v>
      </c>
      <c r="D231" s="989" t="s">
        <v>22</v>
      </c>
      <c r="E231" s="858">
        <v>4</v>
      </c>
      <c r="F231" s="858">
        <v>89680</v>
      </c>
      <c r="G231" s="858">
        <f t="shared" si="42"/>
        <v>358720</v>
      </c>
      <c r="H231" s="588"/>
      <c r="I231" s="587"/>
      <c r="J231" s="587"/>
      <c r="K231" s="587"/>
      <c r="L231" s="589"/>
      <c r="M231" s="590"/>
      <c r="N231" s="591"/>
      <c r="O231" s="95"/>
      <c r="P231" s="579"/>
      <c r="Q231" s="580"/>
      <c r="R231" s="580"/>
      <c r="S231" s="581"/>
      <c r="T231" s="582"/>
      <c r="U231" s="79"/>
      <c r="V231" s="621"/>
      <c r="W231" s="808"/>
      <c r="X231" s="45">
        <f t="shared" si="43"/>
        <v>1.3339999999999999</v>
      </c>
      <c r="Y231" s="882">
        <v>859000</v>
      </c>
      <c r="Z231" s="868">
        <f t="shared" si="44"/>
        <v>1145905.9999999998</v>
      </c>
      <c r="AA231" s="45">
        <f>1.16*1.06</f>
        <v>1.2296</v>
      </c>
      <c r="AB231" s="882">
        <v>859000</v>
      </c>
      <c r="AC231" s="961">
        <f t="shared" si="45"/>
        <v>1056226.3999999999</v>
      </c>
      <c r="AD231" s="961">
        <f t="shared" si="46"/>
        <v>89679.59999999986</v>
      </c>
    </row>
    <row r="232" spans="1:30" s="45" customFormat="1">
      <c r="A232" s="586"/>
      <c r="B232" s="779">
        <f t="shared" si="40"/>
        <v>7.2299999999999978</v>
      </c>
      <c r="C232" s="782" t="s">
        <v>997</v>
      </c>
      <c r="D232" s="777" t="s">
        <v>500</v>
      </c>
      <c r="E232" s="782">
        <v>8</v>
      </c>
      <c r="F232" s="845">
        <v>22800</v>
      </c>
      <c r="G232" s="587">
        <f t="shared" si="42"/>
        <v>182400</v>
      </c>
      <c r="H232" s="588"/>
      <c r="I232" s="587"/>
      <c r="J232" s="587"/>
      <c r="K232" s="587"/>
      <c r="L232" s="589"/>
      <c r="M232" s="590"/>
      <c r="N232" s="591"/>
      <c r="O232" s="95"/>
      <c r="P232" s="579"/>
      <c r="Q232" s="580"/>
      <c r="R232" s="580"/>
      <c r="S232" s="581"/>
      <c r="T232" s="582"/>
      <c r="U232" s="79"/>
      <c r="V232" s="621"/>
      <c r="W232" s="808"/>
      <c r="X232" s="44"/>
      <c r="Y232" s="44"/>
      <c r="Z232" s="44"/>
      <c r="AA232" s="44"/>
      <c r="AB232" s="44"/>
    </row>
    <row r="233" spans="1:30" s="45" customFormat="1">
      <c r="A233" s="586"/>
      <c r="B233" s="779">
        <f t="shared" si="40"/>
        <v>7.2399999999999975</v>
      </c>
      <c r="C233" s="782" t="s">
        <v>998</v>
      </c>
      <c r="D233" s="846" t="s">
        <v>22</v>
      </c>
      <c r="E233" s="782">
        <v>4</v>
      </c>
      <c r="F233" s="845">
        <v>38090</v>
      </c>
      <c r="G233" s="587">
        <f t="shared" si="42"/>
        <v>152360</v>
      </c>
      <c r="H233" s="588"/>
      <c r="I233" s="587"/>
      <c r="J233" s="587"/>
      <c r="K233" s="587"/>
      <c r="L233" s="589"/>
      <c r="M233" s="590"/>
      <c r="N233" s="591"/>
      <c r="O233" s="95"/>
      <c r="P233" s="579"/>
      <c r="Q233" s="580"/>
      <c r="R233" s="580"/>
      <c r="S233" s="581"/>
      <c r="T233" s="582"/>
      <c r="U233" s="79"/>
      <c r="V233" s="621"/>
      <c r="W233" s="808"/>
      <c r="X233" s="44"/>
      <c r="Y233" s="44"/>
      <c r="Z233" s="44"/>
      <c r="AA233" s="44"/>
      <c r="AB233" s="44"/>
    </row>
    <row r="234" spans="1:30" s="45" customFormat="1">
      <c r="A234" s="586"/>
      <c r="B234" s="779">
        <f t="shared" si="40"/>
        <v>7.2499999999999973</v>
      </c>
      <c r="C234" s="102" t="s">
        <v>996</v>
      </c>
      <c r="D234" s="772" t="s">
        <v>500</v>
      </c>
      <c r="E234" s="587">
        <v>2</v>
      </c>
      <c r="F234" s="845">
        <v>22800</v>
      </c>
      <c r="G234" s="587">
        <f t="shared" si="42"/>
        <v>45600</v>
      </c>
      <c r="H234" s="588"/>
      <c r="I234" s="587"/>
      <c r="J234" s="587"/>
      <c r="K234" s="587"/>
      <c r="L234" s="589"/>
      <c r="M234" s="590"/>
      <c r="N234" s="591"/>
      <c r="O234" s="95"/>
      <c r="P234" s="579"/>
      <c r="Q234" s="580"/>
      <c r="R234" s="580"/>
      <c r="S234" s="581"/>
      <c r="T234" s="582"/>
      <c r="U234" s="79"/>
      <c r="V234" s="621"/>
      <c r="W234" s="808"/>
      <c r="X234" s="44"/>
      <c r="Y234" s="44"/>
      <c r="Z234" s="44"/>
      <c r="AA234" s="44"/>
      <c r="AB234" s="44"/>
    </row>
    <row r="235" spans="1:30" s="45" customFormat="1">
      <c r="A235" s="586"/>
      <c r="B235" s="779">
        <f t="shared" si="40"/>
        <v>7.2599999999999971</v>
      </c>
      <c r="C235" s="782" t="s">
        <v>904</v>
      </c>
      <c r="D235" s="846" t="s">
        <v>22</v>
      </c>
      <c r="E235" s="782">
        <v>24</v>
      </c>
      <c r="F235" s="845">
        <v>10670</v>
      </c>
      <c r="G235" s="587">
        <f t="shared" si="42"/>
        <v>256080</v>
      </c>
      <c r="H235" s="588"/>
      <c r="I235" s="587"/>
      <c r="J235" s="587"/>
      <c r="K235" s="587"/>
      <c r="L235" s="589"/>
      <c r="M235" s="590"/>
      <c r="N235" s="591"/>
      <c r="O235" s="95"/>
      <c r="P235" s="579"/>
      <c r="Q235" s="580"/>
      <c r="R235" s="580"/>
      <c r="S235" s="581"/>
      <c r="T235" s="582"/>
      <c r="U235" s="79"/>
      <c r="V235" s="621"/>
      <c r="W235" s="808"/>
      <c r="X235" s="44"/>
      <c r="Y235" s="44"/>
      <c r="Z235" s="44"/>
      <c r="AA235" s="44"/>
      <c r="AB235" s="44"/>
    </row>
    <row r="236" spans="1:30" s="45" customFormat="1">
      <c r="A236" s="586"/>
      <c r="B236" s="771"/>
      <c r="D236" s="772"/>
      <c r="E236" s="780"/>
      <c r="F236" s="25"/>
      <c r="G236" s="795"/>
      <c r="H236" s="588"/>
      <c r="I236" s="587"/>
      <c r="J236" s="587"/>
      <c r="K236" s="587"/>
      <c r="L236" s="589"/>
      <c r="M236" s="590"/>
      <c r="N236" s="591"/>
      <c r="O236" s="95"/>
      <c r="P236" s="579"/>
      <c r="Q236" s="580"/>
      <c r="R236" s="580"/>
      <c r="S236" s="581"/>
      <c r="T236" s="582"/>
      <c r="U236" s="79"/>
      <c r="V236" s="621"/>
      <c r="W236" s="808"/>
      <c r="X236" s="44"/>
      <c r="Y236" s="44"/>
      <c r="Z236" s="44"/>
      <c r="AA236" s="44"/>
      <c r="AB236" s="44"/>
    </row>
    <row r="237" spans="1:30" s="45" customFormat="1" ht="15.75" thickBot="1">
      <c r="A237" s="586"/>
      <c r="B237" s="114"/>
      <c r="C237" s="114"/>
      <c r="D237" s="115"/>
      <c r="E237" s="116"/>
      <c r="F237" s="117" t="s">
        <v>970</v>
      </c>
      <c r="G237" s="118">
        <f>SUM(G221:G236)</f>
        <v>73830132</v>
      </c>
      <c r="H237" s="588"/>
      <c r="I237" s="587"/>
      <c r="J237" s="587"/>
      <c r="K237" s="587"/>
      <c r="L237" s="589"/>
      <c r="M237" s="590"/>
      <c r="N237" s="591"/>
      <c r="O237" s="95"/>
      <c r="P237" s="579"/>
      <c r="Q237" s="580"/>
      <c r="R237" s="580"/>
      <c r="S237" s="581"/>
      <c r="T237" s="582"/>
      <c r="U237" s="79"/>
      <c r="V237" s="621"/>
      <c r="W237" s="808"/>
      <c r="X237" s="44"/>
      <c r="Y237" s="44"/>
      <c r="Z237" s="44"/>
      <c r="AA237" s="44"/>
      <c r="AB237" s="44"/>
    </row>
    <row r="238" spans="1:30" s="45" customFormat="1">
      <c r="A238" s="586"/>
      <c r="B238" s="771"/>
      <c r="C238" s="102"/>
      <c r="D238" s="772"/>
      <c r="E238" s="780"/>
      <c r="F238" s="587"/>
      <c r="G238" s="774"/>
      <c r="H238" s="588"/>
      <c r="I238" s="587"/>
      <c r="J238" s="587"/>
      <c r="K238" s="587"/>
      <c r="L238" s="589"/>
      <c r="M238" s="590"/>
      <c r="N238" s="591"/>
      <c r="O238" s="95"/>
      <c r="P238" s="579"/>
      <c r="Q238" s="580"/>
      <c r="R238" s="580"/>
      <c r="S238" s="581"/>
      <c r="T238" s="582"/>
      <c r="U238" s="79"/>
      <c r="V238" s="621"/>
      <c r="W238" s="808"/>
      <c r="X238" s="44"/>
      <c r="Y238" s="44"/>
      <c r="Z238" s="44"/>
      <c r="AA238" s="44"/>
      <c r="AB238" s="44"/>
    </row>
    <row r="239" spans="1:30" s="45" customFormat="1" ht="15.75" thickBot="1">
      <c r="A239" s="127" t="s">
        <v>82</v>
      </c>
      <c r="B239" s="871"/>
      <c r="C239" s="871"/>
      <c r="D239" s="873"/>
      <c r="E239" s="874"/>
      <c r="F239" s="940" t="s">
        <v>971</v>
      </c>
      <c r="G239" s="1004">
        <f>+G218+G237</f>
        <v>370604919</v>
      </c>
      <c r="H239" s="576">
        <v>38048</v>
      </c>
      <c r="I239" s="25">
        <v>50520</v>
      </c>
      <c r="J239" s="25">
        <v>1</v>
      </c>
      <c r="K239" s="25">
        <v>1</v>
      </c>
      <c r="L239" s="28">
        <v>8083200</v>
      </c>
      <c r="M239" s="29">
        <v>6087680</v>
      </c>
      <c r="N239" s="29">
        <v>6087680</v>
      </c>
      <c r="O239" s="95"/>
      <c r="P239" s="96"/>
      <c r="Q239" s="97">
        <v>36283</v>
      </c>
      <c r="R239" s="97">
        <v>725664</v>
      </c>
      <c r="S239" s="98">
        <v>5325664</v>
      </c>
      <c r="T239" s="99"/>
      <c r="U239" s="79"/>
      <c r="V239" s="621">
        <v>48</v>
      </c>
      <c r="W239" s="808"/>
      <c r="X239" s="44"/>
      <c r="Y239" s="44"/>
      <c r="Z239" s="44"/>
      <c r="AA239" s="44"/>
      <c r="AB239" s="44"/>
    </row>
    <row r="240" spans="1:30" s="45" customFormat="1" ht="15.75" thickBot="1">
      <c r="A240" s="143">
        <v>210134</v>
      </c>
      <c r="B240" s="139"/>
      <c r="C240" s="140"/>
      <c r="D240" s="141"/>
      <c r="E240" s="142"/>
      <c r="F240" s="25"/>
      <c r="G240" s="792">
        <f t="shared" ref="G240" si="47">+F240*E240</f>
        <v>0</v>
      </c>
      <c r="H240" s="576">
        <v>827142</v>
      </c>
      <c r="I240" s="25">
        <v>1098279</v>
      </c>
      <c r="J240" s="25">
        <v>1</v>
      </c>
      <c r="K240" s="25">
        <v>7</v>
      </c>
      <c r="L240" s="28">
        <v>85665762</v>
      </c>
      <c r="M240" s="29">
        <v>64517076</v>
      </c>
      <c r="N240" s="29">
        <v>64517076</v>
      </c>
      <c r="O240" s="95"/>
      <c r="P240" s="96"/>
      <c r="Q240" s="97">
        <v>1112574</v>
      </c>
      <c r="R240" s="97">
        <v>22251487</v>
      </c>
      <c r="S240" s="98">
        <v>41153018</v>
      </c>
      <c r="T240" s="99"/>
      <c r="U240" s="79"/>
      <c r="V240" s="621">
        <v>49</v>
      </c>
      <c r="W240" s="808"/>
      <c r="X240" s="44"/>
      <c r="Y240" s="44"/>
      <c r="Z240" s="44"/>
      <c r="AA240" s="44"/>
      <c r="AB240" s="44"/>
    </row>
    <row r="241" spans="1:28" s="45" customFormat="1">
      <c r="A241" s="584"/>
      <c r="B241" s="74">
        <v>8</v>
      </c>
      <c r="C241" s="75" t="s">
        <v>1023</v>
      </c>
      <c r="D241" s="76"/>
      <c r="E241" s="76"/>
      <c r="F241" s="76"/>
      <c r="G241" s="126"/>
      <c r="H241" s="576"/>
      <c r="I241" s="575"/>
      <c r="J241" s="575"/>
      <c r="K241" s="575"/>
      <c r="L241" s="577"/>
      <c r="M241" s="578"/>
      <c r="N241" s="585"/>
      <c r="O241" s="95"/>
      <c r="P241" s="579"/>
      <c r="Q241" s="580"/>
      <c r="R241" s="580"/>
      <c r="S241" s="581"/>
      <c r="T241" s="582"/>
      <c r="U241" s="79"/>
      <c r="V241" s="621"/>
      <c r="W241" s="808"/>
      <c r="X241" s="44"/>
      <c r="Y241" s="44"/>
      <c r="Z241" s="44"/>
      <c r="AA241" s="44"/>
      <c r="AB241" s="44"/>
    </row>
    <row r="242" spans="1:28" s="45" customFormat="1">
      <c r="A242" s="584"/>
      <c r="B242" s="771"/>
      <c r="C242" s="788" t="s">
        <v>947</v>
      </c>
      <c r="D242" s="772"/>
      <c r="E242" s="773"/>
      <c r="F242" s="587"/>
      <c r="G242" s="774"/>
      <c r="H242" s="576"/>
      <c r="I242" s="575"/>
      <c r="J242" s="575"/>
      <c r="K242" s="575"/>
      <c r="L242" s="577"/>
      <c r="M242" s="578"/>
      <c r="N242" s="585"/>
      <c r="O242" s="95"/>
      <c r="P242" s="579"/>
      <c r="Q242" s="580"/>
      <c r="R242" s="580"/>
      <c r="S242" s="581"/>
      <c r="T242" s="582"/>
      <c r="U242" s="79"/>
      <c r="V242" s="621"/>
      <c r="W242" s="808"/>
      <c r="X242" s="44"/>
      <c r="Y242" s="44"/>
      <c r="Z242" s="44"/>
      <c r="AA242" s="44"/>
      <c r="AB242" s="44"/>
    </row>
    <row r="243" spans="1:28" s="45" customFormat="1">
      <c r="A243" s="584"/>
      <c r="B243" s="771">
        <v>8.1</v>
      </c>
      <c r="C243" s="102" t="s">
        <v>943</v>
      </c>
      <c r="D243" s="772" t="s">
        <v>139</v>
      </c>
      <c r="E243" s="587">
        <v>550</v>
      </c>
      <c r="F243" s="587">
        <v>2610</v>
      </c>
      <c r="G243" s="587">
        <f>+E243*F243</f>
        <v>1435500</v>
      </c>
      <c r="H243" s="576"/>
      <c r="I243" s="575"/>
      <c r="J243" s="575"/>
      <c r="K243" s="575"/>
      <c r="L243" s="577"/>
      <c r="M243" s="578"/>
      <c r="N243" s="585"/>
      <c r="O243" s="95"/>
      <c r="P243" s="579"/>
      <c r="Q243" s="580"/>
      <c r="R243" s="580"/>
      <c r="S243" s="581"/>
      <c r="T243" s="582"/>
      <c r="U243" s="79"/>
      <c r="V243" s="621"/>
      <c r="W243" s="808"/>
      <c r="X243" s="44"/>
      <c r="Y243" s="44"/>
      <c r="Z243" s="44"/>
      <c r="AA243" s="44"/>
      <c r="AB243" s="44"/>
    </row>
    <row r="244" spans="1:28" s="45" customFormat="1">
      <c r="A244" s="584"/>
      <c r="B244" s="771">
        <f>+B243+0.1</f>
        <v>8.1999999999999993</v>
      </c>
      <c r="C244" s="102" t="s">
        <v>1101</v>
      </c>
      <c r="D244" s="772" t="s">
        <v>139</v>
      </c>
      <c r="E244" s="587">
        <f>+E243</f>
        <v>550</v>
      </c>
      <c r="F244" s="587">
        <v>5190</v>
      </c>
      <c r="G244" s="587">
        <f t="shared" ref="G244:G246" si="48">+E244*F244</f>
        <v>2854500</v>
      </c>
      <c r="H244" s="576"/>
      <c r="I244" s="575"/>
      <c r="J244" s="575"/>
      <c r="K244" s="575"/>
      <c r="L244" s="577"/>
      <c r="M244" s="578"/>
      <c r="N244" s="585"/>
      <c r="O244" s="95"/>
      <c r="P244" s="579"/>
      <c r="Q244" s="580"/>
      <c r="R244" s="580"/>
      <c r="S244" s="581"/>
      <c r="T244" s="582"/>
      <c r="U244" s="79"/>
      <c r="V244" s="621"/>
      <c r="W244" s="808"/>
      <c r="X244" s="44"/>
      <c r="Y244" s="44"/>
      <c r="Z244" s="44"/>
      <c r="AA244" s="44"/>
      <c r="AB244" s="44"/>
    </row>
    <row r="245" spans="1:28" s="45" customFormat="1">
      <c r="A245" s="584"/>
      <c r="B245" s="771">
        <f t="shared" ref="B245:B247" si="49">+B244+0.1</f>
        <v>8.2999999999999989</v>
      </c>
      <c r="C245" s="102" t="s">
        <v>497</v>
      </c>
      <c r="D245" s="777" t="s">
        <v>56</v>
      </c>
      <c r="E245" s="587">
        <v>163</v>
      </c>
      <c r="F245" s="587">
        <v>17220</v>
      </c>
      <c r="G245" s="587">
        <f t="shared" si="48"/>
        <v>2806860</v>
      </c>
      <c r="H245" s="576"/>
      <c r="I245" s="575"/>
      <c r="J245" s="575"/>
      <c r="K245" s="575"/>
      <c r="L245" s="577"/>
      <c r="M245" s="578"/>
      <c r="N245" s="585"/>
      <c r="O245" s="95"/>
      <c r="P245" s="579"/>
      <c r="Q245" s="580"/>
      <c r="R245" s="580"/>
      <c r="S245" s="581"/>
      <c r="T245" s="582"/>
      <c r="U245" s="79"/>
      <c r="V245" s="621"/>
      <c r="W245" s="808"/>
      <c r="X245" s="44"/>
      <c r="Y245" s="44"/>
      <c r="Z245" s="44"/>
      <c r="AA245" s="44"/>
      <c r="AB245" s="44"/>
    </row>
    <row r="246" spans="1:28" s="45" customFormat="1">
      <c r="A246" s="584"/>
      <c r="B246" s="771">
        <f t="shared" si="49"/>
        <v>8.3999999999999986</v>
      </c>
      <c r="C246" s="782" t="s">
        <v>1003</v>
      </c>
      <c r="D246" s="790" t="s">
        <v>139</v>
      </c>
      <c r="E246" s="780">
        <v>55</v>
      </c>
      <c r="F246" s="587">
        <v>393333</v>
      </c>
      <c r="G246" s="587">
        <f t="shared" si="48"/>
        <v>21633315</v>
      </c>
      <c r="H246" s="576"/>
      <c r="I246" s="575"/>
      <c r="J246" s="575"/>
      <c r="K246" s="575"/>
      <c r="L246" s="577"/>
      <c r="M246" s="578"/>
      <c r="N246" s="585"/>
      <c r="O246" s="95"/>
      <c r="P246" s="579"/>
      <c r="Q246" s="580"/>
      <c r="R246" s="580"/>
      <c r="S246" s="581"/>
      <c r="T246" s="582"/>
      <c r="U246" s="79"/>
      <c r="V246" s="621"/>
      <c r="W246" s="808"/>
      <c r="X246" s="44"/>
      <c r="Y246" s="44"/>
      <c r="Z246" s="44"/>
      <c r="AA246" s="44"/>
      <c r="AB246" s="44"/>
    </row>
    <row r="247" spans="1:28" s="45" customFormat="1">
      <c r="A247" s="584"/>
      <c r="B247" s="771">
        <f t="shared" si="49"/>
        <v>8.4999999999999982</v>
      </c>
      <c r="C247" s="102" t="s">
        <v>976</v>
      </c>
      <c r="D247" s="772" t="s">
        <v>139</v>
      </c>
      <c r="E247" s="587">
        <v>9</v>
      </c>
      <c r="F247" s="837">
        <v>614040</v>
      </c>
      <c r="G247" s="587">
        <f>+E247*F247</f>
        <v>5526360</v>
      </c>
      <c r="H247" s="576"/>
      <c r="I247" s="575"/>
      <c r="J247" s="575"/>
      <c r="K247" s="575"/>
      <c r="L247" s="577"/>
      <c r="M247" s="578"/>
      <c r="N247" s="585"/>
      <c r="O247" s="95"/>
      <c r="P247" s="579"/>
      <c r="Q247" s="580"/>
      <c r="R247" s="580"/>
      <c r="S247" s="581"/>
      <c r="T247" s="582"/>
      <c r="U247" s="79"/>
      <c r="V247" s="621"/>
      <c r="W247" s="808"/>
      <c r="X247" s="44"/>
      <c r="Y247" s="44"/>
      <c r="Z247" s="44"/>
      <c r="AA247" s="44"/>
      <c r="AB247" s="44"/>
    </row>
    <row r="248" spans="1:28" s="45" customFormat="1">
      <c r="A248" s="584"/>
      <c r="B248" s="771"/>
      <c r="C248" s="102"/>
      <c r="D248" s="772" t="s">
        <v>139</v>
      </c>
      <c r="E248" s="587"/>
      <c r="F248" s="587">
        <v>594610</v>
      </c>
      <c r="G248" s="587">
        <f>+E248*F248</f>
        <v>0</v>
      </c>
      <c r="H248" s="576"/>
      <c r="I248" s="575"/>
      <c r="J248" s="575"/>
      <c r="K248" s="575"/>
      <c r="L248" s="577"/>
      <c r="M248" s="578"/>
      <c r="N248" s="585"/>
      <c r="O248" s="95"/>
      <c r="P248" s="579"/>
      <c r="Q248" s="580"/>
      <c r="R248" s="580"/>
      <c r="S248" s="581"/>
      <c r="T248" s="582"/>
      <c r="U248" s="79"/>
      <c r="V248" s="621"/>
      <c r="W248" s="808"/>
      <c r="X248" s="44"/>
      <c r="Y248" s="44"/>
      <c r="Z248" s="44"/>
      <c r="AA248" s="44"/>
      <c r="AB248" s="44"/>
    </row>
    <row r="249" spans="1:28" s="45" customFormat="1" ht="15.75" thickBot="1">
      <c r="A249" s="584"/>
      <c r="B249" s="771"/>
      <c r="C249" s="114"/>
      <c r="D249" s="115"/>
      <c r="E249" s="116"/>
      <c r="F249" s="117" t="s">
        <v>1099</v>
      </c>
      <c r="G249" s="118">
        <f>SUM(G242:G248)</f>
        <v>34256535</v>
      </c>
      <c r="H249" s="576"/>
      <c r="I249" s="575"/>
      <c r="J249" s="575"/>
      <c r="K249" s="575"/>
      <c r="L249" s="577"/>
      <c r="M249" s="578"/>
      <c r="N249" s="585"/>
      <c r="O249" s="95"/>
      <c r="P249" s="579"/>
      <c r="Q249" s="580"/>
      <c r="R249" s="580"/>
      <c r="S249" s="581"/>
      <c r="T249" s="582"/>
      <c r="U249" s="79"/>
      <c r="V249" s="621"/>
      <c r="W249" s="808"/>
      <c r="X249" s="44"/>
      <c r="Y249" s="44"/>
      <c r="Z249" s="44"/>
      <c r="AA249" s="44"/>
      <c r="AB249" s="44"/>
    </row>
    <row r="250" spans="1:28" s="45" customFormat="1">
      <c r="A250" s="584"/>
      <c r="B250" s="771"/>
      <c r="C250" s="102"/>
      <c r="D250" s="772"/>
      <c r="E250" s="587"/>
      <c r="F250" s="587"/>
      <c r="G250" s="587"/>
      <c r="H250" s="576"/>
      <c r="I250" s="575"/>
      <c r="J250" s="575"/>
      <c r="K250" s="575"/>
      <c r="L250" s="577"/>
      <c r="M250" s="578"/>
      <c r="N250" s="585"/>
      <c r="O250" s="95"/>
      <c r="P250" s="579"/>
      <c r="Q250" s="580"/>
      <c r="R250" s="580"/>
      <c r="S250" s="581"/>
      <c r="T250" s="582"/>
      <c r="U250" s="79"/>
      <c r="V250" s="621"/>
      <c r="W250" s="808"/>
      <c r="X250" s="44"/>
      <c r="Y250" s="44"/>
      <c r="Z250" s="44"/>
      <c r="AA250" s="44"/>
      <c r="AB250" s="44"/>
    </row>
    <row r="251" spans="1:28" s="45" customFormat="1">
      <c r="A251" s="584"/>
      <c r="B251" s="771">
        <f>+B247+0.1</f>
        <v>8.5999999999999979</v>
      </c>
      <c r="C251" s="102" t="s">
        <v>522</v>
      </c>
      <c r="D251" s="777" t="s">
        <v>142</v>
      </c>
      <c r="E251" s="780">
        <v>5000</v>
      </c>
      <c r="F251" s="891">
        <v>3201</v>
      </c>
      <c r="G251" s="587">
        <f>+E251*F253</f>
        <v>22500000</v>
      </c>
      <c r="H251" s="576"/>
      <c r="I251" s="575"/>
      <c r="J251" s="575"/>
      <c r="K251" s="575"/>
      <c r="L251" s="577"/>
      <c r="M251" s="578"/>
      <c r="N251" s="585"/>
      <c r="O251" s="95"/>
      <c r="P251" s="579"/>
      <c r="Q251" s="580"/>
      <c r="R251" s="580"/>
      <c r="S251" s="581"/>
      <c r="T251" s="582"/>
      <c r="U251" s="79"/>
      <c r="V251" s="621"/>
      <c r="W251" s="808"/>
      <c r="X251" s="44"/>
      <c r="Y251" s="44"/>
      <c r="Z251" s="44"/>
      <c r="AA251" s="44"/>
      <c r="AB251" s="44"/>
    </row>
    <row r="252" spans="1:28" s="45" customFormat="1">
      <c r="A252" s="584"/>
      <c r="B252" s="771">
        <f>+B251+0.1</f>
        <v>8.6999999999999975</v>
      </c>
      <c r="C252" s="102" t="s">
        <v>508</v>
      </c>
      <c r="D252" s="777" t="s">
        <v>500</v>
      </c>
      <c r="E252" s="780">
        <v>90</v>
      </c>
      <c r="F252" s="891">
        <v>18420</v>
      </c>
      <c r="G252" s="587">
        <f t="shared" ref="G252" si="50">E252*F252</f>
        <v>1657800</v>
      </c>
      <c r="H252" s="576"/>
      <c r="I252" s="575"/>
      <c r="J252" s="575"/>
      <c r="K252" s="575"/>
      <c r="L252" s="577"/>
      <c r="M252" s="578"/>
      <c r="N252" s="585"/>
      <c r="O252" s="95"/>
      <c r="P252" s="579"/>
      <c r="Q252" s="580"/>
      <c r="R252" s="580"/>
      <c r="S252" s="581"/>
      <c r="T252" s="582"/>
      <c r="U252" s="79"/>
      <c r="V252" s="621"/>
      <c r="W252" s="808"/>
      <c r="X252" s="44"/>
      <c r="Y252" s="44"/>
      <c r="Z252" s="44"/>
      <c r="AA252" s="44"/>
      <c r="AB252" s="44"/>
    </row>
    <row r="253" spans="1:28" s="45" customFormat="1">
      <c r="A253" s="584"/>
      <c r="B253" s="771">
        <f>+B252+0.1</f>
        <v>8.7999999999999972</v>
      </c>
      <c r="C253" s="102" t="s">
        <v>942</v>
      </c>
      <c r="D253" s="777" t="s">
        <v>56</v>
      </c>
      <c r="E253" s="780">
        <v>92</v>
      </c>
      <c r="F253" s="891">
        <v>4500</v>
      </c>
      <c r="G253" s="587">
        <f t="shared" ref="G253:G254" si="51">+E253*F254</f>
        <v>5800600</v>
      </c>
      <c r="H253" s="576"/>
      <c r="I253" s="575"/>
      <c r="J253" s="575"/>
      <c r="K253" s="575"/>
      <c r="L253" s="577"/>
      <c r="M253" s="578"/>
      <c r="N253" s="585"/>
      <c r="O253" s="95"/>
      <c r="P253" s="579"/>
      <c r="Q253" s="580"/>
      <c r="R253" s="580"/>
      <c r="S253" s="581"/>
      <c r="T253" s="582"/>
      <c r="U253" s="79"/>
      <c r="V253" s="621"/>
      <c r="W253" s="808"/>
      <c r="X253" s="44"/>
      <c r="Y253" s="44"/>
      <c r="Z253" s="44"/>
      <c r="AA253" s="44"/>
      <c r="AB253" s="44"/>
    </row>
    <row r="254" spans="1:28" s="45" customFormat="1">
      <c r="A254" s="584"/>
      <c r="B254" s="844">
        <v>8.9</v>
      </c>
      <c r="C254" s="102" t="s">
        <v>984</v>
      </c>
      <c r="D254" s="777" t="s">
        <v>139</v>
      </c>
      <c r="E254" s="780">
        <v>11</v>
      </c>
      <c r="F254" s="964">
        <v>63050</v>
      </c>
      <c r="G254" s="587">
        <f t="shared" si="51"/>
        <v>322630</v>
      </c>
      <c r="H254" s="576"/>
      <c r="I254" s="575"/>
      <c r="J254" s="575"/>
      <c r="K254" s="575"/>
      <c r="L254" s="577"/>
      <c r="M254" s="578"/>
      <c r="N254" s="585"/>
      <c r="O254" s="95"/>
      <c r="P254" s="579"/>
      <c r="Q254" s="580"/>
      <c r="R254" s="580"/>
      <c r="S254" s="581"/>
      <c r="T254" s="582"/>
      <c r="U254" s="79"/>
      <c r="V254" s="621"/>
      <c r="W254" s="808"/>
      <c r="X254" s="44"/>
      <c r="Y254" s="44"/>
      <c r="Z254" s="44"/>
      <c r="AA254" s="44"/>
      <c r="AB254" s="44"/>
    </row>
    <row r="255" spans="1:28" s="45" customFormat="1">
      <c r="A255" s="584"/>
      <c r="B255" s="779">
        <v>8.1</v>
      </c>
      <c r="C255" s="102" t="s">
        <v>946</v>
      </c>
      <c r="D255" s="777" t="s">
        <v>540</v>
      </c>
      <c r="E255" s="780">
        <v>13</v>
      </c>
      <c r="F255" s="891">
        <v>29330</v>
      </c>
      <c r="G255" s="587">
        <f>+E255*F255</f>
        <v>381290</v>
      </c>
      <c r="H255" s="576"/>
      <c r="I255" s="575"/>
      <c r="J255" s="575"/>
      <c r="K255" s="575"/>
      <c r="L255" s="577"/>
      <c r="M255" s="578"/>
      <c r="N255" s="585"/>
      <c r="O255" s="95"/>
      <c r="P255" s="579"/>
      <c r="Q255" s="580"/>
      <c r="R255" s="580"/>
      <c r="S255" s="581"/>
      <c r="T255" s="582"/>
      <c r="U255" s="79"/>
      <c r="V255" s="621"/>
      <c r="W255" s="808"/>
      <c r="X255" s="44"/>
      <c r="Y255" s="44"/>
      <c r="Z255" s="44"/>
      <c r="AA255" s="44"/>
      <c r="AB255" s="44"/>
    </row>
    <row r="256" spans="1:28" s="45" customFormat="1" ht="38.25">
      <c r="A256" s="584"/>
      <c r="B256" s="779">
        <v>8.11</v>
      </c>
      <c r="C256" s="988" t="s">
        <v>1102</v>
      </c>
      <c r="D256" s="820" t="s">
        <v>22</v>
      </c>
      <c r="E256" s="858">
        <v>4</v>
      </c>
      <c r="F256" s="964">
        <v>95839</v>
      </c>
      <c r="G256" s="858">
        <f t="shared" ref="G256:G263" si="52">+E256*F256</f>
        <v>383356</v>
      </c>
      <c r="H256" s="576"/>
      <c r="I256" s="575"/>
      <c r="J256" s="575"/>
      <c r="K256" s="575"/>
      <c r="L256" s="577"/>
      <c r="M256" s="578"/>
      <c r="N256" s="585"/>
      <c r="O256" s="95"/>
      <c r="P256" s="579"/>
      <c r="Q256" s="580"/>
      <c r="R256" s="580"/>
      <c r="S256" s="581"/>
      <c r="T256" s="582"/>
      <c r="U256" s="79"/>
      <c r="V256" s="621"/>
      <c r="W256" s="808">
        <f>700000+162000+110000</f>
        <v>972000</v>
      </c>
      <c r="X256" s="44">
        <f>+W256*1.16*1.16</f>
        <v>1307923.2</v>
      </c>
      <c r="Y256" s="808">
        <f>700000+162000+110000</f>
        <v>972000</v>
      </c>
      <c r="Z256" s="44">
        <f>+Y256*1.16*1.075</f>
        <v>1212084</v>
      </c>
      <c r="AA256" s="44">
        <f>+X256-Z256</f>
        <v>95839.199999999953</v>
      </c>
      <c r="AB256" s="44"/>
    </row>
    <row r="257" spans="1:28" s="45" customFormat="1">
      <c r="A257" s="584"/>
      <c r="B257" s="779">
        <v>8.1199999999999992</v>
      </c>
      <c r="C257" s="782" t="s">
        <v>1108</v>
      </c>
      <c r="D257" s="777" t="s">
        <v>22</v>
      </c>
      <c r="E257" s="587">
        <v>12</v>
      </c>
      <c r="F257" s="891">
        <v>40312</v>
      </c>
      <c r="G257" s="587">
        <f t="shared" si="52"/>
        <v>483744</v>
      </c>
      <c r="H257" s="576"/>
      <c r="I257" s="575"/>
      <c r="J257" s="575"/>
      <c r="K257" s="575"/>
      <c r="L257" s="577"/>
      <c r="M257" s="578"/>
      <c r="N257" s="585"/>
      <c r="O257" s="95"/>
      <c r="P257" s="579"/>
      <c r="Q257" s="580"/>
      <c r="R257" s="580"/>
      <c r="S257" s="581"/>
      <c r="T257" s="582"/>
      <c r="U257" s="79"/>
      <c r="V257" s="621"/>
      <c r="W257" s="808"/>
      <c r="X257" s="44"/>
      <c r="Y257" s="44"/>
      <c r="Z257" s="44"/>
      <c r="AA257" s="44"/>
      <c r="AB257" s="44"/>
    </row>
    <row r="258" spans="1:28" s="45" customFormat="1">
      <c r="A258" s="584"/>
      <c r="B258" s="779">
        <f>+B257+0.01</f>
        <v>8.129999999999999</v>
      </c>
      <c r="C258" s="102" t="s">
        <v>1107</v>
      </c>
      <c r="D258" s="790" t="s">
        <v>22</v>
      </c>
      <c r="E258" s="587">
        <v>28</v>
      </c>
      <c r="F258" s="891">
        <v>10810</v>
      </c>
      <c r="G258" s="587">
        <f t="shared" si="52"/>
        <v>302680</v>
      </c>
      <c r="H258" s="576"/>
      <c r="I258" s="575"/>
      <c r="J258" s="575"/>
      <c r="K258" s="575"/>
      <c r="L258" s="577"/>
      <c r="M258" s="578"/>
      <c r="N258" s="585"/>
      <c r="O258" s="95"/>
      <c r="P258" s="579"/>
      <c r="Q258" s="580"/>
      <c r="R258" s="580"/>
      <c r="S258" s="581"/>
      <c r="T258" s="582"/>
      <c r="U258" s="79"/>
      <c r="V258" s="621"/>
      <c r="W258" s="890">
        <v>33593</v>
      </c>
      <c r="X258" s="44">
        <f>+W258*1.2</f>
        <v>40311.599999999999</v>
      </c>
      <c r="Y258" s="44"/>
      <c r="Z258" s="44"/>
      <c r="AA258" s="44"/>
      <c r="AB258" s="44"/>
    </row>
    <row r="259" spans="1:28" s="45" customFormat="1" ht="16.5">
      <c r="A259" s="584"/>
      <c r="B259" s="779">
        <f t="shared" ref="B259:B263" si="53">+B258+0.01</f>
        <v>8.1399999999999988</v>
      </c>
      <c r="C259" s="102" t="s">
        <v>1103</v>
      </c>
      <c r="D259" s="772" t="s">
        <v>500</v>
      </c>
      <c r="E259" s="587">
        <v>86</v>
      </c>
      <c r="F259" s="893">
        <v>22800</v>
      </c>
      <c r="G259" s="587">
        <f t="shared" si="52"/>
        <v>1960800</v>
      </c>
      <c r="H259" s="576"/>
      <c r="I259" s="575"/>
      <c r="J259" s="575"/>
      <c r="K259" s="575"/>
      <c r="L259" s="577"/>
      <c r="M259" s="578"/>
      <c r="N259" s="585"/>
      <c r="O259" s="95"/>
      <c r="P259" s="579"/>
      <c r="Q259" s="580"/>
      <c r="R259" s="580"/>
      <c r="S259" s="581"/>
      <c r="T259" s="582"/>
      <c r="U259" s="79"/>
      <c r="V259" s="621"/>
      <c r="W259" s="808"/>
      <c r="X259" s="44"/>
      <c r="Y259" s="44"/>
      <c r="Z259" s="44"/>
      <c r="AA259" s="44"/>
      <c r="AB259" s="44"/>
    </row>
    <row r="260" spans="1:28" s="45" customFormat="1">
      <c r="A260" s="584"/>
      <c r="B260" s="779">
        <f t="shared" si="53"/>
        <v>8.1499999999999986</v>
      </c>
      <c r="C260" s="782" t="s">
        <v>1106</v>
      </c>
      <c r="D260" s="777" t="s">
        <v>139</v>
      </c>
      <c r="E260" s="587">
        <v>44</v>
      </c>
      <c r="F260" s="964">
        <v>63050</v>
      </c>
      <c r="G260" s="587">
        <f t="shared" si="52"/>
        <v>2774200</v>
      </c>
      <c r="H260" s="576"/>
      <c r="I260" s="575"/>
      <c r="J260" s="575"/>
      <c r="K260" s="575"/>
      <c r="L260" s="577"/>
      <c r="M260" s="578"/>
      <c r="N260" s="585"/>
      <c r="O260" s="95"/>
      <c r="P260" s="579"/>
      <c r="Q260" s="580"/>
      <c r="R260" s="580"/>
      <c r="S260" s="581"/>
      <c r="T260" s="582"/>
      <c r="U260" s="79"/>
      <c r="V260" s="621"/>
      <c r="W260" s="808"/>
      <c r="X260" s="44"/>
      <c r="Y260" s="44"/>
      <c r="Z260" s="44"/>
      <c r="AA260" s="44"/>
      <c r="AB260" s="44"/>
    </row>
    <row r="261" spans="1:28" s="45" customFormat="1">
      <c r="A261" s="584"/>
      <c r="B261" s="779">
        <f t="shared" si="53"/>
        <v>8.1599999999999984</v>
      </c>
      <c r="C261" s="782" t="s">
        <v>166</v>
      </c>
      <c r="D261" s="777" t="s">
        <v>139</v>
      </c>
      <c r="E261" s="587">
        <v>38</v>
      </c>
      <c r="F261" s="891">
        <v>43840</v>
      </c>
      <c r="G261" s="587">
        <f t="shared" si="52"/>
        <v>1665920</v>
      </c>
      <c r="H261" s="576"/>
      <c r="I261" s="575"/>
      <c r="J261" s="575"/>
      <c r="K261" s="575"/>
      <c r="L261" s="577"/>
      <c r="M261" s="578"/>
      <c r="N261" s="585"/>
      <c r="O261" s="95"/>
      <c r="P261" s="579"/>
      <c r="Q261" s="580"/>
      <c r="R261" s="580"/>
      <c r="S261" s="581"/>
      <c r="T261" s="582"/>
      <c r="U261" s="79"/>
      <c r="V261" s="621"/>
      <c r="W261" s="808"/>
      <c r="X261" s="44"/>
      <c r="Y261" s="44"/>
      <c r="Z261" s="44"/>
      <c r="AA261" s="44"/>
      <c r="AB261" s="44"/>
    </row>
    <row r="262" spans="1:28" s="45" customFormat="1" ht="25.5">
      <c r="A262" s="584"/>
      <c r="B262" s="779">
        <f t="shared" si="53"/>
        <v>8.1699999999999982</v>
      </c>
      <c r="C262" s="782" t="s">
        <v>1105</v>
      </c>
      <c r="D262" s="777" t="s">
        <v>56</v>
      </c>
      <c r="E262" s="782">
        <v>144</v>
      </c>
      <c r="F262" s="893">
        <v>30890</v>
      </c>
      <c r="G262" s="587">
        <f t="shared" si="52"/>
        <v>4448160</v>
      </c>
      <c r="H262" s="576"/>
      <c r="I262" s="575"/>
      <c r="J262" s="575"/>
      <c r="K262" s="575"/>
      <c r="L262" s="577"/>
      <c r="M262" s="578"/>
      <c r="N262" s="585"/>
      <c r="O262" s="95"/>
      <c r="P262" s="579"/>
      <c r="Q262" s="580"/>
      <c r="R262" s="580"/>
      <c r="S262" s="581"/>
      <c r="T262" s="582"/>
      <c r="U262" s="79"/>
      <c r="V262" s="621"/>
      <c r="W262" s="808">
        <v>26500</v>
      </c>
      <c r="X262" s="894"/>
      <c r="Y262" s="44"/>
      <c r="Z262" s="44"/>
      <c r="AA262" s="44"/>
      <c r="AB262" s="44"/>
    </row>
    <row r="263" spans="1:28" s="45" customFormat="1" ht="16.5">
      <c r="A263" s="584"/>
      <c r="B263" s="779">
        <f t="shared" si="53"/>
        <v>8.1799999999999979</v>
      </c>
      <c r="C263" s="782" t="s">
        <v>1104</v>
      </c>
      <c r="D263" s="846" t="s">
        <v>22</v>
      </c>
      <c r="E263" s="782">
        <v>4</v>
      </c>
      <c r="F263" s="893">
        <v>158050</v>
      </c>
      <c r="G263" s="587">
        <f t="shared" si="52"/>
        <v>632200</v>
      </c>
      <c r="H263" s="576"/>
      <c r="I263" s="575"/>
      <c r="J263" s="575"/>
      <c r="K263" s="575"/>
      <c r="L263" s="577"/>
      <c r="M263" s="578"/>
      <c r="N263" s="585"/>
      <c r="O263" s="95"/>
      <c r="P263" s="579"/>
      <c r="Q263" s="580"/>
      <c r="R263" s="580"/>
      <c r="S263" s="581"/>
      <c r="T263" s="582"/>
      <c r="U263" s="79"/>
      <c r="V263" s="621"/>
      <c r="W263" s="890">
        <v>158050</v>
      </c>
      <c r="X263" s="44"/>
      <c r="Y263" s="44"/>
      <c r="Z263" s="44"/>
      <c r="AA263" s="44"/>
      <c r="AB263" s="44"/>
    </row>
    <row r="264" spans="1:28" s="45" customFormat="1" ht="15.75" thickBot="1">
      <c r="A264" s="584"/>
      <c r="B264" s="592"/>
      <c r="C264" s="114"/>
      <c r="D264" s="115"/>
      <c r="E264" s="116"/>
      <c r="F264" s="117" t="s">
        <v>1100</v>
      </c>
      <c r="G264" s="118">
        <f>SUM(G251:G263)</f>
        <v>43313380</v>
      </c>
      <c r="H264" s="576"/>
      <c r="I264" s="575"/>
      <c r="J264" s="575"/>
      <c r="K264" s="575"/>
      <c r="L264" s="577"/>
      <c r="M264" s="578"/>
      <c r="N264" s="585"/>
      <c r="O264" s="95"/>
      <c r="P264" s="579"/>
      <c r="Q264" s="580"/>
      <c r="R264" s="580"/>
      <c r="S264" s="581"/>
      <c r="T264" s="582"/>
      <c r="U264" s="79"/>
      <c r="V264" s="621"/>
      <c r="W264" s="808"/>
      <c r="X264" s="44"/>
      <c r="Y264" s="44"/>
      <c r="Z264" s="44"/>
      <c r="AA264" s="44"/>
      <c r="AB264" s="44"/>
    </row>
    <row r="265" spans="1:28" s="45" customFormat="1">
      <c r="A265" s="584"/>
      <c r="B265" s="592"/>
      <c r="C265" s="140"/>
      <c r="D265" s="23"/>
      <c r="E265" s="107"/>
      <c r="F265" s="25"/>
      <c r="G265" s="795"/>
      <c r="H265" s="576"/>
      <c r="I265" s="575"/>
      <c r="J265" s="575"/>
      <c r="K265" s="575"/>
      <c r="L265" s="577"/>
      <c r="M265" s="578"/>
      <c r="N265" s="585"/>
      <c r="O265" s="95"/>
      <c r="P265" s="579"/>
      <c r="Q265" s="580"/>
      <c r="R265" s="580"/>
      <c r="S265" s="581"/>
      <c r="T265" s="582"/>
      <c r="U265" s="79"/>
      <c r="V265" s="621"/>
      <c r="W265" s="808"/>
      <c r="X265" s="44"/>
      <c r="Y265" s="44"/>
      <c r="Z265" s="44"/>
      <c r="AA265" s="44"/>
      <c r="AB265" s="44"/>
    </row>
    <row r="266" spans="1:28" s="45" customFormat="1" ht="15.75" thickBot="1">
      <c r="A266" s="584"/>
      <c r="B266" s="592"/>
      <c r="C266" s="114"/>
      <c r="D266" s="115"/>
      <c r="E266" s="116"/>
      <c r="F266" s="117" t="s">
        <v>1024</v>
      </c>
      <c r="G266" s="118">
        <f>+G264+G249</f>
        <v>77569915</v>
      </c>
      <c r="H266" s="576"/>
      <c r="I266" s="575"/>
      <c r="J266" s="575"/>
      <c r="K266" s="575"/>
      <c r="L266" s="577"/>
      <c r="M266" s="578"/>
      <c r="N266" s="585"/>
      <c r="O266" s="95"/>
      <c r="P266" s="579"/>
      <c r="Q266" s="580"/>
      <c r="R266" s="580"/>
      <c r="S266" s="581"/>
      <c r="T266" s="582"/>
      <c r="U266" s="79"/>
      <c r="V266" s="621"/>
      <c r="W266" s="808"/>
      <c r="X266" s="44"/>
      <c r="Y266" s="44"/>
      <c r="Z266" s="44"/>
      <c r="AA266" s="44"/>
      <c r="AB266" s="44"/>
    </row>
    <row r="267" spans="1:28" s="45" customFormat="1" ht="15.75" thickBot="1">
      <c r="A267" s="584"/>
      <c r="B267" s="592"/>
      <c r="C267" s="593"/>
      <c r="D267" s="827"/>
      <c r="E267" s="594"/>
      <c r="F267" s="575"/>
      <c r="G267" s="792"/>
      <c r="H267" s="576"/>
      <c r="I267" s="575"/>
      <c r="J267" s="575"/>
      <c r="K267" s="575"/>
      <c r="L267" s="577"/>
      <c r="M267" s="578"/>
      <c r="N267" s="585"/>
      <c r="O267" s="95"/>
      <c r="P267" s="579"/>
      <c r="Q267" s="580"/>
      <c r="R267" s="580"/>
      <c r="S267" s="581"/>
      <c r="T267" s="582"/>
      <c r="U267" s="79"/>
      <c r="V267" s="621"/>
      <c r="W267" s="808"/>
      <c r="X267" s="44"/>
      <c r="Y267" s="44"/>
      <c r="Z267" s="44"/>
      <c r="AA267" s="44"/>
      <c r="AB267" s="44"/>
    </row>
    <row r="268" spans="1:28" s="45" customFormat="1">
      <c r="A268" s="584"/>
      <c r="B268" s="592">
        <v>9</v>
      </c>
      <c r="C268" s="75" t="s">
        <v>1038</v>
      </c>
      <c r="D268" s="76"/>
      <c r="E268" s="76"/>
      <c r="F268" s="76"/>
      <c r="G268" s="126"/>
      <c r="H268" s="576"/>
      <c r="I268" s="575"/>
      <c r="J268" s="575"/>
      <c r="K268" s="575"/>
      <c r="L268" s="577"/>
      <c r="M268" s="578"/>
      <c r="N268" s="585"/>
      <c r="O268" s="95"/>
      <c r="P268" s="579"/>
      <c r="Q268" s="580"/>
      <c r="R268" s="580"/>
      <c r="S268" s="581"/>
      <c r="T268" s="582"/>
      <c r="U268" s="79"/>
      <c r="V268" s="621"/>
      <c r="W268" s="808"/>
      <c r="X268" s="44"/>
      <c r="Y268" s="44"/>
      <c r="Z268" s="44"/>
      <c r="AA268" s="44"/>
      <c r="AB268" s="44"/>
    </row>
    <row r="269" spans="1:28" s="45" customFormat="1">
      <c r="A269" s="584"/>
      <c r="B269" s="592">
        <v>9.1</v>
      </c>
      <c r="C269" s="102" t="s">
        <v>943</v>
      </c>
      <c r="D269" s="772" t="s">
        <v>139</v>
      </c>
      <c r="E269" s="587">
        <v>190</v>
      </c>
      <c r="F269" s="587">
        <v>2610</v>
      </c>
      <c r="G269" s="587">
        <f>+E269*F269</f>
        <v>495900</v>
      </c>
      <c r="H269" s="576"/>
      <c r="I269" s="575"/>
      <c r="J269" s="575"/>
      <c r="K269" s="575"/>
      <c r="L269" s="577"/>
      <c r="M269" s="578"/>
      <c r="N269" s="585"/>
      <c r="O269" s="95"/>
      <c r="P269" s="579"/>
      <c r="Q269" s="580"/>
      <c r="R269" s="580"/>
      <c r="S269" s="581"/>
      <c r="T269" s="582"/>
      <c r="U269" s="79"/>
      <c r="V269" s="621"/>
      <c r="W269" s="808"/>
      <c r="X269" s="44"/>
      <c r="Y269" s="44"/>
      <c r="Z269" s="44"/>
      <c r="AA269" s="44"/>
      <c r="AB269" s="44"/>
    </row>
    <row r="270" spans="1:28" s="45" customFormat="1">
      <c r="A270" s="584"/>
      <c r="B270" s="592">
        <v>9.1999999999999993</v>
      </c>
      <c r="C270" s="102" t="s">
        <v>1046</v>
      </c>
      <c r="D270" s="772"/>
      <c r="E270" s="587"/>
      <c r="F270" s="587"/>
      <c r="G270" s="587"/>
      <c r="H270" s="576"/>
      <c r="I270" s="575"/>
      <c r="J270" s="575"/>
      <c r="K270" s="575"/>
      <c r="L270" s="577"/>
      <c r="M270" s="578"/>
      <c r="N270" s="585"/>
      <c r="O270" s="95"/>
      <c r="P270" s="579"/>
      <c r="Q270" s="580"/>
      <c r="R270" s="580"/>
      <c r="S270" s="581"/>
      <c r="T270" s="582"/>
      <c r="U270" s="79"/>
      <c r="V270" s="621"/>
      <c r="W270" s="808"/>
      <c r="X270" s="44"/>
      <c r="Y270" s="44"/>
      <c r="Z270" s="44"/>
      <c r="AA270" s="44"/>
      <c r="AB270" s="44"/>
    </row>
    <row r="271" spans="1:28" s="45" customFormat="1">
      <c r="A271" s="584"/>
      <c r="B271" s="592" t="s">
        <v>1048</v>
      </c>
      <c r="C271" s="593" t="s">
        <v>1039</v>
      </c>
      <c r="D271" s="827" t="s">
        <v>56</v>
      </c>
      <c r="E271" s="594">
        <v>454</v>
      </c>
      <c r="F271" s="575">
        <v>34420</v>
      </c>
      <c r="G271" s="587">
        <f t="shared" ref="G271:G318" si="54">+E271*F271</f>
        <v>15626680</v>
      </c>
      <c r="H271" s="576"/>
      <c r="I271" s="575"/>
      <c r="J271" s="575"/>
      <c r="K271" s="575"/>
      <c r="L271" s="577"/>
      <c r="M271" s="578"/>
      <c r="N271" s="585"/>
      <c r="O271" s="95"/>
      <c r="P271" s="579"/>
      <c r="Q271" s="580"/>
      <c r="R271" s="580"/>
      <c r="S271" s="581"/>
      <c r="T271" s="582"/>
      <c r="U271" s="79"/>
      <c r="V271" s="621"/>
      <c r="W271" s="808"/>
      <c r="X271" s="44"/>
      <c r="Y271" s="44"/>
      <c r="Z271" s="44"/>
      <c r="AA271" s="44"/>
      <c r="AB271" s="44"/>
    </row>
    <row r="272" spans="1:28" s="45" customFormat="1">
      <c r="A272" s="584"/>
      <c r="B272" s="592">
        <v>9.3000000000000007</v>
      </c>
      <c r="C272" s="593" t="s">
        <v>1047</v>
      </c>
      <c r="D272" s="827"/>
      <c r="E272" s="594"/>
      <c r="F272" s="575"/>
      <c r="G272" s="587"/>
      <c r="H272" s="576"/>
      <c r="I272" s="575"/>
      <c r="J272" s="575"/>
      <c r="K272" s="575"/>
      <c r="L272" s="577"/>
      <c r="M272" s="578"/>
      <c r="N272" s="585"/>
      <c r="O272" s="95"/>
      <c r="P272" s="579"/>
      <c r="Q272" s="580"/>
      <c r="R272" s="580"/>
      <c r="S272" s="581"/>
      <c r="T272" s="582"/>
      <c r="U272" s="79"/>
      <c r="V272" s="621"/>
      <c r="W272" s="808"/>
      <c r="X272" s="44"/>
      <c r="Y272" s="44"/>
      <c r="Z272" s="44"/>
      <c r="AA272" s="44"/>
      <c r="AB272" s="44"/>
    </row>
    <row r="273" spans="1:28" s="45" customFormat="1" ht="25.5">
      <c r="A273" s="584"/>
      <c r="B273" s="592" t="s">
        <v>1049</v>
      </c>
      <c r="C273" s="593" t="s">
        <v>1040</v>
      </c>
      <c r="D273" s="827" t="s">
        <v>139</v>
      </c>
      <c r="E273" s="594">
        <v>6.84</v>
      </c>
      <c r="F273" s="575">
        <v>312309</v>
      </c>
      <c r="G273" s="587">
        <f t="shared" si="54"/>
        <v>2136193.56</v>
      </c>
      <c r="H273" s="576"/>
      <c r="I273" s="575"/>
      <c r="J273" s="575"/>
      <c r="K273" s="575"/>
      <c r="L273" s="577"/>
      <c r="M273" s="578"/>
      <c r="N273" s="585"/>
      <c r="O273" s="95"/>
      <c r="P273" s="579"/>
      <c r="Q273" s="580"/>
      <c r="R273" s="580"/>
      <c r="S273" s="581"/>
      <c r="T273" s="582"/>
      <c r="U273" s="79"/>
      <c r="V273" s="621"/>
      <c r="W273" s="808"/>
      <c r="X273" s="44"/>
      <c r="Y273" s="44"/>
      <c r="Z273" s="44"/>
      <c r="AA273" s="44"/>
      <c r="AB273" s="44"/>
    </row>
    <row r="274" spans="1:28" s="45" customFormat="1" ht="38.25">
      <c r="A274" s="584"/>
      <c r="B274" s="592" t="s">
        <v>1050</v>
      </c>
      <c r="C274" s="593" t="s">
        <v>1041</v>
      </c>
      <c r="D274" s="827" t="s">
        <v>500</v>
      </c>
      <c r="E274" s="594">
        <v>134</v>
      </c>
      <c r="F274" s="575">
        <v>21831</v>
      </c>
      <c r="G274" s="587">
        <f t="shared" si="54"/>
        <v>2925354</v>
      </c>
      <c r="H274" s="576"/>
      <c r="I274" s="575"/>
      <c r="J274" s="575"/>
      <c r="K274" s="575"/>
      <c r="L274" s="577"/>
      <c r="M274" s="578"/>
      <c r="N274" s="585"/>
      <c r="O274" s="95"/>
      <c r="P274" s="579"/>
      <c r="Q274" s="580"/>
      <c r="R274" s="580"/>
      <c r="S274" s="581"/>
      <c r="T274" s="582"/>
      <c r="U274" s="79"/>
      <c r="V274" s="621"/>
      <c r="W274" s="808"/>
      <c r="X274" s="44"/>
      <c r="Y274" s="44"/>
      <c r="Z274" s="44"/>
      <c r="AA274" s="44"/>
      <c r="AB274" s="44"/>
    </row>
    <row r="275" spans="1:28" s="45" customFormat="1" ht="25.5">
      <c r="A275" s="584"/>
      <c r="B275" s="592" t="s">
        <v>1051</v>
      </c>
      <c r="C275" s="593" t="s">
        <v>1042</v>
      </c>
      <c r="D275" s="827" t="s">
        <v>139</v>
      </c>
      <c r="E275" s="594">
        <v>13.7</v>
      </c>
      <c r="F275" s="575">
        <v>656039</v>
      </c>
      <c r="G275" s="587">
        <f t="shared" si="54"/>
        <v>8987734.2999999989</v>
      </c>
      <c r="H275" s="576"/>
      <c r="I275" s="575"/>
      <c r="J275" s="575"/>
      <c r="K275" s="575"/>
      <c r="L275" s="577"/>
      <c r="M275" s="578"/>
      <c r="N275" s="585"/>
      <c r="O275" s="95"/>
      <c r="P275" s="579"/>
      <c r="Q275" s="580"/>
      <c r="R275" s="580"/>
      <c r="S275" s="581"/>
      <c r="T275" s="582"/>
      <c r="U275" s="79"/>
      <c r="V275" s="621"/>
      <c r="W275" s="808"/>
      <c r="X275" s="44"/>
      <c r="Y275" s="44"/>
      <c r="Z275" s="44"/>
      <c r="AA275" s="44"/>
      <c r="AB275" s="44"/>
    </row>
    <row r="276" spans="1:28" s="45" customFormat="1" ht="25.5">
      <c r="A276" s="584"/>
      <c r="B276" s="592" t="s">
        <v>1052</v>
      </c>
      <c r="C276" s="593" t="s">
        <v>1043</v>
      </c>
      <c r="D276" s="827" t="s">
        <v>500</v>
      </c>
      <c r="E276" s="594">
        <v>134</v>
      </c>
      <c r="F276" s="575">
        <v>22250</v>
      </c>
      <c r="G276" s="587">
        <f t="shared" si="54"/>
        <v>2981500</v>
      </c>
      <c r="H276" s="576"/>
      <c r="I276" s="575"/>
      <c r="J276" s="575"/>
      <c r="K276" s="575"/>
      <c r="L276" s="577"/>
      <c r="M276" s="578"/>
      <c r="N276" s="585"/>
      <c r="O276" s="95"/>
      <c r="P276" s="579"/>
      <c r="Q276" s="580"/>
      <c r="R276" s="580"/>
      <c r="S276" s="581"/>
      <c r="T276" s="582"/>
      <c r="U276" s="79"/>
      <c r="V276" s="621"/>
      <c r="W276" s="808"/>
      <c r="X276" s="44"/>
      <c r="Y276" s="44"/>
      <c r="Z276" s="44"/>
      <c r="AA276" s="44"/>
      <c r="AB276" s="44"/>
    </row>
    <row r="277" spans="1:28" s="45" customFormat="1" ht="25.5">
      <c r="A277" s="584"/>
      <c r="B277" s="592" t="s">
        <v>1053</v>
      </c>
      <c r="C277" s="593" t="s">
        <v>1045</v>
      </c>
      <c r="D277" s="827" t="s">
        <v>139</v>
      </c>
      <c r="E277" s="594">
        <v>2.4</v>
      </c>
      <c r="F277" s="575">
        <v>640640</v>
      </c>
      <c r="G277" s="587">
        <f t="shared" si="54"/>
        <v>1537536</v>
      </c>
      <c r="H277" s="576"/>
      <c r="I277" s="575"/>
      <c r="J277" s="575"/>
      <c r="K277" s="575"/>
      <c r="L277" s="577"/>
      <c r="M277" s="578"/>
      <c r="N277" s="585"/>
      <c r="O277" s="95"/>
      <c r="P277" s="579"/>
      <c r="Q277" s="580"/>
      <c r="R277" s="580"/>
      <c r="S277" s="581"/>
      <c r="T277" s="582"/>
      <c r="U277" s="79"/>
      <c r="V277" s="621"/>
      <c r="W277" s="808"/>
      <c r="X277" s="44"/>
      <c r="Y277" s="44"/>
      <c r="Z277" s="44"/>
      <c r="AA277" s="44"/>
      <c r="AB277" s="44"/>
    </row>
    <row r="278" spans="1:28" s="45" customFormat="1">
      <c r="A278" s="584"/>
      <c r="B278" s="592">
        <v>9.4</v>
      </c>
      <c r="C278" s="593" t="s">
        <v>1054</v>
      </c>
      <c r="D278" s="827"/>
      <c r="E278" s="594"/>
      <c r="F278" s="575"/>
      <c r="G278" s="587"/>
      <c r="H278" s="576"/>
      <c r="I278" s="575"/>
      <c r="J278" s="575"/>
      <c r="K278" s="575"/>
      <c r="L278" s="577"/>
      <c r="M278" s="578"/>
      <c r="N278" s="585"/>
      <c r="O278" s="95"/>
      <c r="P278" s="579"/>
      <c r="Q278" s="580"/>
      <c r="R278" s="580"/>
      <c r="S278" s="581"/>
      <c r="T278" s="582"/>
      <c r="U278" s="79"/>
      <c r="V278" s="621"/>
      <c r="W278" s="808"/>
      <c r="X278" s="44"/>
      <c r="Y278" s="44"/>
      <c r="Z278" s="44"/>
      <c r="AA278" s="44"/>
      <c r="AB278" s="44"/>
    </row>
    <row r="279" spans="1:28" s="45" customFormat="1">
      <c r="A279" s="584"/>
      <c r="B279" s="592" t="s">
        <v>1055</v>
      </c>
      <c r="C279" s="102" t="s">
        <v>522</v>
      </c>
      <c r="D279" s="777" t="s">
        <v>142</v>
      </c>
      <c r="E279" s="780">
        <v>3950</v>
      </c>
      <c r="F279" s="587">
        <v>3201</v>
      </c>
      <c r="G279" s="587">
        <f>+E279*F279</f>
        <v>12643950</v>
      </c>
      <c r="H279" s="576"/>
      <c r="I279" s="575"/>
      <c r="J279" s="575"/>
      <c r="K279" s="575"/>
      <c r="L279" s="577"/>
      <c r="M279" s="578"/>
      <c r="N279" s="585"/>
      <c r="O279" s="95"/>
      <c r="P279" s="579"/>
      <c r="Q279" s="580"/>
      <c r="R279" s="580"/>
      <c r="S279" s="581"/>
      <c r="T279" s="582"/>
      <c r="U279" s="79"/>
      <c r="V279" s="621"/>
      <c r="W279" s="808"/>
      <c r="X279" s="44"/>
      <c r="Y279" s="44"/>
      <c r="Z279" s="44"/>
      <c r="AA279" s="44"/>
      <c r="AB279" s="44"/>
    </row>
    <row r="280" spans="1:28" s="45" customFormat="1">
      <c r="A280" s="584"/>
      <c r="B280" s="592" t="s">
        <v>1056</v>
      </c>
      <c r="C280" s="102" t="s">
        <v>1044</v>
      </c>
      <c r="D280" s="777" t="s">
        <v>142</v>
      </c>
      <c r="E280" s="780">
        <v>2360</v>
      </c>
      <c r="F280" s="587">
        <v>3201</v>
      </c>
      <c r="G280" s="587">
        <f t="shared" ref="G280" si="55">+E280*F280</f>
        <v>7554360</v>
      </c>
      <c r="H280" s="576"/>
      <c r="I280" s="575"/>
      <c r="J280" s="575"/>
      <c r="K280" s="575"/>
      <c r="L280" s="577"/>
      <c r="M280" s="578"/>
      <c r="N280" s="585"/>
      <c r="O280" s="95"/>
      <c r="P280" s="579"/>
      <c r="Q280" s="580"/>
      <c r="R280" s="580"/>
      <c r="S280" s="581"/>
      <c r="T280" s="582"/>
      <c r="U280" s="79"/>
      <c r="V280" s="621"/>
      <c r="W280" s="808"/>
      <c r="X280" s="44"/>
      <c r="Y280" s="44"/>
      <c r="Z280" s="44"/>
      <c r="AA280" s="44"/>
      <c r="AB280" s="44"/>
    </row>
    <row r="281" spans="1:28" s="45" customFormat="1">
      <c r="A281" s="584"/>
      <c r="B281" s="592">
        <v>9.5</v>
      </c>
      <c r="C281" s="593" t="s">
        <v>64</v>
      </c>
      <c r="D281" s="827"/>
      <c r="E281" s="594"/>
      <c r="F281" s="575"/>
      <c r="G281" s="587"/>
      <c r="H281" s="576"/>
      <c r="I281" s="575"/>
      <c r="J281" s="575"/>
      <c r="K281" s="575"/>
      <c r="L281" s="577"/>
      <c r="M281" s="578"/>
      <c r="N281" s="585"/>
      <c r="O281" s="95"/>
      <c r="P281" s="579"/>
      <c r="Q281" s="580"/>
      <c r="R281" s="580"/>
      <c r="S281" s="581"/>
      <c r="T281" s="582"/>
      <c r="U281" s="79"/>
      <c r="V281" s="621"/>
      <c r="W281" s="808"/>
      <c r="X281" s="44"/>
      <c r="Y281" s="44"/>
      <c r="Z281" s="44"/>
      <c r="AA281" s="44"/>
      <c r="AB281" s="44"/>
    </row>
    <row r="282" spans="1:28" s="45" customFormat="1" ht="25.5">
      <c r="A282" s="584"/>
      <c r="B282" s="592">
        <v>9.9</v>
      </c>
      <c r="C282" s="593" t="s">
        <v>1057</v>
      </c>
      <c r="D282" s="827" t="s">
        <v>56</v>
      </c>
      <c r="E282" s="594">
        <v>260</v>
      </c>
      <c r="F282" s="575">
        <v>16360</v>
      </c>
      <c r="G282" s="587">
        <f t="shared" si="54"/>
        <v>4253600</v>
      </c>
      <c r="H282" s="576"/>
      <c r="I282" s="575"/>
      <c r="J282" s="575"/>
      <c r="K282" s="575"/>
      <c r="L282" s="577"/>
      <c r="M282" s="578"/>
      <c r="N282" s="585"/>
      <c r="O282" s="95"/>
      <c r="P282" s="579"/>
      <c r="Q282" s="580"/>
      <c r="R282" s="580"/>
      <c r="S282" s="581"/>
      <c r="T282" s="582"/>
      <c r="U282" s="79"/>
      <c r="V282" s="621"/>
      <c r="W282" s="808"/>
      <c r="X282" s="44"/>
      <c r="Y282" s="44"/>
      <c r="Z282" s="44"/>
      <c r="AA282" s="44"/>
      <c r="AB282" s="44"/>
    </row>
    <row r="283" spans="1:28" s="45" customFormat="1" ht="25.5">
      <c r="A283" s="584"/>
      <c r="B283" s="592" t="s">
        <v>1089</v>
      </c>
      <c r="C283" s="593" t="s">
        <v>1058</v>
      </c>
      <c r="D283" s="827" t="s">
        <v>500</v>
      </c>
      <c r="E283" s="594">
        <v>80</v>
      </c>
      <c r="F283" s="575">
        <v>34480</v>
      </c>
      <c r="G283" s="587">
        <f t="shared" si="54"/>
        <v>2758400</v>
      </c>
      <c r="H283" s="576"/>
      <c r="I283" s="575"/>
      <c r="J283" s="575"/>
      <c r="K283" s="575"/>
      <c r="L283" s="577"/>
      <c r="M283" s="578"/>
      <c r="N283" s="585"/>
      <c r="O283" s="95"/>
      <c r="P283" s="579"/>
      <c r="Q283" s="580"/>
      <c r="R283" s="580"/>
      <c r="S283" s="581"/>
      <c r="T283" s="582"/>
      <c r="U283" s="79"/>
      <c r="V283" s="621"/>
      <c r="W283" s="808"/>
      <c r="X283" s="44"/>
      <c r="Y283" s="44"/>
      <c r="Z283" s="44"/>
      <c r="AA283" s="44"/>
      <c r="AB283" s="44"/>
    </row>
    <row r="284" spans="1:28" s="45" customFormat="1">
      <c r="A284" s="584"/>
      <c r="B284" s="592" t="s">
        <v>1090</v>
      </c>
      <c r="C284" s="593" t="s">
        <v>1059</v>
      </c>
      <c r="D284" s="827" t="s">
        <v>56</v>
      </c>
      <c r="E284" s="594">
        <v>260</v>
      </c>
      <c r="F284" s="575">
        <v>29541</v>
      </c>
      <c r="G284" s="587">
        <f t="shared" si="54"/>
        <v>7680660</v>
      </c>
      <c r="H284" s="576"/>
      <c r="I284" s="575"/>
      <c r="J284" s="575"/>
      <c r="K284" s="575"/>
      <c r="L284" s="577"/>
      <c r="M284" s="578"/>
      <c r="N284" s="585"/>
      <c r="O284" s="95"/>
      <c r="P284" s="579"/>
      <c r="Q284" s="580"/>
      <c r="R284" s="580"/>
      <c r="S284" s="581"/>
      <c r="T284" s="582"/>
      <c r="U284" s="79"/>
      <c r="V284" s="621"/>
      <c r="W284" s="808"/>
      <c r="X284" s="44"/>
      <c r="Y284" s="44"/>
      <c r="Z284" s="44"/>
      <c r="AA284" s="44"/>
      <c r="AB284" s="44"/>
    </row>
    <row r="285" spans="1:28" s="45" customFormat="1">
      <c r="A285" s="584"/>
      <c r="B285" s="592">
        <v>9.6</v>
      </c>
      <c r="C285" s="593" t="s">
        <v>1060</v>
      </c>
      <c r="D285" s="827"/>
      <c r="E285" s="594"/>
      <c r="F285" s="575"/>
      <c r="G285" s="587"/>
      <c r="H285" s="576"/>
      <c r="I285" s="575"/>
      <c r="J285" s="575"/>
      <c r="K285" s="575"/>
      <c r="L285" s="577"/>
      <c r="M285" s="578"/>
      <c r="N285" s="585"/>
      <c r="O285" s="95"/>
      <c r="P285" s="579"/>
      <c r="Q285" s="580"/>
      <c r="R285" s="580"/>
      <c r="S285" s="581"/>
      <c r="T285" s="582"/>
      <c r="U285" s="79"/>
      <c r="V285" s="621"/>
      <c r="W285" s="808"/>
      <c r="X285" s="44"/>
      <c r="Y285" s="44"/>
      <c r="Z285" s="44"/>
      <c r="AA285" s="44"/>
      <c r="AB285" s="44"/>
    </row>
    <row r="286" spans="1:28" s="45" customFormat="1" ht="25.5">
      <c r="A286" s="584"/>
      <c r="B286" s="884" t="s">
        <v>1066</v>
      </c>
      <c r="C286" s="593" t="s">
        <v>1061</v>
      </c>
      <c r="D286" s="827" t="s">
        <v>56</v>
      </c>
      <c r="E286" s="594">
        <v>908</v>
      </c>
      <c r="F286" s="575">
        <v>17130</v>
      </c>
      <c r="G286" s="587">
        <f t="shared" si="54"/>
        <v>15554040</v>
      </c>
      <c r="H286" s="576"/>
      <c r="I286" s="575"/>
      <c r="J286" s="575"/>
      <c r="K286" s="575"/>
      <c r="L286" s="577"/>
      <c r="M286" s="578"/>
      <c r="N286" s="585"/>
      <c r="O286" s="95"/>
      <c r="P286" s="579"/>
      <c r="Q286" s="580"/>
      <c r="R286" s="580"/>
      <c r="S286" s="581"/>
      <c r="T286" s="582"/>
      <c r="U286" s="79"/>
      <c r="V286" s="621"/>
      <c r="W286" s="808"/>
      <c r="X286" s="44"/>
      <c r="Y286" s="44"/>
      <c r="Z286" s="44"/>
      <c r="AA286" s="44"/>
      <c r="AB286" s="44"/>
    </row>
    <row r="287" spans="1:28" s="45" customFormat="1">
      <c r="A287" s="584"/>
      <c r="B287" s="884" t="s">
        <v>1067</v>
      </c>
      <c r="C287" s="593" t="s">
        <v>1062</v>
      </c>
      <c r="D287" s="827" t="s">
        <v>56</v>
      </c>
      <c r="E287" s="594">
        <v>218</v>
      </c>
      <c r="F287" s="575">
        <v>34392</v>
      </c>
      <c r="G287" s="587">
        <f t="shared" si="54"/>
        <v>7497456</v>
      </c>
      <c r="H287" s="576"/>
      <c r="I287" s="575"/>
      <c r="J287" s="575"/>
      <c r="K287" s="575"/>
      <c r="L287" s="577"/>
      <c r="M287" s="578"/>
      <c r="N287" s="585"/>
      <c r="O287" s="95"/>
      <c r="P287" s="579"/>
      <c r="Q287" s="580"/>
      <c r="R287" s="580"/>
      <c r="S287" s="581"/>
      <c r="T287" s="582"/>
      <c r="U287" s="79"/>
      <c r="V287" s="621"/>
      <c r="W287" s="808"/>
      <c r="X287" s="44"/>
      <c r="Y287" s="44"/>
      <c r="Z287" s="44"/>
      <c r="AA287" s="44"/>
      <c r="AB287" s="44"/>
    </row>
    <row r="288" spans="1:28" s="45" customFormat="1" ht="25.5">
      <c r="A288" s="584"/>
      <c r="B288" s="884" t="s">
        <v>1068</v>
      </c>
      <c r="C288" s="593" t="s">
        <v>1063</v>
      </c>
      <c r="D288" s="827" t="s">
        <v>56</v>
      </c>
      <c r="E288" s="594">
        <v>180</v>
      </c>
      <c r="F288" s="575">
        <v>25070</v>
      </c>
      <c r="G288" s="587">
        <f t="shared" si="54"/>
        <v>4512600</v>
      </c>
      <c r="H288" s="576"/>
      <c r="I288" s="575"/>
      <c r="J288" s="575"/>
      <c r="K288" s="575"/>
      <c r="L288" s="577"/>
      <c r="M288" s="578"/>
      <c r="N288" s="585"/>
      <c r="O288" s="95"/>
      <c r="P288" s="579"/>
      <c r="Q288" s="580"/>
      <c r="R288" s="580"/>
      <c r="S288" s="581"/>
      <c r="T288" s="582"/>
      <c r="U288" s="79"/>
      <c r="V288" s="621"/>
      <c r="W288" s="808"/>
      <c r="X288" s="44"/>
      <c r="Y288" s="44"/>
      <c r="Z288" s="44"/>
      <c r="AA288" s="44"/>
      <c r="AB288" s="44"/>
    </row>
    <row r="289" spans="1:28" s="45" customFormat="1">
      <c r="A289" s="584"/>
      <c r="B289" s="884" t="s">
        <v>1069</v>
      </c>
      <c r="C289" s="593" t="s">
        <v>1064</v>
      </c>
      <c r="D289" s="827" t="s">
        <v>56</v>
      </c>
      <c r="E289" s="594">
        <v>60</v>
      </c>
      <c r="F289" s="575">
        <v>44727</v>
      </c>
      <c r="G289" s="587">
        <f t="shared" si="54"/>
        <v>2683620</v>
      </c>
      <c r="H289" s="576"/>
      <c r="I289" s="575"/>
      <c r="J289" s="575"/>
      <c r="K289" s="575"/>
      <c r="L289" s="577"/>
      <c r="M289" s="578"/>
      <c r="N289" s="585"/>
      <c r="O289" s="95"/>
      <c r="P289" s="579"/>
      <c r="Q289" s="580"/>
      <c r="R289" s="580"/>
      <c r="S289" s="581"/>
      <c r="T289" s="582"/>
      <c r="U289" s="79"/>
      <c r="V289" s="621"/>
      <c r="W289" s="808"/>
      <c r="X289" s="44"/>
      <c r="Y289" s="44"/>
      <c r="Z289" s="44"/>
      <c r="AA289" s="44"/>
      <c r="AB289" s="44"/>
    </row>
    <row r="290" spans="1:28" s="45" customFormat="1">
      <c r="A290" s="584"/>
      <c r="B290" s="884" t="s">
        <v>1070</v>
      </c>
      <c r="C290" s="593" t="s">
        <v>1065</v>
      </c>
      <c r="D290" s="827" t="s">
        <v>56</v>
      </c>
      <c r="E290" s="594">
        <v>18</v>
      </c>
      <c r="F290" s="575">
        <v>90513</v>
      </c>
      <c r="G290" s="795">
        <f t="shared" si="54"/>
        <v>1629234</v>
      </c>
      <c r="H290" s="576"/>
      <c r="I290" s="575"/>
      <c r="J290" s="575"/>
      <c r="K290" s="575"/>
      <c r="L290" s="577"/>
      <c r="M290" s="578"/>
      <c r="N290" s="585"/>
      <c r="O290" s="95"/>
      <c r="P290" s="579"/>
      <c r="Q290" s="580"/>
      <c r="R290" s="580"/>
      <c r="S290" s="581"/>
      <c r="T290" s="582"/>
      <c r="U290" s="79"/>
      <c r="V290" s="621"/>
      <c r="W290" s="808"/>
      <c r="X290" s="44"/>
      <c r="Y290" s="44"/>
      <c r="Z290" s="44"/>
      <c r="AA290" s="44"/>
      <c r="AB290" s="44"/>
    </row>
    <row r="291" spans="1:28" s="45" customFormat="1" ht="15.75" thickBot="1">
      <c r="A291" s="584"/>
      <c r="B291" s="944">
        <v>9.6999999999999993</v>
      </c>
      <c r="C291" s="593" t="s">
        <v>1071</v>
      </c>
      <c r="D291" s="827"/>
      <c r="E291" s="594"/>
      <c r="F291" s="575"/>
      <c r="G291" s="795"/>
      <c r="H291" s="576"/>
      <c r="I291" s="575"/>
      <c r="J291" s="575"/>
      <c r="K291" s="575"/>
      <c r="L291" s="577"/>
      <c r="M291" s="578"/>
      <c r="N291" s="585"/>
      <c r="O291" s="95"/>
      <c r="P291" s="579"/>
      <c r="Q291" s="580"/>
      <c r="R291" s="580"/>
      <c r="S291" s="581"/>
      <c r="T291" s="582"/>
      <c r="U291" s="79"/>
      <c r="V291" s="621"/>
      <c r="W291" s="808"/>
      <c r="X291" s="44"/>
      <c r="Y291" s="44"/>
      <c r="Z291" s="44"/>
      <c r="AA291" s="44"/>
      <c r="AB291" s="44"/>
    </row>
    <row r="292" spans="1:28" s="45" customFormat="1" ht="25.5">
      <c r="A292" s="584"/>
      <c r="B292" s="592" t="s">
        <v>1072</v>
      </c>
      <c r="C292" s="593" t="s">
        <v>1073</v>
      </c>
      <c r="D292" s="827" t="s">
        <v>22</v>
      </c>
      <c r="E292" s="594">
        <v>1</v>
      </c>
      <c r="F292" s="575">
        <v>618839</v>
      </c>
      <c r="G292" s="795">
        <f t="shared" si="54"/>
        <v>618839</v>
      </c>
      <c r="H292" s="576"/>
      <c r="I292" s="575"/>
      <c r="J292" s="575"/>
      <c r="K292" s="575"/>
      <c r="L292" s="577"/>
      <c r="M292" s="578"/>
      <c r="N292" s="585"/>
      <c r="O292" s="95"/>
      <c r="P292" s="579"/>
      <c r="Q292" s="580"/>
      <c r="R292" s="580"/>
      <c r="S292" s="581"/>
      <c r="T292" s="582"/>
      <c r="U292" s="79"/>
      <c r="V292" s="621"/>
      <c r="W292" s="808"/>
      <c r="X292" s="44"/>
      <c r="Y292" s="44"/>
      <c r="Z292" s="44"/>
      <c r="AA292" s="44"/>
      <c r="AB292" s="44"/>
    </row>
    <row r="293" spans="1:28" s="45" customFormat="1" ht="25.5">
      <c r="A293" s="584"/>
      <c r="B293" s="592" t="s">
        <v>1074</v>
      </c>
      <c r="C293" s="593" t="s">
        <v>1078</v>
      </c>
      <c r="D293" s="827" t="s">
        <v>56</v>
      </c>
      <c r="E293" s="594">
        <v>184</v>
      </c>
      <c r="F293" s="575">
        <v>138273</v>
      </c>
      <c r="G293" s="795">
        <f t="shared" si="54"/>
        <v>25442232</v>
      </c>
      <c r="H293" s="576"/>
      <c r="I293" s="575"/>
      <c r="J293" s="575"/>
      <c r="K293" s="575"/>
      <c r="L293" s="577"/>
      <c r="M293" s="578"/>
      <c r="N293" s="585"/>
      <c r="O293" s="95"/>
      <c r="P293" s="579"/>
      <c r="Q293" s="580"/>
      <c r="R293" s="580"/>
      <c r="S293" s="581"/>
      <c r="T293" s="582"/>
      <c r="U293" s="79"/>
      <c r="V293" s="621"/>
      <c r="W293" s="808"/>
      <c r="X293" s="44"/>
      <c r="Y293" s="44"/>
      <c r="Z293" s="44"/>
      <c r="AA293" s="44"/>
      <c r="AB293" s="44"/>
    </row>
    <row r="294" spans="1:28" s="45" customFormat="1">
      <c r="A294" s="584"/>
      <c r="B294" s="592" t="s">
        <v>1075</v>
      </c>
      <c r="C294" s="593" t="s">
        <v>1079</v>
      </c>
      <c r="D294" s="827" t="s">
        <v>56</v>
      </c>
      <c r="E294" s="594">
        <v>36</v>
      </c>
      <c r="F294" s="575">
        <v>135688</v>
      </c>
      <c r="G294" s="795">
        <f t="shared" si="54"/>
        <v>4884768</v>
      </c>
      <c r="H294" s="576"/>
      <c r="I294" s="575"/>
      <c r="J294" s="575"/>
      <c r="K294" s="575"/>
      <c r="L294" s="577"/>
      <c r="M294" s="578"/>
      <c r="N294" s="585"/>
      <c r="O294" s="95"/>
      <c r="P294" s="579"/>
      <c r="Q294" s="580"/>
      <c r="R294" s="580"/>
      <c r="S294" s="581"/>
      <c r="T294" s="582"/>
      <c r="U294" s="79"/>
      <c r="V294" s="621"/>
      <c r="W294" s="808"/>
      <c r="X294" s="44"/>
      <c r="Y294" s="44"/>
      <c r="Z294" s="44"/>
      <c r="AA294" s="44"/>
      <c r="AB294" s="44"/>
    </row>
    <row r="295" spans="1:28" s="45" customFormat="1">
      <c r="A295" s="584"/>
      <c r="B295" s="592" t="s">
        <v>1076</v>
      </c>
      <c r="C295" s="593" t="s">
        <v>1080</v>
      </c>
      <c r="D295" s="827" t="s">
        <v>500</v>
      </c>
      <c r="E295" s="594">
        <v>20</v>
      </c>
      <c r="F295" s="575">
        <v>144255</v>
      </c>
      <c r="G295" s="795">
        <f t="shared" si="54"/>
        <v>2885100</v>
      </c>
      <c r="H295" s="576"/>
      <c r="I295" s="575"/>
      <c r="J295" s="575"/>
      <c r="K295" s="575"/>
      <c r="L295" s="577"/>
      <c r="M295" s="578"/>
      <c r="N295" s="585"/>
      <c r="O295" s="95"/>
      <c r="P295" s="579"/>
      <c r="Q295" s="580"/>
      <c r="R295" s="580"/>
      <c r="S295" s="581"/>
      <c r="T295" s="582"/>
      <c r="U295" s="79"/>
      <c r="V295" s="621"/>
      <c r="W295" s="808"/>
      <c r="X295" s="44"/>
      <c r="Y295" s="44"/>
      <c r="Z295" s="44"/>
      <c r="AA295" s="44"/>
      <c r="AB295" s="44"/>
    </row>
    <row r="296" spans="1:28" s="45" customFormat="1">
      <c r="A296" s="584"/>
      <c r="B296" s="592" t="s">
        <v>1077</v>
      </c>
      <c r="C296" s="593" t="s">
        <v>1081</v>
      </c>
      <c r="D296" s="827" t="s">
        <v>22</v>
      </c>
      <c r="E296" s="594">
        <v>2</v>
      </c>
      <c r="F296" s="575">
        <v>273344</v>
      </c>
      <c r="G296" s="795">
        <f t="shared" si="54"/>
        <v>546688</v>
      </c>
      <c r="H296" s="576"/>
      <c r="I296" s="575"/>
      <c r="J296" s="575"/>
      <c r="K296" s="575"/>
      <c r="L296" s="577"/>
      <c r="M296" s="578"/>
      <c r="N296" s="585"/>
      <c r="O296" s="95"/>
      <c r="P296" s="579"/>
      <c r="Q296" s="580"/>
      <c r="R296" s="580"/>
      <c r="S296" s="581"/>
      <c r="T296" s="582"/>
      <c r="U296" s="79"/>
      <c r="V296" s="621"/>
      <c r="W296" s="808"/>
      <c r="X296" s="44"/>
      <c r="Y296" s="44"/>
      <c r="Z296" s="44"/>
      <c r="AA296" s="44"/>
      <c r="AB296" s="44"/>
    </row>
    <row r="297" spans="1:28" s="45" customFormat="1">
      <c r="A297" s="105"/>
      <c r="B297" s="139">
        <v>9.8000000000000007</v>
      </c>
      <c r="C297" s="593" t="s">
        <v>1083</v>
      </c>
      <c r="D297" s="827"/>
      <c r="E297" s="594"/>
      <c r="F297" s="575"/>
      <c r="G297" s="795"/>
      <c r="H297" s="576"/>
      <c r="I297" s="25"/>
      <c r="J297" s="25"/>
      <c r="K297" s="25"/>
      <c r="L297" s="109"/>
      <c r="M297" s="110"/>
      <c r="N297" s="111"/>
      <c r="O297" s="95"/>
      <c r="P297" s="96"/>
      <c r="Q297" s="97"/>
      <c r="R297" s="97"/>
      <c r="S297" s="98"/>
      <c r="T297" s="99"/>
      <c r="U297" s="79"/>
      <c r="V297" s="621"/>
      <c r="W297" s="807"/>
      <c r="X297" s="44"/>
      <c r="Y297" s="44"/>
      <c r="Z297" s="44"/>
      <c r="AA297" s="44"/>
      <c r="AB297" s="44"/>
    </row>
    <row r="298" spans="1:28" s="45" customFormat="1" ht="26.25" thickBot="1">
      <c r="A298" s="112" t="s">
        <v>46</v>
      </c>
      <c r="B298" s="106" t="s">
        <v>1082</v>
      </c>
      <c r="C298" s="593" t="s">
        <v>1084</v>
      </c>
      <c r="D298" s="827" t="s">
        <v>22</v>
      </c>
      <c r="E298" s="594">
        <v>5</v>
      </c>
      <c r="F298" s="575">
        <v>431569</v>
      </c>
      <c r="G298" s="795">
        <f t="shared" si="54"/>
        <v>2157845</v>
      </c>
      <c r="H298" s="576"/>
      <c r="I298" s="25"/>
      <c r="J298" s="25"/>
      <c r="K298" s="25"/>
      <c r="L298" s="109"/>
      <c r="M298" s="110"/>
      <c r="N298" s="119">
        <v>70604756</v>
      </c>
      <c r="O298" s="95"/>
      <c r="P298" s="120">
        <v>0</v>
      </c>
      <c r="Q298" s="121">
        <v>1148857</v>
      </c>
      <c r="R298" s="121">
        <v>22977151</v>
      </c>
      <c r="S298" s="122">
        <v>46478682</v>
      </c>
      <c r="T298" s="123">
        <v>0</v>
      </c>
      <c r="U298" s="79"/>
      <c r="V298" s="621"/>
      <c r="W298" s="807"/>
      <c r="X298" s="44"/>
      <c r="Y298" s="44"/>
      <c r="Z298" s="44"/>
      <c r="AA298" s="44"/>
      <c r="AB298" s="44"/>
    </row>
    <row r="299" spans="1:28" s="45" customFormat="1">
      <c r="A299" s="124"/>
      <c r="B299" s="827">
        <v>9.9</v>
      </c>
      <c r="C299" s="593" t="s">
        <v>1085</v>
      </c>
      <c r="D299" s="827"/>
      <c r="E299" s="594"/>
      <c r="F299" s="575"/>
      <c r="G299" s="795"/>
      <c r="H299" s="917"/>
      <c r="I299" s="917"/>
      <c r="J299" s="917"/>
      <c r="K299" s="917"/>
      <c r="L299" s="917"/>
      <c r="M299" s="917"/>
      <c r="N299" s="917"/>
      <c r="O299" s="917"/>
      <c r="P299" s="917"/>
      <c r="Q299" s="917"/>
      <c r="R299" s="917"/>
      <c r="S299" s="917"/>
      <c r="T299" s="917"/>
      <c r="U299" s="917"/>
      <c r="V299" s="621"/>
      <c r="W299" s="807"/>
      <c r="X299" s="44"/>
      <c r="Y299" s="44"/>
      <c r="Z299" s="44"/>
      <c r="AA299" s="44"/>
      <c r="AB299" s="44"/>
    </row>
    <row r="300" spans="1:28" s="156" customFormat="1" ht="26.25" thickBot="1">
      <c r="A300" s="144" t="s">
        <v>93</v>
      </c>
      <c r="B300" s="827" t="s">
        <v>1089</v>
      </c>
      <c r="C300" s="887" t="s">
        <v>1086</v>
      </c>
      <c r="D300" s="827" t="s">
        <v>56</v>
      </c>
      <c r="E300" s="594">
        <v>454</v>
      </c>
      <c r="F300" s="575">
        <v>5550</v>
      </c>
      <c r="G300" s="795">
        <f t="shared" si="54"/>
        <v>2519700</v>
      </c>
      <c r="H300" s="794"/>
      <c r="I300" s="148"/>
      <c r="J300" s="148"/>
      <c r="K300" s="148"/>
      <c r="L300" s="149">
        <v>408574527</v>
      </c>
      <c r="M300" s="150">
        <v>307710574</v>
      </c>
      <c r="N300" s="151">
        <v>307710574</v>
      </c>
      <c r="O300" s="152"/>
      <c r="P300" s="153">
        <v>0</v>
      </c>
      <c r="Q300" s="154">
        <v>7490404</v>
      </c>
      <c r="R300" s="154">
        <v>92935290</v>
      </c>
      <c r="S300" s="154">
        <v>207282823</v>
      </c>
      <c r="T300" s="154">
        <v>0</v>
      </c>
      <c r="U300" s="155"/>
      <c r="V300" s="806"/>
      <c r="W300" s="809"/>
      <c r="X300" s="793"/>
      <c r="Y300" s="793"/>
      <c r="Z300" s="793"/>
      <c r="AA300" s="793"/>
      <c r="AB300" s="793"/>
    </row>
    <row r="301" spans="1:28" s="45" customFormat="1" ht="23.25" customHeight="1">
      <c r="A301" s="66"/>
      <c r="B301" s="888" t="s">
        <v>1090</v>
      </c>
      <c r="C301" s="887" t="s">
        <v>1087</v>
      </c>
      <c r="D301" s="827" t="s">
        <v>56</v>
      </c>
      <c r="E301" s="594">
        <v>454</v>
      </c>
      <c r="F301" s="575">
        <v>11362</v>
      </c>
      <c r="G301" s="795">
        <f t="shared" si="54"/>
        <v>5158348</v>
      </c>
      <c r="H301" s="58"/>
      <c r="I301" s="58"/>
      <c r="J301" s="58"/>
      <c r="K301" s="58"/>
      <c r="L301" s="58"/>
      <c r="M301" s="19"/>
      <c r="N301" s="158">
        <v>0</v>
      </c>
      <c r="O301" s="159"/>
      <c r="P301" s="159"/>
      <c r="Q301" s="159"/>
      <c r="R301" s="159"/>
      <c r="S301" s="159"/>
      <c r="T301" s="159"/>
      <c r="U301" s="160"/>
      <c r="V301" s="805"/>
      <c r="W301" s="807"/>
      <c r="X301" s="44"/>
      <c r="Y301" s="44"/>
      <c r="Z301" s="44"/>
      <c r="AA301" s="44"/>
      <c r="AB301" s="44"/>
    </row>
    <row r="302" spans="1:28" s="45" customFormat="1">
      <c r="A302" s="161" t="s">
        <v>95</v>
      </c>
      <c r="B302" s="888" t="s">
        <v>1091</v>
      </c>
      <c r="C302" s="887" t="s">
        <v>1088</v>
      </c>
      <c r="D302" s="827" t="s">
        <v>56</v>
      </c>
      <c r="E302" s="594">
        <v>84</v>
      </c>
      <c r="F302" s="575">
        <v>10638</v>
      </c>
      <c r="G302" s="795">
        <f t="shared" si="54"/>
        <v>893592</v>
      </c>
      <c r="H302" s="166"/>
      <c r="I302" s="166"/>
      <c r="J302" s="166"/>
      <c r="K302" s="166"/>
      <c r="L302" s="166"/>
      <c r="M302" s="167"/>
      <c r="N302" s="168"/>
      <c r="O302" s="159"/>
      <c r="P302" s="159"/>
      <c r="Q302" s="159"/>
      <c r="R302" s="159"/>
      <c r="S302" s="159"/>
      <c r="T302" s="159"/>
      <c r="U302" s="58"/>
      <c r="V302" s="805"/>
      <c r="W302" s="807"/>
      <c r="X302" s="44"/>
      <c r="Y302" s="44"/>
      <c r="Z302" s="44"/>
      <c r="AA302" s="44"/>
      <c r="AB302" s="44"/>
    </row>
    <row r="303" spans="1:28" s="45" customFormat="1">
      <c r="A303" s="169" t="s">
        <v>97</v>
      </c>
      <c r="B303" s="889">
        <v>9.1</v>
      </c>
      <c r="C303" s="887" t="s">
        <v>1092</v>
      </c>
      <c r="D303" s="827"/>
      <c r="E303" s="594"/>
      <c r="F303" s="575"/>
      <c r="G303" s="795"/>
      <c r="H303" s="174"/>
      <c r="I303" s="174"/>
      <c r="J303" s="174"/>
      <c r="K303" s="174"/>
      <c r="L303" s="174"/>
      <c r="M303" s="175"/>
      <c r="N303" s="173">
        <v>307710574</v>
      </c>
      <c r="O303" s="176"/>
      <c r="P303" s="176"/>
      <c r="Q303" s="176"/>
      <c r="R303" s="176"/>
      <c r="S303" s="176"/>
      <c r="T303" s="176"/>
      <c r="U303" s="19"/>
      <c r="V303" s="805"/>
      <c r="W303" s="807"/>
      <c r="X303" s="174"/>
      <c r="Y303" s="44"/>
      <c r="Z303" s="44"/>
      <c r="AA303" s="44"/>
      <c r="AB303" s="44"/>
    </row>
    <row r="304" spans="1:28" s="45" customFormat="1" ht="25.5">
      <c r="A304" s="169" t="s">
        <v>99</v>
      </c>
      <c r="B304" s="827" t="s">
        <v>1093</v>
      </c>
      <c r="C304" s="887" t="s">
        <v>1094</v>
      </c>
      <c r="D304" s="827" t="s">
        <v>56</v>
      </c>
      <c r="E304" s="594">
        <v>78</v>
      </c>
      <c r="F304" s="575">
        <v>61850</v>
      </c>
      <c r="G304" s="795">
        <f t="shared" si="54"/>
        <v>4824300</v>
      </c>
      <c r="H304" s="182"/>
      <c r="I304" s="182"/>
      <c r="J304" s="182"/>
      <c r="K304" s="182"/>
      <c r="L304" s="182"/>
      <c r="M304" s="183"/>
      <c r="N304" s="181">
        <v>56926456</v>
      </c>
      <c r="O304" s="184"/>
      <c r="P304" s="184"/>
      <c r="Q304" s="184"/>
      <c r="R304" s="184"/>
      <c r="S304" s="184"/>
      <c r="T304" s="184"/>
      <c r="U304" s="19"/>
      <c r="V304" s="805"/>
      <c r="W304" s="807"/>
      <c r="X304" s="182"/>
      <c r="Y304" s="44"/>
      <c r="Z304" s="44"/>
      <c r="AA304" s="44"/>
      <c r="AB304" s="44"/>
    </row>
    <row r="305" spans="1:28" s="45" customFormat="1">
      <c r="A305" s="185" t="s">
        <v>101</v>
      </c>
      <c r="B305" s="827" t="s">
        <v>1095</v>
      </c>
      <c r="C305" s="887" t="s">
        <v>1112</v>
      </c>
      <c r="D305" s="827" t="s">
        <v>56</v>
      </c>
      <c r="E305" s="967">
        <v>107</v>
      </c>
      <c r="F305" s="968">
        <v>38048</v>
      </c>
      <c r="G305" s="965">
        <f t="shared" si="54"/>
        <v>4071136</v>
      </c>
      <c r="H305" s="182"/>
      <c r="I305" s="182"/>
      <c r="J305" s="182"/>
      <c r="K305" s="182"/>
      <c r="L305" s="182"/>
      <c r="M305" s="183"/>
      <c r="N305" s="190">
        <v>15385529</v>
      </c>
      <c r="O305" s="184"/>
      <c r="P305" s="184"/>
      <c r="Q305" s="184"/>
      <c r="R305" s="184"/>
      <c r="S305" s="184"/>
      <c r="T305" s="184"/>
      <c r="U305" s="182"/>
      <c r="V305" s="805"/>
      <c r="W305" s="807"/>
      <c r="X305" s="182"/>
      <c r="Y305" s="44"/>
      <c r="Z305" s="44"/>
      <c r="AA305" s="44"/>
      <c r="AB305" s="44"/>
    </row>
    <row r="306" spans="1:28" s="45" customFormat="1">
      <c r="A306" s="185"/>
      <c r="B306" s="827" t="s">
        <v>1096</v>
      </c>
      <c r="C306" s="102" t="s">
        <v>984</v>
      </c>
      <c r="D306" s="777" t="s">
        <v>139</v>
      </c>
      <c r="E306" s="969">
        <f>+E305*0.2</f>
        <v>21.400000000000002</v>
      </c>
      <c r="F306" s="964">
        <v>63050</v>
      </c>
      <c r="G306" s="965">
        <f t="shared" si="54"/>
        <v>1349270.0000000002</v>
      </c>
      <c r="H306" s="182"/>
      <c r="I306" s="182"/>
      <c r="J306" s="182"/>
      <c r="K306" s="182"/>
      <c r="L306" s="182"/>
      <c r="M306" s="183"/>
      <c r="N306" s="895"/>
      <c r="O306" s="184"/>
      <c r="P306" s="184"/>
      <c r="Q306" s="184"/>
      <c r="R306" s="184"/>
      <c r="S306" s="184"/>
      <c r="T306" s="184"/>
      <c r="U306" s="182"/>
      <c r="V306" s="805"/>
      <c r="W306" s="807"/>
      <c r="X306" s="182"/>
      <c r="Y306" s="44"/>
      <c r="Z306" s="44"/>
      <c r="AA306" s="44"/>
      <c r="AB306" s="44"/>
    </row>
    <row r="307" spans="1:28" s="45" customFormat="1">
      <c r="A307" s="185" t="s">
        <v>103</v>
      </c>
      <c r="B307" s="827" t="s">
        <v>1113</v>
      </c>
      <c r="C307" s="887" t="s">
        <v>1097</v>
      </c>
      <c r="D307" s="827" t="s">
        <v>56</v>
      </c>
      <c r="E307" s="594">
        <v>127</v>
      </c>
      <c r="F307" s="575">
        <v>7620</v>
      </c>
      <c r="G307" s="795">
        <f t="shared" si="54"/>
        <v>967740</v>
      </c>
      <c r="H307" s="182"/>
      <c r="I307" s="182"/>
      <c r="J307" s="182"/>
      <c r="K307" s="182"/>
      <c r="L307" s="182"/>
      <c r="M307" s="183"/>
      <c r="N307" s="190">
        <v>24616846</v>
      </c>
      <c r="O307" s="184"/>
      <c r="P307" s="184"/>
      <c r="Q307" s="184"/>
      <c r="R307" s="184"/>
      <c r="S307" s="184"/>
      <c r="T307" s="184"/>
      <c r="U307" s="182"/>
      <c r="V307" s="805"/>
      <c r="W307" s="807"/>
      <c r="X307" s="182"/>
      <c r="Y307" s="44"/>
      <c r="Z307" s="44"/>
      <c r="AA307" s="44"/>
      <c r="AB307" s="44"/>
    </row>
    <row r="308" spans="1:28" s="45" customFormat="1">
      <c r="A308" s="185"/>
      <c r="B308" s="827">
        <v>9.11</v>
      </c>
      <c r="C308" s="887" t="s">
        <v>1109</v>
      </c>
      <c r="D308" s="827"/>
      <c r="E308" s="594"/>
      <c r="F308" s="575"/>
      <c r="G308" s="795"/>
      <c r="H308" s="182"/>
      <c r="I308" s="182"/>
      <c r="J308" s="182"/>
      <c r="K308" s="182"/>
      <c r="L308" s="182"/>
      <c r="M308" s="183"/>
      <c r="N308" s="895"/>
      <c r="O308" s="184"/>
      <c r="P308" s="184"/>
      <c r="Q308" s="184"/>
      <c r="R308" s="184"/>
      <c r="S308" s="184"/>
      <c r="T308" s="184"/>
      <c r="U308" s="182"/>
      <c r="V308" s="805"/>
      <c r="W308" s="807"/>
      <c r="X308" s="182"/>
      <c r="Y308" s="44"/>
      <c r="Z308" s="44"/>
      <c r="AA308" s="44"/>
      <c r="AB308" s="44"/>
    </row>
    <row r="309" spans="1:28" s="45" customFormat="1" ht="51">
      <c r="A309" s="185"/>
      <c r="B309" s="827" t="s">
        <v>1110</v>
      </c>
      <c r="C309" s="897" t="s">
        <v>1111</v>
      </c>
      <c r="D309" s="827" t="s">
        <v>22</v>
      </c>
      <c r="E309" s="594">
        <v>1</v>
      </c>
      <c r="F309" s="575">
        <f>2739900*1.2</f>
        <v>3287880</v>
      </c>
      <c r="G309" s="795">
        <f t="shared" ref="G309:G315" si="56">+E309*F309</f>
        <v>3287880</v>
      </c>
      <c r="H309" s="182"/>
      <c r="I309" s="182"/>
      <c r="J309" s="182"/>
      <c r="K309" s="182"/>
      <c r="L309" s="182"/>
      <c r="M309" s="183"/>
      <c r="N309" s="895"/>
      <c r="O309" s="184"/>
      <c r="P309" s="184"/>
      <c r="Q309" s="184"/>
      <c r="R309" s="184"/>
      <c r="S309" s="184"/>
      <c r="T309" s="184"/>
      <c r="U309" s="182"/>
      <c r="V309" s="805"/>
      <c r="W309" s="807"/>
      <c r="X309" s="182"/>
      <c r="Y309" s="44"/>
      <c r="Z309" s="44"/>
      <c r="AA309" s="44"/>
      <c r="AB309" s="44"/>
    </row>
    <row r="310" spans="1:28" s="45" customFormat="1">
      <c r="A310" s="185"/>
      <c r="B310" s="827" t="s">
        <v>1308</v>
      </c>
      <c r="C310" s="966" t="s">
        <v>943</v>
      </c>
      <c r="D310" s="104" t="s">
        <v>139</v>
      </c>
      <c r="E310" s="103">
        <v>200</v>
      </c>
      <c r="F310" s="587">
        <v>2610</v>
      </c>
      <c r="G310" s="795">
        <f t="shared" si="56"/>
        <v>522000</v>
      </c>
      <c r="H310" s="182"/>
      <c r="I310" s="182"/>
      <c r="J310" s="182"/>
      <c r="K310" s="182"/>
      <c r="L310" s="182"/>
      <c r="M310" s="183"/>
      <c r="N310" s="895"/>
      <c r="O310" s="184"/>
      <c r="P310" s="184"/>
      <c r="Q310" s="184"/>
      <c r="R310" s="184"/>
      <c r="S310" s="184"/>
      <c r="T310" s="184"/>
      <c r="U310" s="182"/>
      <c r="V310" s="805"/>
      <c r="W310" s="807"/>
      <c r="X310" s="182"/>
      <c r="Y310" s="44"/>
      <c r="Z310" s="44"/>
      <c r="AA310" s="44"/>
      <c r="AB310" s="44"/>
    </row>
    <row r="311" spans="1:28" s="45" customFormat="1">
      <c r="A311" s="185"/>
      <c r="B311" s="827" t="s">
        <v>1309</v>
      </c>
      <c r="C311" s="966" t="s">
        <v>1316</v>
      </c>
      <c r="D311" s="104" t="s">
        <v>139</v>
      </c>
      <c r="E311" s="103">
        <v>200</v>
      </c>
      <c r="F311" s="587">
        <v>10240</v>
      </c>
      <c r="G311" s="795">
        <f t="shared" si="56"/>
        <v>2048000</v>
      </c>
      <c r="H311" s="182"/>
      <c r="I311" s="182"/>
      <c r="J311" s="182"/>
      <c r="K311" s="182"/>
      <c r="L311" s="182"/>
      <c r="M311" s="183"/>
      <c r="N311" s="895"/>
      <c r="O311" s="184"/>
      <c r="P311" s="184"/>
      <c r="Q311" s="184"/>
      <c r="R311" s="184"/>
      <c r="S311" s="184"/>
      <c r="T311" s="184"/>
      <c r="U311" s="182"/>
      <c r="V311" s="805"/>
      <c r="W311" s="807"/>
      <c r="X311" s="182"/>
      <c r="Y311" s="44"/>
      <c r="Z311" s="44"/>
      <c r="AA311" s="44"/>
      <c r="AB311" s="44"/>
    </row>
    <row r="312" spans="1:28" s="45" customFormat="1">
      <c r="A312" s="185"/>
      <c r="B312" s="827" t="s">
        <v>1310</v>
      </c>
      <c r="C312" s="102" t="s">
        <v>984</v>
      </c>
      <c r="D312" s="777" t="s">
        <v>139</v>
      </c>
      <c r="E312" s="780">
        <v>5</v>
      </c>
      <c r="F312" s="964">
        <v>63050</v>
      </c>
      <c r="G312" s="965">
        <f t="shared" si="56"/>
        <v>315250</v>
      </c>
      <c r="H312" s="182"/>
      <c r="I312" s="182"/>
      <c r="J312" s="182"/>
      <c r="K312" s="182"/>
      <c r="L312" s="182"/>
      <c r="M312" s="183"/>
      <c r="N312" s="895"/>
      <c r="O312" s="184"/>
      <c r="P312" s="184"/>
      <c r="Q312" s="184"/>
      <c r="R312" s="184"/>
      <c r="S312" s="184"/>
      <c r="T312" s="184"/>
      <c r="U312" s="182"/>
      <c r="V312" s="805"/>
      <c r="W312" s="807"/>
      <c r="X312" s="182"/>
      <c r="Y312" s="44"/>
      <c r="Z312" s="44"/>
      <c r="AA312" s="44"/>
      <c r="AB312" s="44"/>
    </row>
    <row r="313" spans="1:28" s="45" customFormat="1">
      <c r="A313" s="185"/>
      <c r="B313" s="827" t="s">
        <v>1311</v>
      </c>
      <c r="C313" s="897" t="s">
        <v>1313</v>
      </c>
      <c r="D313" s="827" t="s">
        <v>500</v>
      </c>
      <c r="E313" s="594">
        <v>30</v>
      </c>
      <c r="F313" s="575">
        <v>29330</v>
      </c>
      <c r="G313" s="795">
        <f t="shared" si="56"/>
        <v>879900</v>
      </c>
      <c r="H313" s="182"/>
      <c r="I313" s="182"/>
      <c r="J313" s="182"/>
      <c r="K313" s="182"/>
      <c r="L313" s="182"/>
      <c r="M313" s="183"/>
      <c r="N313" s="895"/>
      <c r="O313" s="184"/>
      <c r="P313" s="184"/>
      <c r="Q313" s="184"/>
      <c r="R313" s="184"/>
      <c r="S313" s="184"/>
      <c r="T313" s="184"/>
      <c r="U313" s="182"/>
      <c r="V313" s="805"/>
      <c r="W313" s="807"/>
      <c r="X313" s="182"/>
      <c r="Y313" s="44"/>
      <c r="Z313" s="44"/>
      <c r="AA313" s="44"/>
      <c r="AB313" s="44"/>
    </row>
    <row r="314" spans="1:28" s="45" customFormat="1">
      <c r="A314" s="185"/>
      <c r="B314" s="827" t="s">
        <v>1317</v>
      </c>
      <c r="C314" s="897" t="s">
        <v>1312</v>
      </c>
      <c r="D314" s="827" t="s">
        <v>22</v>
      </c>
      <c r="E314" s="594">
        <v>4</v>
      </c>
      <c r="F314" s="575">
        <v>112270</v>
      </c>
      <c r="G314" s="795">
        <f t="shared" si="56"/>
        <v>449080</v>
      </c>
      <c r="H314" s="182"/>
      <c r="I314" s="182"/>
      <c r="J314" s="182"/>
      <c r="K314" s="182"/>
      <c r="L314" s="182"/>
      <c r="M314" s="183"/>
      <c r="N314" s="895"/>
      <c r="O314" s="184"/>
      <c r="P314" s="184"/>
      <c r="Q314" s="184"/>
      <c r="R314" s="184"/>
      <c r="S314" s="184"/>
      <c r="T314" s="184"/>
      <c r="U314" s="182"/>
      <c r="V314" s="805"/>
      <c r="W314" s="807"/>
      <c r="X314" s="182"/>
      <c r="Y314" s="44"/>
      <c r="Z314" s="44"/>
      <c r="AA314" s="44"/>
      <c r="AB314" s="44"/>
    </row>
    <row r="315" spans="1:28" s="45" customFormat="1">
      <c r="A315" s="185"/>
      <c r="B315" s="827" t="s">
        <v>1318</v>
      </c>
      <c r="C315" s="897" t="s">
        <v>1315</v>
      </c>
      <c r="D315" s="827" t="s">
        <v>139</v>
      </c>
      <c r="E315" s="594">
        <v>15</v>
      </c>
      <c r="F315" s="575">
        <v>33740</v>
      </c>
      <c r="G315" s="795">
        <f t="shared" si="56"/>
        <v>506100</v>
      </c>
      <c r="H315" s="182"/>
      <c r="I315" s="182"/>
      <c r="J315" s="182"/>
      <c r="K315" s="182"/>
      <c r="L315" s="182"/>
      <c r="M315" s="183"/>
      <c r="N315" s="895"/>
      <c r="O315" s="184"/>
      <c r="P315" s="184"/>
      <c r="Q315" s="184"/>
      <c r="R315" s="184"/>
      <c r="S315" s="184"/>
      <c r="T315" s="184"/>
      <c r="U315" s="182"/>
      <c r="V315" s="805"/>
      <c r="W315" s="807"/>
      <c r="X315" s="182"/>
      <c r="Y315" s="44"/>
      <c r="Z315" s="44"/>
      <c r="AA315" s="44"/>
      <c r="AB315" s="44"/>
    </row>
    <row r="316" spans="1:28" s="45" customFormat="1">
      <c r="A316" s="185"/>
      <c r="B316" s="827" t="s">
        <v>1319</v>
      </c>
      <c r="C316" s="897" t="s">
        <v>1314</v>
      </c>
      <c r="D316" s="827" t="s">
        <v>500</v>
      </c>
      <c r="E316" s="594">
        <v>60</v>
      </c>
      <c r="F316" s="575">
        <v>21370</v>
      </c>
      <c r="G316" s="795">
        <f t="shared" si="54"/>
        <v>1282200</v>
      </c>
      <c r="H316" s="182"/>
      <c r="I316" s="182"/>
      <c r="J316" s="182"/>
      <c r="K316" s="182"/>
      <c r="L316" s="182"/>
      <c r="M316" s="183"/>
      <c r="N316" s="895"/>
      <c r="O316" s="184"/>
      <c r="P316" s="184"/>
      <c r="Q316" s="184"/>
      <c r="R316" s="184"/>
      <c r="S316" s="184"/>
      <c r="T316" s="184"/>
      <c r="U316" s="182"/>
      <c r="V316" s="805"/>
      <c r="W316" s="807"/>
      <c r="X316" s="896"/>
      <c r="Y316" s="44"/>
      <c r="Z316" s="44"/>
      <c r="AA316" s="44"/>
      <c r="AB316" s="44"/>
    </row>
    <row r="317" spans="1:28" s="45" customFormat="1" ht="15.75" customHeight="1" thickBot="1">
      <c r="A317" s="185" t="s">
        <v>106</v>
      </c>
      <c r="B317" s="886"/>
      <c r="C317" s="114"/>
      <c r="D317" s="115"/>
      <c r="E317" s="116"/>
      <c r="F317" s="117" t="s">
        <v>1098</v>
      </c>
      <c r="G317" s="118">
        <f>SUM(G269:G316)</f>
        <v>167068785.86000001</v>
      </c>
      <c r="H317" s="195"/>
      <c r="I317" s="195"/>
      <c r="J317" s="195"/>
      <c r="K317" s="195"/>
      <c r="L317" s="195"/>
      <c r="M317" s="196"/>
      <c r="N317" s="199">
        <v>3938695</v>
      </c>
      <c r="O317" s="197"/>
      <c r="P317" s="197"/>
      <c r="Q317" s="197"/>
      <c r="R317" s="197"/>
      <c r="S317" s="197"/>
      <c r="T317" s="197"/>
      <c r="U317" s="198"/>
      <c r="V317" s="805"/>
      <c r="W317" s="807"/>
      <c r="X317" s="195"/>
      <c r="Y317" s="44"/>
      <c r="Z317" s="44"/>
      <c r="AA317" s="44"/>
      <c r="AB317" s="44"/>
    </row>
    <row r="318" spans="1:28" s="45" customFormat="1" ht="15.75" thickBot="1">
      <c r="A318" s="185" t="s">
        <v>108</v>
      </c>
      <c r="B318" s="827"/>
      <c r="C318" s="887"/>
      <c r="D318" s="827"/>
      <c r="E318" s="594"/>
      <c r="F318" s="575"/>
      <c r="G318" s="792">
        <f t="shared" si="54"/>
        <v>0</v>
      </c>
      <c r="H318" s="204">
        <v>0</v>
      </c>
      <c r="I318" s="203">
        <v>100867526</v>
      </c>
      <c r="J318" s="204">
        <v>0</v>
      </c>
      <c r="K318" s="204">
        <v>0</v>
      </c>
      <c r="L318" s="204">
        <v>0</v>
      </c>
      <c r="M318" s="205"/>
      <c r="N318" s="206">
        <v>408578100</v>
      </c>
      <c r="O318" s="207"/>
      <c r="P318" s="207"/>
      <c r="Q318" s="207"/>
      <c r="R318" s="207"/>
      <c r="S318" s="207"/>
      <c r="T318" s="207"/>
      <c r="U318" s="16"/>
      <c r="V318" s="805"/>
      <c r="W318" s="807"/>
      <c r="X318" s="208"/>
      <c r="Y318" s="44"/>
      <c r="Z318" s="44"/>
      <c r="AA318" s="44"/>
      <c r="AB318" s="44"/>
    </row>
    <row r="319" spans="1:28" s="45" customFormat="1">
      <c r="A319" s="185"/>
      <c r="B319" s="937">
        <v>10</v>
      </c>
      <c r="C319" s="75" t="s">
        <v>1136</v>
      </c>
      <c r="D319" s="76"/>
      <c r="E319" s="76"/>
      <c r="F319" s="76"/>
      <c r="G319" s="126"/>
      <c r="H319" s="208"/>
      <c r="I319" s="899"/>
      <c r="J319" s="208"/>
      <c r="K319" s="208"/>
      <c r="L319" s="208"/>
      <c r="M319" s="900"/>
      <c r="N319" s="901"/>
      <c r="O319" s="207"/>
      <c r="P319" s="207"/>
      <c r="Q319" s="207"/>
      <c r="R319" s="207"/>
      <c r="S319" s="207"/>
      <c r="T319" s="207"/>
      <c r="U319" s="16"/>
      <c r="V319" s="805"/>
      <c r="W319" s="807"/>
      <c r="X319" s="208"/>
      <c r="Y319" s="44"/>
      <c r="Z319" s="44"/>
      <c r="AA319" s="44"/>
      <c r="AB319" s="44"/>
    </row>
    <row r="320" spans="1:28" s="45" customFormat="1">
      <c r="A320" s="185"/>
      <c r="B320" s="827">
        <v>10.1</v>
      </c>
      <c r="C320" s="911" t="s">
        <v>1137</v>
      </c>
      <c r="D320" s="905"/>
      <c r="E320" s="905"/>
      <c r="F320" s="905"/>
      <c r="G320" s="906"/>
      <c r="H320" s="208"/>
      <c r="I320" s="899"/>
      <c r="J320" s="208"/>
      <c r="K320" s="208"/>
      <c r="L320" s="208"/>
      <c r="M320" s="900"/>
      <c r="N320" s="901"/>
      <c r="O320" s="207"/>
      <c r="P320" s="207"/>
      <c r="Q320" s="207"/>
      <c r="R320" s="207"/>
      <c r="S320" s="207"/>
      <c r="T320" s="207"/>
      <c r="U320" s="16"/>
      <c r="V320" s="805"/>
      <c r="W320" s="807"/>
      <c r="X320" s="208"/>
      <c r="Y320" s="44"/>
      <c r="Z320" s="44"/>
      <c r="AA320" s="44"/>
      <c r="AB320" s="44"/>
    </row>
    <row r="321" spans="1:28" s="45" customFormat="1">
      <c r="A321" s="185"/>
      <c r="B321" s="827" t="s">
        <v>1142</v>
      </c>
      <c r="C321" s="903" t="s">
        <v>1115</v>
      </c>
      <c r="D321" s="914" t="s">
        <v>1138</v>
      </c>
      <c r="E321" s="930">
        <v>4</v>
      </c>
      <c r="F321" s="915">
        <v>664280</v>
      </c>
      <c r="G321" s="795">
        <f>+F321*E321</f>
        <v>2657120</v>
      </c>
      <c r="H321" s="208"/>
      <c r="I321" s="899"/>
      <c r="J321" s="208"/>
      <c r="K321" s="208"/>
      <c r="L321" s="208"/>
      <c r="M321" s="900"/>
      <c r="N321" s="901"/>
      <c r="O321" s="207"/>
      <c r="P321" s="207"/>
      <c r="Q321" s="207"/>
      <c r="R321" s="207"/>
      <c r="S321" s="207"/>
      <c r="T321" s="207"/>
      <c r="U321" s="16"/>
      <c r="V321" s="805"/>
      <c r="W321" s="807"/>
      <c r="X321" s="208"/>
      <c r="Y321" s="44"/>
      <c r="Z321" s="44"/>
      <c r="AA321" s="44"/>
      <c r="AB321" s="44"/>
    </row>
    <row r="322" spans="1:28" s="45" customFormat="1" ht="30">
      <c r="A322" s="185"/>
      <c r="B322" s="827" t="s">
        <v>1143</v>
      </c>
      <c r="C322" s="907" t="s">
        <v>1116</v>
      </c>
      <c r="D322" s="912" t="s">
        <v>1138</v>
      </c>
      <c r="E322" s="931">
        <v>8</v>
      </c>
      <c r="F322" s="922">
        <v>250000</v>
      </c>
      <c r="G322" s="795">
        <f t="shared" ref="G322:G364" si="57">+F322*E322</f>
        <v>2000000</v>
      </c>
      <c r="H322" s="208"/>
      <c r="I322" s="899"/>
      <c r="J322" s="208"/>
      <c r="K322" s="208"/>
      <c r="L322" s="208"/>
      <c r="M322" s="900"/>
      <c r="N322" s="901"/>
      <c r="O322" s="207"/>
      <c r="P322" s="207"/>
      <c r="Q322" s="207"/>
      <c r="R322" s="207"/>
      <c r="S322" s="207"/>
      <c r="T322" s="207"/>
      <c r="U322" s="16"/>
      <c r="V322" s="805"/>
      <c r="W322" s="807"/>
      <c r="X322" s="208"/>
      <c r="Y322" s="44"/>
      <c r="Z322" s="44"/>
      <c r="AA322" s="44"/>
      <c r="AB322" s="44"/>
    </row>
    <row r="323" spans="1:28" s="45" customFormat="1">
      <c r="A323" s="185"/>
      <c r="B323" s="827" t="s">
        <v>1144</v>
      </c>
      <c r="C323" s="921" t="s">
        <v>1117</v>
      </c>
      <c r="D323" s="912" t="s">
        <v>1138</v>
      </c>
      <c r="E323" s="931">
        <v>8</v>
      </c>
      <c r="F323" s="922">
        <v>45000</v>
      </c>
      <c r="G323" s="795">
        <f t="shared" si="57"/>
        <v>360000</v>
      </c>
      <c r="H323" s="208"/>
      <c r="I323" s="899"/>
      <c r="J323" s="208"/>
      <c r="K323" s="208"/>
      <c r="L323" s="208"/>
      <c r="M323" s="900"/>
      <c r="N323" s="901"/>
      <c r="O323" s="207"/>
      <c r="P323" s="207"/>
      <c r="Q323" s="207"/>
      <c r="R323" s="207"/>
      <c r="S323" s="207"/>
      <c r="T323" s="207"/>
      <c r="U323" s="16"/>
      <c r="V323" s="805"/>
      <c r="W323" s="807"/>
      <c r="X323" s="208"/>
      <c r="Y323" s="44"/>
      <c r="Z323" s="44"/>
      <c r="AA323" s="44"/>
      <c r="AB323" s="44"/>
    </row>
    <row r="324" spans="1:28" s="45" customFormat="1">
      <c r="A324" s="185"/>
      <c r="B324" s="827" t="s">
        <v>1145</v>
      </c>
      <c r="C324" s="921" t="s">
        <v>1118</v>
      </c>
      <c r="D324" s="912" t="s">
        <v>1138</v>
      </c>
      <c r="E324" s="931">
        <v>4</v>
      </c>
      <c r="F324" s="922">
        <v>40000</v>
      </c>
      <c r="G324" s="795">
        <f t="shared" si="57"/>
        <v>160000</v>
      </c>
      <c r="H324" s="208"/>
      <c r="I324" s="899"/>
      <c r="J324" s="208"/>
      <c r="K324" s="208"/>
      <c r="L324" s="208"/>
      <c r="M324" s="900"/>
      <c r="N324" s="901"/>
      <c r="O324" s="207"/>
      <c r="P324" s="207"/>
      <c r="Q324" s="207"/>
      <c r="R324" s="207"/>
      <c r="S324" s="207"/>
      <c r="T324" s="207"/>
      <c r="U324" s="16"/>
      <c r="V324" s="805"/>
      <c r="W324" s="807"/>
      <c r="X324" s="208"/>
      <c r="Y324" s="44"/>
      <c r="Z324" s="44"/>
      <c r="AA324" s="44"/>
      <c r="AB324" s="44"/>
    </row>
    <row r="325" spans="1:28" s="45" customFormat="1">
      <c r="A325" s="185"/>
      <c r="B325" s="827" t="s">
        <v>1146</v>
      </c>
      <c r="C325" s="921" t="s">
        <v>1119</v>
      </c>
      <c r="D325" s="912" t="s">
        <v>1138</v>
      </c>
      <c r="E325" s="931">
        <v>4</v>
      </c>
      <c r="F325" s="922">
        <v>8000</v>
      </c>
      <c r="G325" s="795">
        <f t="shared" si="57"/>
        <v>32000</v>
      </c>
      <c r="H325" s="208"/>
      <c r="I325" s="899"/>
      <c r="J325" s="208"/>
      <c r="K325" s="208"/>
      <c r="L325" s="208"/>
      <c r="M325" s="900"/>
      <c r="N325" s="901"/>
      <c r="O325" s="207"/>
      <c r="P325" s="207"/>
      <c r="Q325" s="207"/>
      <c r="R325" s="207"/>
      <c r="S325" s="207"/>
      <c r="T325" s="207"/>
      <c r="U325" s="16"/>
      <c r="V325" s="805"/>
      <c r="W325" s="807"/>
      <c r="X325" s="208"/>
      <c r="Y325" s="44"/>
      <c r="Z325" s="44"/>
      <c r="AA325" s="44"/>
      <c r="AB325" s="44"/>
    </row>
    <row r="326" spans="1:28" s="45" customFormat="1">
      <c r="A326" s="185"/>
      <c r="B326" s="827" t="s">
        <v>1147</v>
      </c>
      <c r="C326" s="904" t="s">
        <v>1120</v>
      </c>
      <c r="D326" s="912" t="s">
        <v>1138</v>
      </c>
      <c r="E326" s="931">
        <v>28</v>
      </c>
      <c r="F326" s="922">
        <v>500</v>
      </c>
      <c r="G326" s="795">
        <f t="shared" si="57"/>
        <v>14000</v>
      </c>
      <c r="H326" s="208"/>
      <c r="I326" s="899"/>
      <c r="J326" s="208"/>
      <c r="K326" s="208"/>
      <c r="L326" s="208"/>
      <c r="M326" s="900"/>
      <c r="N326" s="901"/>
      <c r="O326" s="207"/>
      <c r="P326" s="207"/>
      <c r="Q326" s="207"/>
      <c r="R326" s="207"/>
      <c r="S326" s="207"/>
      <c r="T326" s="207"/>
      <c r="U326" s="16"/>
      <c r="V326" s="805"/>
      <c r="W326" s="807"/>
      <c r="X326" s="208"/>
      <c r="Y326" s="44"/>
      <c r="Z326" s="44"/>
      <c r="AA326" s="44"/>
      <c r="AB326" s="44"/>
    </row>
    <row r="327" spans="1:28" s="45" customFormat="1">
      <c r="A327" s="185"/>
      <c r="B327" s="827" t="s">
        <v>1148</v>
      </c>
      <c r="C327" s="904" t="s">
        <v>1121</v>
      </c>
      <c r="D327" s="912" t="s">
        <v>1138</v>
      </c>
      <c r="E327" s="931">
        <v>16</v>
      </c>
      <c r="F327" s="922">
        <v>2000</v>
      </c>
      <c r="G327" s="795">
        <f t="shared" si="57"/>
        <v>32000</v>
      </c>
      <c r="H327" s="208"/>
      <c r="I327" s="899"/>
      <c r="J327" s="208"/>
      <c r="K327" s="208"/>
      <c r="L327" s="208"/>
      <c r="M327" s="900"/>
      <c r="N327" s="901"/>
      <c r="O327" s="207"/>
      <c r="P327" s="207"/>
      <c r="Q327" s="207"/>
      <c r="R327" s="207"/>
      <c r="S327" s="207"/>
      <c r="T327" s="207"/>
      <c r="U327" s="16"/>
      <c r="V327" s="805"/>
      <c r="W327" s="807"/>
      <c r="X327" s="208"/>
      <c r="Y327" s="44"/>
      <c r="Z327" s="44"/>
      <c r="AA327" s="44"/>
      <c r="AB327" s="44"/>
    </row>
    <row r="328" spans="1:28" s="45" customFormat="1" ht="30">
      <c r="A328" s="185"/>
      <c r="B328" s="827" t="s">
        <v>1149</v>
      </c>
      <c r="C328" s="908" t="s">
        <v>1122</v>
      </c>
      <c r="D328" s="912" t="s">
        <v>1138</v>
      </c>
      <c r="E328" s="931">
        <v>6</v>
      </c>
      <c r="F328" s="922">
        <v>4800</v>
      </c>
      <c r="G328" s="795">
        <f t="shared" si="57"/>
        <v>28800</v>
      </c>
      <c r="H328" s="208"/>
      <c r="I328" s="899"/>
      <c r="J328" s="208"/>
      <c r="K328" s="208"/>
      <c r="L328" s="208"/>
      <c r="M328" s="900"/>
      <c r="N328" s="901"/>
      <c r="O328" s="207"/>
      <c r="P328" s="207"/>
      <c r="Q328" s="207"/>
      <c r="R328" s="207"/>
      <c r="S328" s="207"/>
      <c r="T328" s="207"/>
      <c r="U328" s="16"/>
      <c r="V328" s="805"/>
      <c r="W328" s="807"/>
      <c r="X328" s="208"/>
      <c r="Y328" s="44"/>
      <c r="Z328" s="44"/>
      <c r="AA328" s="44"/>
      <c r="AB328" s="44"/>
    </row>
    <row r="329" spans="1:28" s="45" customFormat="1">
      <c r="A329" s="185"/>
      <c r="B329" s="827" t="s">
        <v>1150</v>
      </c>
      <c r="C329" s="904" t="s">
        <v>1123</v>
      </c>
      <c r="D329" s="912" t="s">
        <v>1138</v>
      </c>
      <c r="E329" s="931">
        <v>5</v>
      </c>
      <c r="F329" s="922">
        <v>15000</v>
      </c>
      <c r="G329" s="795">
        <f t="shared" si="57"/>
        <v>75000</v>
      </c>
      <c r="H329" s="208"/>
      <c r="I329" s="899"/>
      <c r="J329" s="208"/>
      <c r="K329" s="208"/>
      <c r="L329" s="208"/>
      <c r="M329" s="900"/>
      <c r="N329" s="901"/>
      <c r="O329" s="207"/>
      <c r="P329" s="207"/>
      <c r="Q329" s="207"/>
      <c r="R329" s="207"/>
      <c r="S329" s="207"/>
      <c r="T329" s="207"/>
      <c r="U329" s="16"/>
      <c r="V329" s="805"/>
      <c r="W329" s="807"/>
      <c r="X329" s="208"/>
      <c r="Y329" s="44"/>
      <c r="Z329" s="44"/>
      <c r="AA329" s="44"/>
      <c r="AB329" s="44"/>
    </row>
    <row r="330" spans="1:28" s="45" customFormat="1" ht="30">
      <c r="A330" s="185"/>
      <c r="B330" s="827" t="s">
        <v>1151</v>
      </c>
      <c r="C330" s="908" t="s">
        <v>1124</v>
      </c>
      <c r="D330" s="912" t="s">
        <v>1138</v>
      </c>
      <c r="E330" s="931">
        <v>5</v>
      </c>
      <c r="F330" s="922">
        <v>1000</v>
      </c>
      <c r="G330" s="795">
        <f t="shared" si="57"/>
        <v>5000</v>
      </c>
      <c r="H330" s="208"/>
      <c r="I330" s="899"/>
      <c r="J330" s="208"/>
      <c r="K330" s="208"/>
      <c r="L330" s="208"/>
      <c r="M330" s="900"/>
      <c r="N330" s="901"/>
      <c r="O330" s="207"/>
      <c r="P330" s="207"/>
      <c r="Q330" s="207"/>
      <c r="R330" s="207"/>
      <c r="S330" s="207"/>
      <c r="T330" s="207"/>
      <c r="U330" s="16"/>
      <c r="V330" s="805"/>
      <c r="W330" s="807"/>
      <c r="X330" s="208"/>
      <c r="Y330" s="44"/>
      <c r="Z330" s="44"/>
      <c r="AA330" s="44"/>
      <c r="AB330" s="44"/>
    </row>
    <row r="331" spans="1:28" s="45" customFormat="1">
      <c r="A331" s="185"/>
      <c r="B331" s="827" t="s">
        <v>1152</v>
      </c>
      <c r="C331" s="921" t="s">
        <v>1125</v>
      </c>
      <c r="D331" s="912" t="s">
        <v>1138</v>
      </c>
      <c r="E331" s="931">
        <v>10</v>
      </c>
      <c r="F331" s="922">
        <v>20000</v>
      </c>
      <c r="G331" s="795">
        <f t="shared" si="57"/>
        <v>200000</v>
      </c>
      <c r="H331" s="208"/>
      <c r="I331" s="899"/>
      <c r="J331" s="208"/>
      <c r="K331" s="208"/>
      <c r="L331" s="208"/>
      <c r="M331" s="900"/>
      <c r="N331" s="901"/>
      <c r="O331" s="207"/>
      <c r="P331" s="207"/>
      <c r="Q331" s="207"/>
      <c r="R331" s="207"/>
      <c r="S331" s="207"/>
      <c r="T331" s="207"/>
      <c r="U331" s="16"/>
      <c r="V331" s="805"/>
      <c r="W331" s="807"/>
      <c r="X331" s="208"/>
      <c r="Y331" s="44"/>
      <c r="Z331" s="44"/>
      <c r="AA331" s="44"/>
      <c r="AB331" s="44"/>
    </row>
    <row r="332" spans="1:28" s="45" customFormat="1">
      <c r="A332" s="185"/>
      <c r="B332" s="827" t="s">
        <v>1153</v>
      </c>
      <c r="C332" s="921" t="s">
        <v>1126</v>
      </c>
      <c r="D332" s="912" t="s">
        <v>1138</v>
      </c>
      <c r="E332" s="931">
        <v>4</v>
      </c>
      <c r="F332" s="922">
        <v>25000</v>
      </c>
      <c r="G332" s="795">
        <f t="shared" si="57"/>
        <v>100000</v>
      </c>
      <c r="H332" s="208"/>
      <c r="I332" s="899"/>
      <c r="J332" s="208"/>
      <c r="K332" s="208"/>
      <c r="L332" s="208"/>
      <c r="M332" s="900"/>
      <c r="N332" s="901"/>
      <c r="O332" s="207"/>
      <c r="P332" s="207"/>
      <c r="Q332" s="207"/>
      <c r="R332" s="207"/>
      <c r="S332" s="207"/>
      <c r="T332" s="207"/>
      <c r="U332" s="16"/>
      <c r="V332" s="805"/>
      <c r="W332" s="807"/>
      <c r="X332" s="208"/>
      <c r="Y332" s="44"/>
      <c r="Z332" s="44"/>
      <c r="AA332" s="44"/>
      <c r="AB332" s="44"/>
    </row>
    <row r="333" spans="1:28" s="45" customFormat="1">
      <c r="A333" s="185"/>
      <c r="B333" s="827" t="s">
        <v>1154</v>
      </c>
      <c r="C333" s="921" t="s">
        <v>1127</v>
      </c>
      <c r="D333" s="912" t="s">
        <v>1138</v>
      </c>
      <c r="E333" s="931">
        <v>4</v>
      </c>
      <c r="F333" s="922">
        <v>17780</v>
      </c>
      <c r="G333" s="795">
        <f t="shared" si="57"/>
        <v>71120</v>
      </c>
      <c r="H333" s="208"/>
      <c r="I333" s="899"/>
      <c r="J333" s="208"/>
      <c r="K333" s="208"/>
      <c r="L333" s="208"/>
      <c r="M333" s="900"/>
      <c r="N333" s="901"/>
      <c r="O333" s="207"/>
      <c r="P333" s="207"/>
      <c r="Q333" s="207"/>
      <c r="R333" s="207"/>
      <c r="S333" s="207"/>
      <c r="T333" s="207"/>
      <c r="U333" s="16"/>
      <c r="V333" s="805"/>
      <c r="W333" s="807"/>
      <c r="X333" s="208"/>
      <c r="Y333" s="44"/>
      <c r="Z333" s="44"/>
      <c r="AA333" s="44"/>
      <c r="AB333" s="44"/>
    </row>
    <row r="334" spans="1:28" s="45" customFormat="1">
      <c r="A334" s="185"/>
      <c r="B334" s="827" t="s">
        <v>1155</v>
      </c>
      <c r="C334" s="921" t="s">
        <v>1128</v>
      </c>
      <c r="D334" s="912" t="s">
        <v>1139</v>
      </c>
      <c r="E334" s="931">
        <v>605</v>
      </c>
      <c r="F334" s="922">
        <v>2643</v>
      </c>
      <c r="G334" s="795">
        <f t="shared" si="57"/>
        <v>1599015</v>
      </c>
      <c r="H334" s="208"/>
      <c r="I334" s="899"/>
      <c r="J334" s="208"/>
      <c r="K334" s="208"/>
      <c r="L334" s="208"/>
      <c r="M334" s="900"/>
      <c r="N334" s="901"/>
      <c r="O334" s="207"/>
      <c r="P334" s="207"/>
      <c r="Q334" s="207"/>
      <c r="R334" s="207"/>
      <c r="S334" s="207"/>
      <c r="T334" s="207"/>
      <c r="U334" s="16"/>
      <c r="V334" s="805"/>
      <c r="W334" s="807"/>
      <c r="X334" s="208"/>
      <c r="Y334" s="44"/>
      <c r="Z334" s="44"/>
      <c r="AA334" s="44"/>
      <c r="AB334" s="44"/>
    </row>
    <row r="335" spans="1:28" s="45" customFormat="1">
      <c r="A335" s="185"/>
      <c r="B335" s="827" t="s">
        <v>1156</v>
      </c>
      <c r="C335" s="921" t="s">
        <v>1129</v>
      </c>
      <c r="D335" s="912" t="s">
        <v>1138</v>
      </c>
      <c r="E335" s="931">
        <v>3</v>
      </c>
      <c r="F335" s="922">
        <v>17000</v>
      </c>
      <c r="G335" s="795">
        <f t="shared" si="57"/>
        <v>51000</v>
      </c>
      <c r="H335" s="208"/>
      <c r="I335" s="899"/>
      <c r="J335" s="208"/>
      <c r="K335" s="208"/>
      <c r="L335" s="208"/>
      <c r="M335" s="900"/>
      <c r="N335" s="901"/>
      <c r="O335" s="207"/>
      <c r="P335" s="207"/>
      <c r="Q335" s="207"/>
      <c r="R335" s="207"/>
      <c r="S335" s="207"/>
      <c r="T335" s="207"/>
      <c r="U335" s="16"/>
      <c r="V335" s="805"/>
      <c r="W335" s="807"/>
      <c r="X335" s="208"/>
      <c r="Y335" s="44"/>
      <c r="Z335" s="44"/>
      <c r="AA335" s="44"/>
      <c r="AB335" s="44"/>
    </row>
    <row r="336" spans="1:28" s="45" customFormat="1" ht="30">
      <c r="A336" s="185"/>
      <c r="B336" s="827" t="s">
        <v>1157</v>
      </c>
      <c r="C336" s="907" t="s">
        <v>1130</v>
      </c>
      <c r="D336" s="912" t="s">
        <v>1138</v>
      </c>
      <c r="E336" s="931">
        <v>12</v>
      </c>
      <c r="F336" s="922">
        <v>14500</v>
      </c>
      <c r="G336" s="795">
        <f t="shared" si="57"/>
        <v>174000</v>
      </c>
      <c r="H336" s="208"/>
      <c r="I336" s="899"/>
      <c r="J336" s="208"/>
      <c r="K336" s="208"/>
      <c r="L336" s="208"/>
      <c r="M336" s="900"/>
      <c r="N336" s="901"/>
      <c r="O336" s="207"/>
      <c r="P336" s="207"/>
      <c r="Q336" s="207"/>
      <c r="R336" s="207"/>
      <c r="S336" s="207"/>
      <c r="T336" s="207"/>
      <c r="U336" s="16"/>
      <c r="V336" s="805"/>
      <c r="W336" s="807"/>
      <c r="X336" s="208"/>
      <c r="Y336" s="44"/>
      <c r="Z336" s="44"/>
      <c r="AA336" s="44"/>
      <c r="AB336" s="44"/>
    </row>
    <row r="337" spans="1:28" s="45" customFormat="1">
      <c r="A337" s="185"/>
      <c r="B337" s="827" t="s">
        <v>1158</v>
      </c>
      <c r="C337" s="921" t="s">
        <v>1131</v>
      </c>
      <c r="D337" s="912" t="s">
        <v>1138</v>
      </c>
      <c r="E337" s="931">
        <v>3</v>
      </c>
      <c r="F337" s="922">
        <v>2000</v>
      </c>
      <c r="G337" s="795">
        <f t="shared" si="57"/>
        <v>6000</v>
      </c>
      <c r="H337" s="208"/>
      <c r="I337" s="899"/>
      <c r="J337" s="208"/>
      <c r="K337" s="208"/>
      <c r="L337" s="208"/>
      <c r="M337" s="900"/>
      <c r="N337" s="901"/>
      <c r="O337" s="207"/>
      <c r="P337" s="207"/>
      <c r="Q337" s="207"/>
      <c r="R337" s="207"/>
      <c r="S337" s="207"/>
      <c r="T337" s="207"/>
      <c r="U337" s="16"/>
      <c r="V337" s="805"/>
      <c r="W337" s="807"/>
      <c r="X337" s="208"/>
      <c r="Y337" s="44"/>
      <c r="Z337" s="44"/>
      <c r="AA337" s="44"/>
      <c r="AB337" s="44"/>
    </row>
    <row r="338" spans="1:28" s="45" customFormat="1">
      <c r="A338" s="185"/>
      <c r="B338" s="827" t="s">
        <v>1159</v>
      </c>
      <c r="C338" s="921" t="s">
        <v>1132</v>
      </c>
      <c r="D338" s="912" t="s">
        <v>1140</v>
      </c>
      <c r="E338" s="931">
        <v>5</v>
      </c>
      <c r="F338" s="922">
        <v>4500</v>
      </c>
      <c r="G338" s="795">
        <f t="shared" si="57"/>
        <v>22500</v>
      </c>
      <c r="H338" s="208"/>
      <c r="I338" s="899"/>
      <c r="J338" s="208"/>
      <c r="K338" s="208"/>
      <c r="L338" s="208"/>
      <c r="M338" s="900"/>
      <c r="N338" s="901"/>
      <c r="O338" s="207"/>
      <c r="P338" s="207"/>
      <c r="Q338" s="207"/>
      <c r="R338" s="207"/>
      <c r="S338" s="207"/>
      <c r="T338" s="207"/>
      <c r="U338" s="16"/>
      <c r="V338" s="805"/>
      <c r="W338" s="807"/>
      <c r="X338" s="208"/>
      <c r="Y338" s="44"/>
      <c r="Z338" s="44"/>
      <c r="AA338" s="44"/>
      <c r="AB338" s="44"/>
    </row>
    <row r="339" spans="1:28" s="45" customFormat="1">
      <c r="A339" s="185"/>
      <c r="B339" s="827" t="s">
        <v>1160</v>
      </c>
      <c r="C339" s="921" t="s">
        <v>1133</v>
      </c>
      <c r="D339" s="912" t="s">
        <v>1138</v>
      </c>
      <c r="E339" s="931">
        <v>3</v>
      </c>
      <c r="F339" s="922">
        <v>35000</v>
      </c>
      <c r="G339" s="795">
        <f t="shared" si="57"/>
        <v>105000</v>
      </c>
      <c r="H339" s="208"/>
      <c r="I339" s="899"/>
      <c r="J339" s="208"/>
      <c r="K339" s="208"/>
      <c r="L339" s="208"/>
      <c r="M339" s="900"/>
      <c r="N339" s="901"/>
      <c r="O339" s="207"/>
      <c r="P339" s="207"/>
      <c r="Q339" s="207"/>
      <c r="R339" s="207"/>
      <c r="S339" s="207"/>
      <c r="T339" s="207"/>
      <c r="U339" s="16"/>
      <c r="V339" s="805"/>
      <c r="W339" s="807"/>
      <c r="X339" s="208"/>
      <c r="Y339" s="44"/>
      <c r="Z339" s="44"/>
      <c r="AA339" s="44"/>
      <c r="AB339" s="44"/>
    </row>
    <row r="340" spans="1:28" s="45" customFormat="1">
      <c r="A340" s="185"/>
      <c r="B340" s="827" t="s">
        <v>1161</v>
      </c>
      <c r="C340" s="921" t="s">
        <v>1134</v>
      </c>
      <c r="D340" s="912" t="s">
        <v>1138</v>
      </c>
      <c r="E340" s="931">
        <v>3</v>
      </c>
      <c r="F340" s="922">
        <v>20000</v>
      </c>
      <c r="G340" s="795">
        <f t="shared" si="57"/>
        <v>60000</v>
      </c>
      <c r="H340" s="208"/>
      <c r="I340" s="899"/>
      <c r="J340" s="208"/>
      <c r="K340" s="208"/>
      <c r="L340" s="208"/>
      <c r="M340" s="900"/>
      <c r="N340" s="901"/>
      <c r="O340" s="207"/>
      <c r="P340" s="207"/>
      <c r="Q340" s="207"/>
      <c r="R340" s="207"/>
      <c r="S340" s="207"/>
      <c r="T340" s="207"/>
      <c r="U340" s="16"/>
      <c r="V340" s="805"/>
      <c r="W340" s="807"/>
      <c r="X340" s="208"/>
      <c r="Y340" s="44"/>
      <c r="Z340" s="44"/>
      <c r="AA340" s="44"/>
      <c r="AB340" s="44"/>
    </row>
    <row r="341" spans="1:28" s="45" customFormat="1" ht="30">
      <c r="A341" s="185"/>
      <c r="B341" s="827" t="s">
        <v>1162</v>
      </c>
      <c r="C341" s="907" t="s">
        <v>1135</v>
      </c>
      <c r="D341" s="912" t="s">
        <v>1141</v>
      </c>
      <c r="E341" s="931">
        <v>45</v>
      </c>
      <c r="F341" s="922">
        <v>4833</v>
      </c>
      <c r="G341" s="795">
        <f t="shared" si="57"/>
        <v>217485</v>
      </c>
      <c r="H341" s="208"/>
      <c r="I341" s="899"/>
      <c r="J341" s="208"/>
      <c r="K341" s="208"/>
      <c r="L341" s="208"/>
      <c r="M341" s="900"/>
      <c r="N341" s="901"/>
      <c r="O341" s="207"/>
      <c r="P341" s="207"/>
      <c r="Q341" s="207"/>
      <c r="R341" s="207"/>
      <c r="S341" s="207"/>
      <c r="T341" s="207"/>
      <c r="U341" s="16"/>
      <c r="V341" s="805"/>
      <c r="W341" s="807"/>
      <c r="X341" s="208"/>
      <c r="Y341" s="44"/>
      <c r="Z341" s="44"/>
      <c r="AA341" s="44"/>
      <c r="AB341" s="44"/>
    </row>
    <row r="342" spans="1:28" s="45" customFormat="1">
      <c r="A342" s="185"/>
      <c r="B342" s="827">
        <v>10.199999999999999</v>
      </c>
      <c r="C342" s="917" t="s">
        <v>1178</v>
      </c>
      <c r="D342" s="827"/>
      <c r="E342" s="594"/>
      <c r="F342" s="575"/>
      <c r="G342" s="792"/>
      <c r="H342" s="208"/>
      <c r="I342" s="899"/>
      <c r="J342" s="208"/>
      <c r="K342" s="208"/>
      <c r="L342" s="208"/>
      <c r="M342" s="900"/>
      <c r="N342" s="901"/>
      <c r="O342" s="207"/>
      <c r="P342" s="207"/>
      <c r="Q342" s="207"/>
      <c r="R342" s="207"/>
      <c r="S342" s="207"/>
      <c r="T342" s="207"/>
      <c r="U342" s="16"/>
      <c r="V342" s="805"/>
      <c r="W342" s="807"/>
      <c r="X342" s="208"/>
      <c r="Y342" s="44"/>
      <c r="Z342" s="44"/>
      <c r="AA342" s="44"/>
      <c r="AB342" s="44"/>
    </row>
    <row r="343" spans="1:28" s="45" customFormat="1">
      <c r="A343" s="185"/>
      <c r="B343" s="827" t="s">
        <v>1179</v>
      </c>
      <c r="C343" s="921" t="s">
        <v>1163</v>
      </c>
      <c r="D343" s="921" t="s">
        <v>1207</v>
      </c>
      <c r="E343" s="921">
        <v>1</v>
      </c>
      <c r="F343" s="922">
        <v>160000</v>
      </c>
      <c r="G343" s="795">
        <f t="shared" si="57"/>
        <v>160000</v>
      </c>
      <c r="H343" s="208"/>
      <c r="I343" s="899"/>
      <c r="J343" s="208"/>
      <c r="K343" s="208"/>
      <c r="L343" s="208"/>
      <c r="M343" s="900"/>
      <c r="N343" s="901"/>
      <c r="O343" s="207"/>
      <c r="P343" s="207"/>
      <c r="Q343" s="207"/>
      <c r="R343" s="207"/>
      <c r="S343" s="207"/>
      <c r="T343" s="207"/>
      <c r="U343" s="16"/>
      <c r="V343" s="805"/>
      <c r="W343" s="807"/>
      <c r="X343" s="208"/>
      <c r="Y343" s="44"/>
      <c r="Z343" s="44"/>
      <c r="AA343" s="44"/>
      <c r="AB343" s="44"/>
    </row>
    <row r="344" spans="1:28" s="45" customFormat="1">
      <c r="A344" s="185"/>
      <c r="B344" s="827" t="s">
        <v>1180</v>
      </c>
      <c r="C344" s="921" t="s">
        <v>1164</v>
      </c>
      <c r="D344" s="921" t="s">
        <v>1207</v>
      </c>
      <c r="E344" s="921">
        <v>2</v>
      </c>
      <c r="F344" s="922">
        <v>115000</v>
      </c>
      <c r="G344" s="795">
        <f t="shared" si="57"/>
        <v>230000</v>
      </c>
      <c r="H344" s="208"/>
      <c r="I344" s="899"/>
      <c r="J344" s="208"/>
      <c r="K344" s="208"/>
      <c r="L344" s="208"/>
      <c r="M344" s="900"/>
      <c r="N344" s="901"/>
      <c r="O344" s="207"/>
      <c r="P344" s="207"/>
      <c r="Q344" s="207"/>
      <c r="R344" s="207"/>
      <c r="S344" s="207"/>
      <c r="T344" s="207"/>
      <c r="U344" s="16"/>
      <c r="V344" s="805"/>
      <c r="W344" s="807"/>
      <c r="X344" s="208"/>
      <c r="Y344" s="44"/>
      <c r="Z344" s="44"/>
      <c r="AA344" s="44"/>
      <c r="AB344" s="44"/>
    </row>
    <row r="345" spans="1:28" s="45" customFormat="1">
      <c r="A345" s="185"/>
      <c r="B345" s="827" t="s">
        <v>1181</v>
      </c>
      <c r="C345" s="921" t="s">
        <v>1165</v>
      </c>
      <c r="D345" s="921" t="s">
        <v>1207</v>
      </c>
      <c r="E345" s="921">
        <v>2</v>
      </c>
      <c r="F345" s="922">
        <v>213620</v>
      </c>
      <c r="G345" s="795">
        <f t="shared" si="57"/>
        <v>427240</v>
      </c>
      <c r="H345" s="208"/>
      <c r="I345" s="899"/>
      <c r="J345" s="208"/>
      <c r="K345" s="208"/>
      <c r="L345" s="208"/>
      <c r="M345" s="900"/>
      <c r="N345" s="901"/>
      <c r="O345" s="207"/>
      <c r="P345" s="207"/>
      <c r="Q345" s="207"/>
      <c r="R345" s="207"/>
      <c r="S345" s="207"/>
      <c r="T345" s="207"/>
      <c r="U345" s="16"/>
      <c r="V345" s="805"/>
      <c r="W345" s="807"/>
      <c r="X345" s="208"/>
      <c r="Y345" s="44"/>
      <c r="Z345" s="44"/>
      <c r="AA345" s="44"/>
      <c r="AB345" s="44"/>
    </row>
    <row r="346" spans="1:28" s="45" customFormat="1">
      <c r="A346" s="185"/>
      <c r="B346" s="827" t="s">
        <v>1182</v>
      </c>
      <c r="C346" s="921" t="s">
        <v>1166</v>
      </c>
      <c r="D346" s="921" t="s">
        <v>1207</v>
      </c>
      <c r="E346" s="921">
        <v>2</v>
      </c>
      <c r="F346" s="922">
        <v>15200</v>
      </c>
      <c r="G346" s="795">
        <f t="shared" si="57"/>
        <v>30400</v>
      </c>
      <c r="H346" s="208"/>
      <c r="I346" s="899"/>
      <c r="J346" s="208"/>
      <c r="K346" s="208"/>
      <c r="L346" s="208"/>
      <c r="M346" s="900"/>
      <c r="N346" s="901"/>
      <c r="O346" s="207"/>
      <c r="P346" s="207"/>
      <c r="Q346" s="207"/>
      <c r="R346" s="207"/>
      <c r="S346" s="207"/>
      <c r="T346" s="207"/>
      <c r="U346" s="16"/>
      <c r="V346" s="805"/>
      <c r="W346" s="807"/>
      <c r="X346" s="208"/>
      <c r="Y346" s="44"/>
      <c r="Z346" s="44"/>
      <c r="AA346" s="44"/>
      <c r="AB346" s="44"/>
    </row>
    <row r="347" spans="1:28" s="45" customFormat="1">
      <c r="A347" s="185"/>
      <c r="B347" s="827" t="s">
        <v>1183</v>
      </c>
      <c r="C347" s="921" t="s">
        <v>1167</v>
      </c>
      <c r="D347" s="921" t="s">
        <v>1207</v>
      </c>
      <c r="E347" s="921">
        <v>2</v>
      </c>
      <c r="F347" s="922">
        <v>16500</v>
      </c>
      <c r="G347" s="795">
        <f t="shared" si="57"/>
        <v>33000</v>
      </c>
      <c r="H347" s="208"/>
      <c r="I347" s="899"/>
      <c r="J347" s="208"/>
      <c r="K347" s="208"/>
      <c r="L347" s="208"/>
      <c r="M347" s="900"/>
      <c r="N347" s="901"/>
      <c r="O347" s="207"/>
      <c r="P347" s="207"/>
      <c r="Q347" s="207"/>
      <c r="R347" s="207"/>
      <c r="S347" s="207"/>
      <c r="T347" s="207"/>
      <c r="U347" s="16"/>
      <c r="V347" s="805"/>
      <c r="W347" s="807"/>
      <c r="X347" s="208"/>
      <c r="Y347" s="44"/>
      <c r="Z347" s="44"/>
      <c r="AA347" s="44"/>
      <c r="AB347" s="44"/>
    </row>
    <row r="348" spans="1:28" s="45" customFormat="1">
      <c r="A348" s="185"/>
      <c r="B348" s="827" t="s">
        <v>1184</v>
      </c>
      <c r="C348" s="921" t="s">
        <v>1168</v>
      </c>
      <c r="D348" s="921" t="s">
        <v>1207</v>
      </c>
      <c r="E348" s="921">
        <v>2</v>
      </c>
      <c r="F348" s="922">
        <v>22000</v>
      </c>
      <c r="G348" s="795">
        <f t="shared" si="57"/>
        <v>44000</v>
      </c>
      <c r="H348" s="208"/>
      <c r="I348" s="899"/>
      <c r="J348" s="208"/>
      <c r="K348" s="208"/>
      <c r="L348" s="208"/>
      <c r="M348" s="900"/>
      <c r="N348" s="901"/>
      <c r="O348" s="207"/>
      <c r="P348" s="207"/>
      <c r="Q348" s="207"/>
      <c r="R348" s="207"/>
      <c r="S348" s="207"/>
      <c r="T348" s="207"/>
      <c r="U348" s="16"/>
      <c r="V348" s="805"/>
      <c r="W348" s="807"/>
      <c r="X348" s="208"/>
      <c r="Y348" s="44"/>
      <c r="Z348" s="44"/>
      <c r="AA348" s="44"/>
      <c r="AB348" s="44"/>
    </row>
    <row r="349" spans="1:28" s="45" customFormat="1">
      <c r="A349" s="185"/>
      <c r="B349" s="827" t="s">
        <v>1185</v>
      </c>
      <c r="C349" s="921" t="s">
        <v>1169</v>
      </c>
      <c r="D349" s="921" t="s">
        <v>1207</v>
      </c>
      <c r="E349" s="921">
        <v>5</v>
      </c>
      <c r="F349" s="922">
        <v>500</v>
      </c>
      <c r="G349" s="795">
        <f t="shared" si="57"/>
        <v>2500</v>
      </c>
      <c r="H349" s="208"/>
      <c r="I349" s="899"/>
      <c r="J349" s="208"/>
      <c r="K349" s="208"/>
      <c r="L349" s="208"/>
      <c r="M349" s="900"/>
      <c r="N349" s="901"/>
      <c r="O349" s="207"/>
      <c r="P349" s="207"/>
      <c r="Q349" s="207"/>
      <c r="R349" s="207"/>
      <c r="S349" s="207"/>
      <c r="T349" s="207"/>
      <c r="U349" s="16"/>
      <c r="V349" s="805"/>
      <c r="W349" s="807"/>
      <c r="X349" s="208"/>
      <c r="Y349" s="44"/>
      <c r="Z349" s="44"/>
      <c r="AA349" s="44"/>
      <c r="AB349" s="44"/>
    </row>
    <row r="350" spans="1:28" s="45" customFormat="1">
      <c r="A350" s="185"/>
      <c r="B350" s="827" t="s">
        <v>1186</v>
      </c>
      <c r="C350" s="921" t="s">
        <v>1170</v>
      </c>
      <c r="D350" s="921" t="s">
        <v>1207</v>
      </c>
      <c r="E350" s="921">
        <v>2</v>
      </c>
      <c r="F350" s="922">
        <v>2500</v>
      </c>
      <c r="G350" s="795">
        <f t="shared" si="57"/>
        <v>5000</v>
      </c>
      <c r="H350" s="208"/>
      <c r="I350" s="899"/>
      <c r="J350" s="208"/>
      <c r="K350" s="208"/>
      <c r="L350" s="208"/>
      <c r="M350" s="900"/>
      <c r="N350" s="901"/>
      <c r="O350" s="207"/>
      <c r="P350" s="207"/>
      <c r="Q350" s="207"/>
      <c r="R350" s="207"/>
      <c r="S350" s="207"/>
      <c r="T350" s="207"/>
      <c r="U350" s="16"/>
      <c r="V350" s="805"/>
      <c r="W350" s="807"/>
      <c r="X350" s="208"/>
      <c r="Y350" s="44"/>
      <c r="Z350" s="44"/>
      <c r="AA350" s="44"/>
      <c r="AB350" s="44"/>
    </row>
    <row r="351" spans="1:28" s="45" customFormat="1">
      <c r="A351" s="185"/>
      <c r="B351" s="827" t="s">
        <v>1187</v>
      </c>
      <c r="C351" s="921" t="s">
        <v>1171</v>
      </c>
      <c r="D351" s="921" t="s">
        <v>1208</v>
      </c>
      <c r="E351" s="921">
        <v>5</v>
      </c>
      <c r="F351" s="922">
        <v>6000</v>
      </c>
      <c r="G351" s="795">
        <f t="shared" si="57"/>
        <v>30000</v>
      </c>
      <c r="H351" s="208"/>
      <c r="I351" s="899"/>
      <c r="J351" s="208"/>
      <c r="K351" s="208"/>
      <c r="L351" s="208"/>
      <c r="M351" s="900"/>
      <c r="N351" s="901"/>
      <c r="O351" s="207"/>
      <c r="P351" s="207"/>
      <c r="Q351" s="207"/>
      <c r="R351" s="207"/>
      <c r="S351" s="207"/>
      <c r="T351" s="207"/>
      <c r="U351" s="16"/>
      <c r="V351" s="805"/>
      <c r="W351" s="807"/>
      <c r="X351" s="208"/>
      <c r="Y351" s="44"/>
      <c r="Z351" s="44"/>
      <c r="AA351" s="44"/>
      <c r="AB351" s="44"/>
    </row>
    <row r="352" spans="1:28" s="45" customFormat="1">
      <c r="A352" s="185"/>
      <c r="B352" s="827" t="s">
        <v>1188</v>
      </c>
      <c r="C352" s="921" t="s">
        <v>1172</v>
      </c>
      <c r="D352" s="921" t="s">
        <v>1207</v>
      </c>
      <c r="E352" s="921">
        <v>2</v>
      </c>
      <c r="F352" s="922">
        <v>2000</v>
      </c>
      <c r="G352" s="795">
        <f t="shared" si="57"/>
        <v>4000</v>
      </c>
      <c r="H352" s="208"/>
      <c r="I352" s="899"/>
      <c r="J352" s="208"/>
      <c r="K352" s="208"/>
      <c r="L352" s="208"/>
      <c r="M352" s="900"/>
      <c r="N352" s="901"/>
      <c r="O352" s="207"/>
      <c r="P352" s="207"/>
      <c r="Q352" s="207"/>
      <c r="R352" s="207"/>
      <c r="S352" s="207"/>
      <c r="T352" s="207"/>
      <c r="U352" s="16"/>
      <c r="V352" s="805"/>
      <c r="W352" s="807"/>
      <c r="X352" s="208"/>
      <c r="Y352" s="44"/>
      <c r="Z352" s="44"/>
      <c r="AA352" s="44"/>
      <c r="AB352" s="44"/>
    </row>
    <row r="353" spans="1:28" s="45" customFormat="1">
      <c r="A353" s="185"/>
      <c r="B353" s="827" t="s">
        <v>1189</v>
      </c>
      <c r="C353" s="921" t="s">
        <v>1173</v>
      </c>
      <c r="D353" s="921" t="s">
        <v>1207</v>
      </c>
      <c r="E353" s="921">
        <v>2</v>
      </c>
      <c r="F353" s="922">
        <v>15000</v>
      </c>
      <c r="G353" s="795">
        <f t="shared" si="57"/>
        <v>30000</v>
      </c>
      <c r="H353" s="208"/>
      <c r="I353" s="899"/>
      <c r="J353" s="208"/>
      <c r="K353" s="208"/>
      <c r="L353" s="208"/>
      <c r="M353" s="900"/>
      <c r="N353" s="901"/>
      <c r="O353" s="207"/>
      <c r="P353" s="207"/>
      <c r="Q353" s="207"/>
      <c r="R353" s="207"/>
      <c r="S353" s="207"/>
      <c r="T353" s="207"/>
      <c r="U353" s="16"/>
      <c r="V353" s="805"/>
      <c r="W353" s="807"/>
      <c r="X353" s="208"/>
      <c r="Y353" s="44"/>
      <c r="Z353" s="44"/>
      <c r="AA353" s="44"/>
      <c r="AB353" s="44"/>
    </row>
    <row r="354" spans="1:28" s="45" customFormat="1">
      <c r="A354" s="185"/>
      <c r="B354" s="827" t="s">
        <v>1190</v>
      </c>
      <c r="C354" s="921" t="s">
        <v>1174</v>
      </c>
      <c r="D354" s="921" t="s">
        <v>1207</v>
      </c>
      <c r="E354" s="921">
        <v>2</v>
      </c>
      <c r="F354" s="922">
        <v>17780</v>
      </c>
      <c r="G354" s="795">
        <f t="shared" si="57"/>
        <v>35560</v>
      </c>
      <c r="H354" s="208"/>
      <c r="I354" s="899"/>
      <c r="J354" s="208"/>
      <c r="K354" s="208"/>
      <c r="L354" s="208"/>
      <c r="M354" s="900"/>
      <c r="N354" s="901"/>
      <c r="O354" s="207"/>
      <c r="P354" s="207"/>
      <c r="Q354" s="207"/>
      <c r="R354" s="207"/>
      <c r="S354" s="207"/>
      <c r="T354" s="207"/>
      <c r="U354" s="16"/>
      <c r="V354" s="805"/>
      <c r="W354" s="807"/>
      <c r="X354" s="208"/>
      <c r="Y354" s="44"/>
      <c r="Z354" s="44"/>
      <c r="AA354" s="44"/>
      <c r="AB354" s="44"/>
    </row>
    <row r="355" spans="1:28" s="45" customFormat="1">
      <c r="A355" s="185"/>
      <c r="B355" s="827" t="s">
        <v>1191</v>
      </c>
      <c r="C355" s="921" t="s">
        <v>1175</v>
      </c>
      <c r="D355" s="921" t="s">
        <v>1208</v>
      </c>
      <c r="E355" s="921">
        <v>8</v>
      </c>
      <c r="F355" s="922">
        <v>2400</v>
      </c>
      <c r="G355" s="795">
        <f t="shared" si="57"/>
        <v>19200</v>
      </c>
      <c r="H355" s="208"/>
      <c r="I355" s="899"/>
      <c r="J355" s="208"/>
      <c r="K355" s="208"/>
      <c r="L355" s="208"/>
      <c r="M355" s="900"/>
      <c r="N355" s="901"/>
      <c r="O355" s="207"/>
      <c r="P355" s="207"/>
      <c r="Q355" s="207"/>
      <c r="R355" s="207"/>
      <c r="S355" s="207"/>
      <c r="T355" s="207"/>
      <c r="U355" s="16"/>
      <c r="V355" s="805"/>
      <c r="W355" s="807"/>
      <c r="X355" s="208"/>
      <c r="Y355" s="44"/>
      <c r="Z355" s="44"/>
      <c r="AA355" s="44"/>
      <c r="AB355" s="44"/>
    </row>
    <row r="356" spans="1:28" s="45" customFormat="1">
      <c r="A356" s="185"/>
      <c r="B356" s="827" t="s">
        <v>1192</v>
      </c>
      <c r="C356" s="921" t="s">
        <v>1176</v>
      </c>
      <c r="D356" s="921" t="s">
        <v>1207</v>
      </c>
      <c r="E356" s="921">
        <v>2</v>
      </c>
      <c r="F356" s="922">
        <v>19500</v>
      </c>
      <c r="G356" s="795">
        <f t="shared" si="57"/>
        <v>39000</v>
      </c>
      <c r="H356" s="208"/>
      <c r="I356" s="899"/>
      <c r="J356" s="208"/>
      <c r="K356" s="208"/>
      <c r="L356" s="208"/>
      <c r="M356" s="900"/>
      <c r="N356" s="901"/>
      <c r="O356" s="207"/>
      <c r="P356" s="207"/>
      <c r="Q356" s="207"/>
      <c r="R356" s="207"/>
      <c r="S356" s="207"/>
      <c r="T356" s="207"/>
      <c r="U356" s="16"/>
      <c r="V356" s="805"/>
      <c r="W356" s="807"/>
      <c r="X356" s="208"/>
      <c r="Y356" s="44"/>
      <c r="Z356" s="44"/>
      <c r="AA356" s="44"/>
      <c r="AB356" s="44"/>
    </row>
    <row r="357" spans="1:28" s="45" customFormat="1">
      <c r="A357" s="185"/>
      <c r="B357" s="827" t="s">
        <v>1193</v>
      </c>
      <c r="C357" s="921" t="s">
        <v>1177</v>
      </c>
      <c r="D357" s="921" t="s">
        <v>1207</v>
      </c>
      <c r="E357" s="921">
        <v>1</v>
      </c>
      <c r="F357" s="922">
        <v>3841910</v>
      </c>
      <c r="G357" s="795">
        <f t="shared" si="57"/>
        <v>3841910</v>
      </c>
      <c r="H357" s="208"/>
      <c r="I357" s="899"/>
      <c r="J357" s="208"/>
      <c r="K357" s="208"/>
      <c r="L357" s="208"/>
      <c r="M357" s="900"/>
      <c r="N357" s="901"/>
      <c r="O357" s="207"/>
      <c r="P357" s="207"/>
      <c r="Q357" s="207"/>
      <c r="R357" s="207"/>
      <c r="S357" s="207"/>
      <c r="T357" s="207"/>
      <c r="U357" s="16"/>
      <c r="V357" s="805"/>
      <c r="W357" s="807"/>
      <c r="X357" s="208"/>
      <c r="Y357" s="44"/>
      <c r="Z357" s="44"/>
      <c r="AA357" s="44"/>
      <c r="AB357" s="44"/>
    </row>
    <row r="358" spans="1:28" s="45" customFormat="1" ht="30">
      <c r="A358" s="185"/>
      <c r="B358" s="827">
        <v>10.3</v>
      </c>
      <c r="C358" s="909" t="s">
        <v>1194</v>
      </c>
      <c r="D358" s="827"/>
      <c r="E358" s="594"/>
      <c r="F358" s="575"/>
      <c r="G358" s="795">
        <f t="shared" si="57"/>
        <v>0</v>
      </c>
      <c r="H358" s="208"/>
      <c r="I358" s="899"/>
      <c r="J358" s="208"/>
      <c r="K358" s="208"/>
      <c r="L358" s="208"/>
      <c r="M358" s="900"/>
      <c r="N358" s="901"/>
      <c r="O358" s="207"/>
      <c r="P358" s="207"/>
      <c r="Q358" s="207"/>
      <c r="R358" s="207"/>
      <c r="S358" s="207"/>
      <c r="T358" s="207"/>
      <c r="U358" s="16"/>
      <c r="V358" s="805"/>
      <c r="W358" s="807"/>
      <c r="X358" s="208"/>
      <c r="Y358" s="44"/>
      <c r="Z358" s="44"/>
      <c r="AA358" s="44"/>
      <c r="AB358" s="44"/>
    </row>
    <row r="359" spans="1:28" s="45" customFormat="1">
      <c r="A359" s="185"/>
      <c r="B359" s="827" t="s">
        <v>1201</v>
      </c>
      <c r="C359" s="921" t="s">
        <v>1195</v>
      </c>
      <c r="D359" s="921" t="s">
        <v>1208</v>
      </c>
      <c r="E359" s="921">
        <v>12</v>
      </c>
      <c r="F359" s="922">
        <v>4500</v>
      </c>
      <c r="G359" s="795">
        <f t="shared" si="57"/>
        <v>54000</v>
      </c>
      <c r="H359" s="208"/>
      <c r="I359" s="899"/>
      <c r="J359" s="208"/>
      <c r="K359" s="208"/>
      <c r="L359" s="208"/>
      <c r="M359" s="900"/>
      <c r="N359" s="901"/>
      <c r="O359" s="207"/>
      <c r="P359" s="207"/>
      <c r="Q359" s="207"/>
      <c r="R359" s="207"/>
      <c r="S359" s="207"/>
      <c r="T359" s="207"/>
      <c r="U359" s="16"/>
      <c r="V359" s="805"/>
      <c r="W359" s="807"/>
      <c r="X359" s="208"/>
      <c r="Y359" s="44"/>
      <c r="Z359" s="44"/>
      <c r="AA359" s="44"/>
      <c r="AB359" s="44"/>
    </row>
    <row r="360" spans="1:28" s="45" customFormat="1">
      <c r="A360" s="185"/>
      <c r="B360" s="827" t="s">
        <v>1202</v>
      </c>
      <c r="C360" s="921" t="s">
        <v>1196</v>
      </c>
      <c r="D360" s="921" t="s">
        <v>1207</v>
      </c>
      <c r="E360" s="921">
        <v>3</v>
      </c>
      <c r="F360" s="922">
        <v>1000</v>
      </c>
      <c r="G360" s="795">
        <f t="shared" si="57"/>
        <v>3000</v>
      </c>
      <c r="H360" s="208"/>
      <c r="I360" s="899"/>
      <c r="J360" s="208"/>
      <c r="K360" s="208"/>
      <c r="L360" s="208"/>
      <c r="M360" s="900"/>
      <c r="N360" s="901"/>
      <c r="O360" s="207"/>
      <c r="P360" s="207"/>
      <c r="Q360" s="207"/>
      <c r="R360" s="207"/>
      <c r="S360" s="207"/>
      <c r="T360" s="207"/>
      <c r="U360" s="16"/>
      <c r="V360" s="805"/>
      <c r="W360" s="807"/>
      <c r="X360" s="208"/>
      <c r="Y360" s="44"/>
      <c r="Z360" s="44"/>
      <c r="AA360" s="44"/>
      <c r="AB360" s="44"/>
    </row>
    <row r="361" spans="1:28" s="45" customFormat="1">
      <c r="A361" s="185"/>
      <c r="B361" s="827" t="s">
        <v>1203</v>
      </c>
      <c r="C361" s="921" t="s">
        <v>1197</v>
      </c>
      <c r="D361" s="921" t="s">
        <v>1208</v>
      </c>
      <c r="E361" s="921">
        <v>5</v>
      </c>
      <c r="F361" s="922">
        <v>5000</v>
      </c>
      <c r="G361" s="795">
        <f t="shared" si="57"/>
        <v>25000</v>
      </c>
      <c r="H361" s="208"/>
      <c r="I361" s="899"/>
      <c r="J361" s="208"/>
      <c r="K361" s="208"/>
      <c r="L361" s="208"/>
      <c r="M361" s="900"/>
      <c r="N361" s="901"/>
      <c r="O361" s="207"/>
      <c r="P361" s="207"/>
      <c r="Q361" s="207"/>
      <c r="R361" s="207"/>
      <c r="S361" s="207"/>
      <c r="T361" s="207"/>
      <c r="U361" s="16"/>
      <c r="V361" s="805"/>
      <c r="W361" s="807"/>
      <c r="X361" s="208"/>
      <c r="Y361" s="44"/>
      <c r="Z361" s="44"/>
      <c r="AA361" s="44"/>
      <c r="AB361" s="44"/>
    </row>
    <row r="362" spans="1:28" s="45" customFormat="1">
      <c r="A362" s="185"/>
      <c r="B362" s="827" t="s">
        <v>1204</v>
      </c>
      <c r="C362" s="921" t="s">
        <v>1198</v>
      </c>
      <c r="D362" s="921" t="s">
        <v>1207</v>
      </c>
      <c r="E362" s="921">
        <v>1</v>
      </c>
      <c r="F362" s="922">
        <v>60000</v>
      </c>
      <c r="G362" s="795">
        <f t="shared" si="57"/>
        <v>60000</v>
      </c>
      <c r="H362" s="208"/>
      <c r="I362" s="899"/>
      <c r="J362" s="208"/>
      <c r="K362" s="208"/>
      <c r="L362" s="208"/>
      <c r="M362" s="900"/>
      <c r="N362" s="901"/>
      <c r="O362" s="207"/>
      <c r="P362" s="207"/>
      <c r="Q362" s="207"/>
      <c r="R362" s="207"/>
      <c r="S362" s="207"/>
      <c r="T362" s="207"/>
      <c r="U362" s="16"/>
      <c r="V362" s="805"/>
      <c r="W362" s="807"/>
      <c r="X362" s="208"/>
      <c r="Y362" s="44"/>
      <c r="Z362" s="44"/>
      <c r="AA362" s="44"/>
      <c r="AB362" s="44"/>
    </row>
    <row r="363" spans="1:28" s="45" customFormat="1">
      <c r="A363" s="185"/>
      <c r="B363" s="827" t="s">
        <v>1205</v>
      </c>
      <c r="C363" s="921" t="s">
        <v>1199</v>
      </c>
      <c r="D363" s="921" t="s">
        <v>1207</v>
      </c>
      <c r="E363" s="921">
        <v>1</v>
      </c>
      <c r="F363" s="922">
        <v>20000</v>
      </c>
      <c r="G363" s="795">
        <f t="shared" si="57"/>
        <v>20000</v>
      </c>
      <c r="H363" s="208"/>
      <c r="I363" s="899"/>
      <c r="J363" s="208"/>
      <c r="K363" s="208"/>
      <c r="L363" s="208"/>
      <c r="M363" s="900"/>
      <c r="N363" s="901"/>
      <c r="O363" s="207"/>
      <c r="P363" s="207"/>
      <c r="Q363" s="207"/>
      <c r="R363" s="207"/>
      <c r="S363" s="207"/>
      <c r="T363" s="207"/>
      <c r="U363" s="16"/>
      <c r="V363" s="805"/>
      <c r="W363" s="807"/>
      <c r="X363" s="208"/>
      <c r="Y363" s="44"/>
      <c r="Z363" s="44"/>
      <c r="AA363" s="44"/>
      <c r="AB363" s="44"/>
    </row>
    <row r="364" spans="1:28" s="45" customFormat="1">
      <c r="A364" s="185"/>
      <c r="B364" s="827" t="s">
        <v>1206</v>
      </c>
      <c r="C364" s="921" t="s">
        <v>1200</v>
      </c>
      <c r="D364" s="921" t="s">
        <v>1207</v>
      </c>
      <c r="E364" s="921">
        <v>1</v>
      </c>
      <c r="F364" s="922">
        <v>20000</v>
      </c>
      <c r="G364" s="795">
        <f t="shared" si="57"/>
        <v>20000</v>
      </c>
      <c r="H364" s="208"/>
      <c r="I364" s="899"/>
      <c r="J364" s="208"/>
      <c r="K364" s="208"/>
      <c r="L364" s="208"/>
      <c r="M364" s="900"/>
      <c r="N364" s="901"/>
      <c r="O364" s="207"/>
      <c r="P364" s="207"/>
      <c r="Q364" s="207"/>
      <c r="R364" s="207"/>
      <c r="S364" s="207"/>
      <c r="T364" s="207"/>
      <c r="U364" s="16"/>
      <c r="V364" s="805"/>
      <c r="W364" s="807"/>
      <c r="X364" s="208"/>
      <c r="Y364" s="44"/>
      <c r="Z364" s="44"/>
      <c r="AA364" s="44"/>
      <c r="AB364" s="44"/>
    </row>
    <row r="365" spans="1:28" s="45" customFormat="1" ht="15.75">
      <c r="A365" s="185"/>
      <c r="B365" s="827">
        <v>10.4</v>
      </c>
      <c r="C365" s="923" t="s">
        <v>1209</v>
      </c>
      <c r="D365" s="827"/>
      <c r="E365" s="594"/>
      <c r="F365" s="575"/>
      <c r="G365" s="792"/>
      <c r="H365" s="208"/>
      <c r="I365" s="899"/>
      <c r="J365" s="208"/>
      <c r="K365" s="208"/>
      <c r="L365" s="208"/>
      <c r="M365" s="900"/>
      <c r="N365" s="901"/>
      <c r="O365" s="207"/>
      <c r="P365" s="207"/>
      <c r="Q365" s="207"/>
      <c r="R365" s="207"/>
      <c r="S365" s="207"/>
      <c r="T365" s="207"/>
      <c r="U365" s="16"/>
      <c r="V365" s="805"/>
      <c r="W365" s="807"/>
      <c r="X365" s="208"/>
      <c r="Y365" s="44"/>
      <c r="Z365" s="44"/>
      <c r="AA365" s="44"/>
      <c r="AB365" s="44"/>
    </row>
    <row r="366" spans="1:28" s="45" customFormat="1">
      <c r="A366" s="185"/>
      <c r="B366" s="827" t="s">
        <v>1210</v>
      </c>
      <c r="C366" s="924" t="s">
        <v>1238</v>
      </c>
      <c r="D366" s="925" t="s">
        <v>525</v>
      </c>
      <c r="E366" s="932">
        <v>30</v>
      </c>
      <c r="F366" s="926">
        <v>8211</v>
      </c>
      <c r="G366" s="910">
        <f>+F366*E366</f>
        <v>246330</v>
      </c>
      <c r="H366" s="208"/>
      <c r="I366" s="899"/>
      <c r="J366" s="208"/>
      <c r="K366" s="208"/>
      <c r="L366" s="208"/>
      <c r="M366" s="900"/>
      <c r="N366" s="901"/>
      <c r="O366" s="207"/>
      <c r="P366" s="207"/>
      <c r="Q366" s="207"/>
      <c r="R366" s="207"/>
      <c r="S366" s="207"/>
      <c r="T366" s="207"/>
      <c r="U366" s="16"/>
      <c r="V366" s="805"/>
      <c r="W366" s="807"/>
      <c r="X366" s="208"/>
      <c r="Y366" s="44"/>
      <c r="Z366" s="44"/>
      <c r="AA366" s="44"/>
      <c r="AB366" s="44"/>
    </row>
    <row r="367" spans="1:28" s="45" customFormat="1">
      <c r="A367" s="185"/>
      <c r="B367" s="827" t="s">
        <v>1211</v>
      </c>
      <c r="C367" s="927" t="s">
        <v>1239</v>
      </c>
      <c r="D367" s="928" t="s">
        <v>525</v>
      </c>
      <c r="E367" s="933">
        <v>600</v>
      </c>
      <c r="F367" s="929">
        <v>3141</v>
      </c>
      <c r="G367" s="910">
        <f t="shared" ref="G367:G393" si="58">+F367*E367</f>
        <v>1884600</v>
      </c>
      <c r="H367" s="208"/>
      <c r="I367" s="899"/>
      <c r="J367" s="208"/>
      <c r="K367" s="208"/>
      <c r="L367" s="208"/>
      <c r="M367" s="900"/>
      <c r="N367" s="901"/>
      <c r="O367" s="207"/>
      <c r="P367" s="207"/>
      <c r="Q367" s="207"/>
      <c r="R367" s="207"/>
      <c r="S367" s="207"/>
      <c r="T367" s="207"/>
      <c r="U367" s="16"/>
      <c r="V367" s="805"/>
      <c r="W367" s="807"/>
      <c r="X367" s="208"/>
      <c r="Y367" s="44"/>
      <c r="Z367" s="44"/>
      <c r="AA367" s="44"/>
      <c r="AB367" s="44"/>
    </row>
    <row r="368" spans="1:28" s="45" customFormat="1">
      <c r="A368" s="185"/>
      <c r="B368" s="827" t="s">
        <v>1212</v>
      </c>
      <c r="C368" s="924" t="s">
        <v>1240</v>
      </c>
      <c r="D368" s="925" t="s">
        <v>525</v>
      </c>
      <c r="E368" s="932">
        <v>50</v>
      </c>
      <c r="F368" s="926">
        <v>5146.92</v>
      </c>
      <c r="G368" s="910">
        <f t="shared" si="58"/>
        <v>257346</v>
      </c>
      <c r="H368" s="208"/>
      <c r="I368" s="899"/>
      <c r="J368" s="208"/>
      <c r="K368" s="208"/>
      <c r="L368" s="208"/>
      <c r="M368" s="900"/>
      <c r="N368" s="901"/>
      <c r="O368" s="207"/>
      <c r="P368" s="207"/>
      <c r="Q368" s="207"/>
      <c r="R368" s="207"/>
      <c r="S368" s="207"/>
      <c r="T368" s="207"/>
      <c r="U368" s="16"/>
      <c r="V368" s="805"/>
      <c r="W368" s="807"/>
      <c r="X368" s="208"/>
      <c r="Y368" s="44"/>
      <c r="Z368" s="44"/>
      <c r="AA368" s="44"/>
      <c r="AB368" s="44"/>
    </row>
    <row r="369" spans="1:28" s="45" customFormat="1">
      <c r="A369" s="185"/>
      <c r="B369" s="827" t="s">
        <v>1213</v>
      </c>
      <c r="C369" s="924" t="s">
        <v>1241</v>
      </c>
      <c r="D369" s="925" t="s">
        <v>1242</v>
      </c>
      <c r="E369" s="932">
        <v>2</v>
      </c>
      <c r="F369" s="926">
        <v>6500</v>
      </c>
      <c r="G369" s="910">
        <f t="shared" si="58"/>
        <v>13000</v>
      </c>
      <c r="H369" s="208"/>
      <c r="I369" s="899"/>
      <c r="J369" s="208"/>
      <c r="K369" s="208"/>
      <c r="L369" s="208"/>
      <c r="M369" s="900"/>
      <c r="N369" s="901"/>
      <c r="O369" s="207"/>
      <c r="P369" s="207"/>
      <c r="Q369" s="207"/>
      <c r="R369" s="207"/>
      <c r="S369" s="207"/>
      <c r="T369" s="207"/>
      <c r="U369" s="16"/>
      <c r="V369" s="805"/>
      <c r="W369" s="807"/>
      <c r="X369" s="208"/>
      <c r="Y369" s="44"/>
      <c r="Z369" s="44"/>
      <c r="AA369" s="44"/>
      <c r="AB369" s="44"/>
    </row>
    <row r="370" spans="1:28" s="45" customFormat="1">
      <c r="A370" s="185"/>
      <c r="B370" s="827" t="s">
        <v>1214</v>
      </c>
      <c r="C370" s="924" t="s">
        <v>1243</v>
      </c>
      <c r="D370" s="925" t="s">
        <v>1242</v>
      </c>
      <c r="E370" s="932">
        <v>3</v>
      </c>
      <c r="F370" s="926">
        <v>3500</v>
      </c>
      <c r="G370" s="910">
        <f t="shared" si="58"/>
        <v>10500</v>
      </c>
      <c r="H370" s="208"/>
      <c r="I370" s="899"/>
      <c r="J370" s="208"/>
      <c r="K370" s="208"/>
      <c r="L370" s="208"/>
      <c r="M370" s="900"/>
      <c r="N370" s="901"/>
      <c r="O370" s="207"/>
      <c r="P370" s="207"/>
      <c r="Q370" s="207"/>
      <c r="R370" s="207"/>
      <c r="S370" s="207"/>
      <c r="T370" s="207"/>
      <c r="U370" s="16"/>
      <c r="V370" s="805"/>
      <c r="W370" s="807"/>
      <c r="X370" s="208"/>
      <c r="Y370" s="44"/>
      <c r="Z370" s="44"/>
      <c r="AA370" s="44"/>
      <c r="AB370" s="44"/>
    </row>
    <row r="371" spans="1:28" s="45" customFormat="1">
      <c r="A371" s="185"/>
      <c r="B371" s="827" t="s">
        <v>1215</v>
      </c>
      <c r="C371" s="924" t="s">
        <v>1244</v>
      </c>
      <c r="D371" s="925" t="s">
        <v>1242</v>
      </c>
      <c r="E371" s="932">
        <v>20</v>
      </c>
      <c r="F371" s="926">
        <v>5000</v>
      </c>
      <c r="G371" s="910">
        <f t="shared" si="58"/>
        <v>100000</v>
      </c>
      <c r="H371" s="208"/>
      <c r="I371" s="899"/>
      <c r="J371" s="208"/>
      <c r="K371" s="208"/>
      <c r="L371" s="208"/>
      <c r="M371" s="900"/>
      <c r="N371" s="901"/>
      <c r="O371" s="207"/>
      <c r="P371" s="207"/>
      <c r="Q371" s="207"/>
      <c r="R371" s="207"/>
      <c r="S371" s="207"/>
      <c r="T371" s="207"/>
      <c r="U371" s="16"/>
      <c r="V371" s="805"/>
      <c r="W371" s="807"/>
      <c r="X371" s="208"/>
      <c r="Y371" s="44"/>
      <c r="Z371" s="44"/>
      <c r="AA371" s="44"/>
      <c r="AB371" s="44"/>
    </row>
    <row r="372" spans="1:28" s="45" customFormat="1">
      <c r="A372" s="185"/>
      <c r="B372" s="827" t="s">
        <v>1216</v>
      </c>
      <c r="C372" s="924" t="s">
        <v>1245</v>
      </c>
      <c r="D372" s="925" t="s">
        <v>1242</v>
      </c>
      <c r="E372" s="932">
        <v>3</v>
      </c>
      <c r="F372" s="926">
        <v>1500</v>
      </c>
      <c r="G372" s="910">
        <f t="shared" si="58"/>
        <v>4500</v>
      </c>
      <c r="H372" s="208"/>
      <c r="I372" s="899"/>
      <c r="J372" s="208"/>
      <c r="K372" s="208"/>
      <c r="L372" s="208"/>
      <c r="M372" s="900"/>
      <c r="N372" s="901"/>
      <c r="O372" s="207"/>
      <c r="P372" s="207"/>
      <c r="Q372" s="207"/>
      <c r="R372" s="207"/>
      <c r="S372" s="207"/>
      <c r="T372" s="207"/>
      <c r="U372" s="16"/>
      <c r="V372" s="805"/>
      <c r="W372" s="807"/>
      <c r="X372" s="208"/>
      <c r="Y372" s="44"/>
      <c r="Z372" s="44"/>
      <c r="AA372" s="44"/>
      <c r="AB372" s="44"/>
    </row>
    <row r="373" spans="1:28" s="45" customFormat="1">
      <c r="A373" s="185"/>
      <c r="B373" s="827" t="s">
        <v>1217</v>
      </c>
      <c r="C373" s="924" t="s">
        <v>1246</v>
      </c>
      <c r="D373" s="925" t="s">
        <v>1242</v>
      </c>
      <c r="E373" s="932">
        <v>20</v>
      </c>
      <c r="F373" s="926">
        <v>6500</v>
      </c>
      <c r="G373" s="910">
        <f t="shared" si="58"/>
        <v>130000</v>
      </c>
      <c r="H373" s="208"/>
      <c r="I373" s="899"/>
      <c r="J373" s="208"/>
      <c r="K373" s="208"/>
      <c r="L373" s="208"/>
      <c r="M373" s="900"/>
      <c r="N373" s="901"/>
      <c r="O373" s="207"/>
      <c r="P373" s="207"/>
      <c r="Q373" s="207"/>
      <c r="R373" s="207"/>
      <c r="S373" s="207"/>
      <c r="T373" s="207"/>
      <c r="U373" s="16"/>
      <c r="V373" s="805"/>
      <c r="W373" s="807"/>
      <c r="X373" s="208"/>
      <c r="Y373" s="44"/>
      <c r="Z373" s="44"/>
      <c r="AA373" s="44"/>
      <c r="AB373" s="44"/>
    </row>
    <row r="374" spans="1:28" s="45" customFormat="1">
      <c r="A374" s="185"/>
      <c r="B374" s="827" t="s">
        <v>1218</v>
      </c>
      <c r="C374" s="924" t="s">
        <v>1247</v>
      </c>
      <c r="D374" s="925" t="s">
        <v>1242</v>
      </c>
      <c r="E374" s="932">
        <v>120</v>
      </c>
      <c r="F374" s="926">
        <v>3500</v>
      </c>
      <c r="G374" s="910">
        <f t="shared" si="58"/>
        <v>420000</v>
      </c>
      <c r="H374" s="208"/>
      <c r="I374" s="899"/>
      <c r="J374" s="208"/>
      <c r="K374" s="208"/>
      <c r="L374" s="208"/>
      <c r="M374" s="900"/>
      <c r="N374" s="901"/>
      <c r="O374" s="207"/>
      <c r="P374" s="207"/>
      <c r="Q374" s="207"/>
      <c r="R374" s="207"/>
      <c r="S374" s="207"/>
      <c r="T374" s="207"/>
      <c r="U374" s="16"/>
      <c r="V374" s="805"/>
      <c r="W374" s="807"/>
      <c r="X374" s="208"/>
      <c r="Y374" s="44"/>
      <c r="Z374" s="44"/>
      <c r="AA374" s="44"/>
      <c r="AB374" s="44"/>
    </row>
    <row r="375" spans="1:28" s="45" customFormat="1">
      <c r="A375" s="185"/>
      <c r="B375" s="827" t="s">
        <v>1219</v>
      </c>
      <c r="C375" s="924" t="s">
        <v>1248</v>
      </c>
      <c r="D375" s="925" t="s">
        <v>1242</v>
      </c>
      <c r="E375" s="932">
        <v>60</v>
      </c>
      <c r="F375" s="926">
        <v>6000</v>
      </c>
      <c r="G375" s="910">
        <f t="shared" si="58"/>
        <v>360000</v>
      </c>
      <c r="H375" s="208"/>
      <c r="I375" s="899"/>
      <c r="J375" s="208"/>
      <c r="K375" s="208"/>
      <c r="L375" s="208"/>
      <c r="M375" s="900"/>
      <c r="N375" s="901"/>
      <c r="O375" s="207"/>
      <c r="P375" s="207"/>
      <c r="Q375" s="207"/>
      <c r="R375" s="207"/>
      <c r="S375" s="207"/>
      <c r="T375" s="207"/>
      <c r="U375" s="16"/>
      <c r="V375" s="805"/>
      <c r="W375" s="807"/>
      <c r="X375" s="208"/>
      <c r="Y375" s="44"/>
      <c r="Z375" s="44"/>
      <c r="AA375" s="44"/>
      <c r="AB375" s="44"/>
    </row>
    <row r="376" spans="1:28" s="45" customFormat="1">
      <c r="A376" s="185"/>
      <c r="B376" s="827" t="s">
        <v>1220</v>
      </c>
      <c r="C376" s="924" t="s">
        <v>1249</v>
      </c>
      <c r="D376" s="925" t="s">
        <v>1242</v>
      </c>
      <c r="E376" s="932">
        <v>70</v>
      </c>
      <c r="F376" s="926">
        <v>5300</v>
      </c>
      <c r="G376" s="910">
        <f t="shared" si="58"/>
        <v>371000</v>
      </c>
      <c r="H376" s="208"/>
      <c r="I376" s="899"/>
      <c r="J376" s="208"/>
      <c r="K376" s="208"/>
      <c r="L376" s="208"/>
      <c r="M376" s="900"/>
      <c r="N376" s="901"/>
      <c r="O376" s="207"/>
      <c r="P376" s="207"/>
      <c r="Q376" s="207"/>
      <c r="R376" s="207"/>
      <c r="S376" s="207"/>
      <c r="T376" s="207"/>
      <c r="U376" s="16"/>
      <c r="V376" s="805"/>
      <c r="W376" s="807"/>
      <c r="X376" s="208"/>
      <c r="Y376" s="44"/>
      <c r="Z376" s="44"/>
      <c r="AA376" s="44"/>
      <c r="AB376" s="44"/>
    </row>
    <row r="377" spans="1:28" s="45" customFormat="1">
      <c r="A377" s="185"/>
      <c r="B377" s="827" t="s">
        <v>1221</v>
      </c>
      <c r="C377" s="924" t="s">
        <v>1250</v>
      </c>
      <c r="D377" s="925" t="s">
        <v>1242</v>
      </c>
      <c r="E377" s="932">
        <v>12</v>
      </c>
      <c r="F377" s="926">
        <v>101966</v>
      </c>
      <c r="G377" s="910">
        <f t="shared" si="58"/>
        <v>1223592</v>
      </c>
      <c r="H377" s="208"/>
      <c r="I377" s="899"/>
      <c r="J377" s="208"/>
      <c r="K377" s="208"/>
      <c r="L377" s="208"/>
      <c r="M377" s="900"/>
      <c r="N377" s="901"/>
      <c r="O377" s="207"/>
      <c r="P377" s="207"/>
      <c r="Q377" s="207"/>
      <c r="R377" s="207"/>
      <c r="S377" s="207"/>
      <c r="T377" s="207"/>
      <c r="U377" s="16"/>
      <c r="V377" s="805"/>
      <c r="W377" s="807"/>
      <c r="X377" s="208"/>
      <c r="Y377" s="44"/>
      <c r="Z377" s="44"/>
      <c r="AA377" s="44"/>
      <c r="AB377" s="44"/>
    </row>
    <row r="378" spans="1:28" s="45" customFormat="1">
      <c r="A378" s="185"/>
      <c r="B378" s="827" t="s">
        <v>1222</v>
      </c>
      <c r="C378" s="924" t="s">
        <v>1251</v>
      </c>
      <c r="D378" s="925" t="s">
        <v>1242</v>
      </c>
      <c r="E378" s="932">
        <v>32</v>
      </c>
      <c r="F378" s="926">
        <v>12000</v>
      </c>
      <c r="G378" s="910">
        <f t="shared" si="58"/>
        <v>384000</v>
      </c>
      <c r="H378" s="208"/>
      <c r="I378" s="899"/>
      <c r="J378" s="208"/>
      <c r="K378" s="208"/>
      <c r="L378" s="208"/>
      <c r="M378" s="900"/>
      <c r="N378" s="901"/>
      <c r="O378" s="207"/>
      <c r="P378" s="207"/>
      <c r="Q378" s="207"/>
      <c r="R378" s="207"/>
      <c r="S378" s="207"/>
      <c r="T378" s="207"/>
      <c r="U378" s="16"/>
      <c r="V378" s="805"/>
      <c r="W378" s="807"/>
      <c r="X378" s="208"/>
      <c r="Y378" s="44"/>
      <c r="Z378" s="44"/>
      <c r="AA378" s="44"/>
      <c r="AB378" s="44"/>
    </row>
    <row r="379" spans="1:28" s="45" customFormat="1">
      <c r="A379" s="185"/>
      <c r="B379" s="1009" t="s">
        <v>1223</v>
      </c>
      <c r="C379" s="1010" t="s">
        <v>1252</v>
      </c>
      <c r="D379" s="1011" t="s">
        <v>1242</v>
      </c>
      <c r="E379" s="1012">
        <v>6</v>
      </c>
      <c r="F379" s="1013">
        <v>512220</v>
      </c>
      <c r="G379" s="1014">
        <f t="shared" si="58"/>
        <v>3073320</v>
      </c>
      <c r="H379" s="208"/>
      <c r="I379" s="899"/>
      <c r="J379" s="208"/>
      <c r="K379" s="208"/>
      <c r="L379" s="208"/>
      <c r="M379" s="900"/>
      <c r="N379" s="901"/>
      <c r="O379" s="207"/>
      <c r="P379" s="207"/>
      <c r="Q379" s="207"/>
      <c r="R379" s="207"/>
      <c r="S379" s="207"/>
      <c r="T379" s="207"/>
      <c r="U379" s="16"/>
      <c r="V379" s="805"/>
      <c r="W379" s="807"/>
      <c r="X379" s="208"/>
      <c r="Y379" s="44"/>
      <c r="Z379" s="44"/>
      <c r="AA379" s="44"/>
      <c r="AB379" s="44"/>
    </row>
    <row r="380" spans="1:28" s="45" customFormat="1" ht="30">
      <c r="A380" s="185"/>
      <c r="B380" s="1020" t="s">
        <v>1224</v>
      </c>
      <c r="C380" s="1021" t="s">
        <v>1253</v>
      </c>
      <c r="D380" s="925" t="s">
        <v>1242</v>
      </c>
      <c r="E380" s="932">
        <v>5</v>
      </c>
      <c r="F380" s="926">
        <v>493080</v>
      </c>
      <c r="G380" s="1022">
        <f t="shared" si="58"/>
        <v>2465400</v>
      </c>
      <c r="H380" s="208"/>
      <c r="I380" s="899"/>
      <c r="J380" s="208"/>
      <c r="K380" s="208"/>
      <c r="L380" s="208"/>
      <c r="M380" s="900"/>
      <c r="N380" s="901"/>
      <c r="O380" s="207"/>
      <c r="P380" s="207"/>
      <c r="Q380" s="207"/>
      <c r="R380" s="207"/>
      <c r="S380" s="207"/>
      <c r="T380" s="207"/>
      <c r="U380" s="16"/>
      <c r="V380" s="805"/>
      <c r="W380" s="807"/>
      <c r="X380" s="208"/>
      <c r="Y380" s="44"/>
      <c r="Z380" s="44"/>
      <c r="AA380" s="44"/>
      <c r="AB380" s="44"/>
    </row>
    <row r="381" spans="1:28" s="45" customFormat="1">
      <c r="A381" s="185"/>
      <c r="B381" s="104" t="s">
        <v>1225</v>
      </c>
      <c r="C381" s="1015" t="s">
        <v>1254</v>
      </c>
      <c r="D381" s="1016" t="s">
        <v>1242</v>
      </c>
      <c r="E381" s="1017">
        <v>21</v>
      </c>
      <c r="F381" s="1018">
        <v>5000</v>
      </c>
      <c r="G381" s="1019">
        <f t="shared" si="58"/>
        <v>105000</v>
      </c>
      <c r="H381" s="208"/>
      <c r="I381" s="899"/>
      <c r="J381" s="208"/>
      <c r="K381" s="208"/>
      <c r="L381" s="208"/>
      <c r="M381" s="900"/>
      <c r="N381" s="901"/>
      <c r="O381" s="207"/>
      <c r="P381" s="207"/>
      <c r="Q381" s="207"/>
      <c r="R381" s="207"/>
      <c r="S381" s="207"/>
      <c r="T381" s="207"/>
      <c r="U381" s="16"/>
      <c r="V381" s="805"/>
      <c r="W381" s="807"/>
      <c r="X381" s="208"/>
      <c r="Y381" s="44"/>
      <c r="Z381" s="44"/>
      <c r="AA381" s="44"/>
      <c r="AB381" s="44"/>
    </row>
    <row r="382" spans="1:28" s="45" customFormat="1">
      <c r="A382" s="185"/>
      <c r="B382" s="827" t="s">
        <v>1226</v>
      </c>
      <c r="C382" s="924" t="s">
        <v>1255</v>
      </c>
      <c r="D382" s="925" t="s">
        <v>1242</v>
      </c>
      <c r="E382" s="932">
        <v>8</v>
      </c>
      <c r="F382" s="926">
        <v>44780</v>
      </c>
      <c r="G382" s="910">
        <f t="shared" si="58"/>
        <v>358240</v>
      </c>
      <c r="H382" s="208"/>
      <c r="I382" s="899"/>
      <c r="J382" s="208"/>
      <c r="K382" s="208"/>
      <c r="L382" s="208"/>
      <c r="M382" s="900"/>
      <c r="N382" s="901"/>
      <c r="O382" s="207"/>
      <c r="P382" s="207"/>
      <c r="Q382" s="207"/>
      <c r="R382" s="207"/>
      <c r="S382" s="207"/>
      <c r="T382" s="207"/>
      <c r="U382" s="16"/>
      <c r="V382" s="805"/>
      <c r="W382" s="807"/>
      <c r="X382" s="208"/>
      <c r="Y382" s="44"/>
      <c r="Z382" s="44"/>
      <c r="AA382" s="44"/>
      <c r="AB382" s="44"/>
    </row>
    <row r="383" spans="1:28" s="45" customFormat="1">
      <c r="A383" s="185"/>
      <c r="B383" s="827" t="s">
        <v>1227</v>
      </c>
      <c r="C383" s="924" t="s">
        <v>1256</v>
      </c>
      <c r="D383" s="925" t="s">
        <v>1242</v>
      </c>
      <c r="E383" s="932">
        <v>9</v>
      </c>
      <c r="F383" s="926">
        <v>13050</v>
      </c>
      <c r="G383" s="910">
        <f t="shared" si="58"/>
        <v>117450</v>
      </c>
      <c r="H383" s="208"/>
      <c r="I383" s="899"/>
      <c r="J383" s="208"/>
      <c r="K383" s="208"/>
      <c r="L383" s="208"/>
      <c r="M383" s="900"/>
      <c r="N383" s="901"/>
      <c r="O383" s="207"/>
      <c r="P383" s="207"/>
      <c r="Q383" s="207"/>
      <c r="R383" s="207"/>
      <c r="S383" s="207"/>
      <c r="T383" s="207"/>
      <c r="U383" s="16"/>
      <c r="V383" s="805"/>
      <c r="W383" s="807"/>
      <c r="X383" s="208"/>
      <c r="Y383" s="44"/>
      <c r="Z383" s="44"/>
      <c r="AA383" s="44"/>
      <c r="AB383" s="44"/>
    </row>
    <row r="384" spans="1:28" s="45" customFormat="1">
      <c r="A384" s="185"/>
      <c r="B384" s="827" t="s">
        <v>1228</v>
      </c>
      <c r="C384" s="924" t="s">
        <v>1257</v>
      </c>
      <c r="D384" s="925" t="s">
        <v>1242</v>
      </c>
      <c r="E384" s="932">
        <v>7</v>
      </c>
      <c r="F384" s="926">
        <v>10590</v>
      </c>
      <c r="G384" s="910">
        <f t="shared" si="58"/>
        <v>74130</v>
      </c>
      <c r="H384" s="208"/>
      <c r="I384" s="899"/>
      <c r="J384" s="208"/>
      <c r="K384" s="208"/>
      <c r="L384" s="208"/>
      <c r="M384" s="900"/>
      <c r="N384" s="901"/>
      <c r="O384" s="207"/>
      <c r="P384" s="207"/>
      <c r="Q384" s="207"/>
      <c r="R384" s="207"/>
      <c r="S384" s="207"/>
      <c r="T384" s="207"/>
      <c r="U384" s="16"/>
      <c r="V384" s="805"/>
      <c r="W384" s="807"/>
      <c r="X384" s="208"/>
      <c r="Y384" s="44"/>
      <c r="Z384" s="44"/>
      <c r="AA384" s="44"/>
      <c r="AB384" s="44"/>
    </row>
    <row r="385" spans="1:28" s="45" customFormat="1">
      <c r="A385" s="185"/>
      <c r="B385" s="827" t="s">
        <v>1229</v>
      </c>
      <c r="C385" s="924" t="s">
        <v>1258</v>
      </c>
      <c r="D385" s="925" t="s">
        <v>1242</v>
      </c>
      <c r="E385" s="932">
        <v>45</v>
      </c>
      <c r="F385" s="926">
        <v>4500</v>
      </c>
      <c r="G385" s="910">
        <f t="shared" si="58"/>
        <v>202500</v>
      </c>
      <c r="H385" s="208"/>
      <c r="I385" s="899"/>
      <c r="J385" s="208"/>
      <c r="K385" s="208"/>
      <c r="L385" s="208"/>
      <c r="M385" s="900"/>
      <c r="N385" s="901"/>
      <c r="O385" s="207"/>
      <c r="P385" s="207"/>
      <c r="Q385" s="207"/>
      <c r="R385" s="207"/>
      <c r="S385" s="207"/>
      <c r="T385" s="207"/>
      <c r="U385" s="16"/>
      <c r="V385" s="805"/>
      <c r="W385" s="807"/>
      <c r="X385" s="208"/>
      <c r="Y385" s="44"/>
      <c r="Z385" s="44"/>
      <c r="AA385" s="44"/>
      <c r="AB385" s="44"/>
    </row>
    <row r="386" spans="1:28" s="45" customFormat="1">
      <c r="A386" s="185"/>
      <c r="B386" s="827" t="s">
        <v>1230</v>
      </c>
      <c r="C386" s="924" t="s">
        <v>1259</v>
      </c>
      <c r="D386" s="925" t="s">
        <v>1242</v>
      </c>
      <c r="E386" s="932">
        <v>44</v>
      </c>
      <c r="F386" s="926">
        <v>4500</v>
      </c>
      <c r="G386" s="910">
        <f t="shared" si="58"/>
        <v>198000</v>
      </c>
      <c r="H386" s="208"/>
      <c r="I386" s="899"/>
      <c r="J386" s="208"/>
      <c r="K386" s="208"/>
      <c r="L386" s="208"/>
      <c r="M386" s="900"/>
      <c r="N386" s="901"/>
      <c r="O386" s="207"/>
      <c r="P386" s="207"/>
      <c r="Q386" s="207"/>
      <c r="R386" s="207"/>
      <c r="S386" s="207"/>
      <c r="T386" s="207"/>
      <c r="U386" s="16"/>
      <c r="V386" s="805"/>
      <c r="W386" s="807"/>
      <c r="X386" s="208"/>
      <c r="Y386" s="44"/>
      <c r="Z386" s="44"/>
      <c r="AA386" s="44"/>
      <c r="AB386" s="44"/>
    </row>
    <row r="387" spans="1:28" s="45" customFormat="1" ht="30">
      <c r="A387" s="185"/>
      <c r="B387" s="827" t="s">
        <v>1231</v>
      </c>
      <c r="C387" s="942" t="s">
        <v>1260</v>
      </c>
      <c r="D387" s="925" t="s">
        <v>1242</v>
      </c>
      <c r="E387" s="932">
        <v>1</v>
      </c>
      <c r="F387" s="926">
        <v>484080</v>
      </c>
      <c r="G387" s="910">
        <f t="shared" si="58"/>
        <v>484080</v>
      </c>
      <c r="H387" s="208"/>
      <c r="I387" s="899"/>
      <c r="J387" s="208"/>
      <c r="K387" s="208"/>
      <c r="L387" s="208"/>
      <c r="M387" s="900"/>
      <c r="N387" s="901"/>
      <c r="O387" s="207"/>
      <c r="P387" s="207"/>
      <c r="Q387" s="207"/>
      <c r="R387" s="207"/>
      <c r="S387" s="207"/>
      <c r="T387" s="207"/>
      <c r="U387" s="16"/>
      <c r="V387" s="805"/>
      <c r="W387" s="807"/>
      <c r="X387" s="208"/>
      <c r="Y387" s="44"/>
      <c r="Z387" s="44"/>
      <c r="AA387" s="44"/>
      <c r="AB387" s="44"/>
    </row>
    <row r="388" spans="1:28" s="45" customFormat="1">
      <c r="A388" s="185"/>
      <c r="B388" s="827" t="s">
        <v>1232</v>
      </c>
      <c r="C388" s="924" t="s">
        <v>1261</v>
      </c>
      <c r="D388" s="925" t="s">
        <v>1242</v>
      </c>
      <c r="E388" s="932">
        <v>4</v>
      </c>
      <c r="F388" s="926">
        <v>142980</v>
      </c>
      <c r="G388" s="910">
        <f t="shared" si="58"/>
        <v>571920</v>
      </c>
      <c r="H388" s="208"/>
      <c r="I388" s="899"/>
      <c r="J388" s="208"/>
      <c r="K388" s="208"/>
      <c r="L388" s="208"/>
      <c r="M388" s="900"/>
      <c r="N388" s="901"/>
      <c r="O388" s="207"/>
      <c r="P388" s="207"/>
      <c r="Q388" s="207"/>
      <c r="R388" s="207"/>
      <c r="S388" s="207"/>
      <c r="T388" s="207"/>
      <c r="U388" s="16"/>
      <c r="V388" s="805"/>
      <c r="W388" s="807"/>
      <c r="X388" s="208"/>
      <c r="Y388" s="44"/>
      <c r="Z388" s="44"/>
      <c r="AA388" s="44"/>
      <c r="AB388" s="44"/>
    </row>
    <row r="389" spans="1:28" s="45" customFormat="1">
      <c r="A389" s="185"/>
      <c r="B389" s="827" t="s">
        <v>1233</v>
      </c>
      <c r="C389" s="924" t="s">
        <v>1262</v>
      </c>
      <c r="D389" s="925" t="s">
        <v>1242</v>
      </c>
      <c r="E389" s="932">
        <v>1</v>
      </c>
      <c r="F389" s="926">
        <v>111060</v>
      </c>
      <c r="G389" s="910">
        <f t="shared" si="58"/>
        <v>111060</v>
      </c>
      <c r="H389" s="208"/>
      <c r="I389" s="899"/>
      <c r="J389" s="208"/>
      <c r="K389" s="208"/>
      <c r="L389" s="208"/>
      <c r="M389" s="900"/>
      <c r="N389" s="901"/>
      <c r="O389" s="207"/>
      <c r="P389" s="207"/>
      <c r="Q389" s="207"/>
      <c r="R389" s="207"/>
      <c r="S389" s="207"/>
      <c r="T389" s="207"/>
      <c r="U389" s="16"/>
      <c r="V389" s="805"/>
      <c r="W389" s="807"/>
      <c r="X389" s="208"/>
      <c r="Y389" s="44"/>
      <c r="Z389" s="44"/>
      <c r="AA389" s="44"/>
      <c r="AB389" s="44"/>
    </row>
    <row r="390" spans="1:28" s="45" customFormat="1" ht="30">
      <c r="A390" s="185"/>
      <c r="B390" s="827" t="s">
        <v>1234</v>
      </c>
      <c r="C390" s="943" t="s">
        <v>1263</v>
      </c>
      <c r="D390" s="925" t="s">
        <v>1242</v>
      </c>
      <c r="E390" s="932">
        <v>1</v>
      </c>
      <c r="F390" s="926">
        <v>307080</v>
      </c>
      <c r="G390" s="910">
        <f t="shared" si="58"/>
        <v>307080</v>
      </c>
      <c r="H390" s="208"/>
      <c r="I390" s="899"/>
      <c r="J390" s="208"/>
      <c r="K390" s="208"/>
      <c r="L390" s="208"/>
      <c r="M390" s="900"/>
      <c r="N390" s="901"/>
      <c r="O390" s="207"/>
      <c r="P390" s="207"/>
      <c r="Q390" s="207"/>
      <c r="R390" s="207"/>
      <c r="S390" s="207"/>
      <c r="T390" s="207"/>
      <c r="U390" s="16"/>
      <c r="V390" s="805"/>
      <c r="W390" s="807"/>
      <c r="X390" s="208"/>
      <c r="Y390" s="44"/>
      <c r="Z390" s="44"/>
      <c r="AA390" s="44"/>
      <c r="AB390" s="44"/>
    </row>
    <row r="391" spans="1:28" s="45" customFormat="1">
      <c r="A391" s="185"/>
      <c r="B391" s="827" t="s">
        <v>1235</v>
      </c>
      <c r="C391" s="924" t="s">
        <v>1264</v>
      </c>
      <c r="D391" s="925" t="s">
        <v>1242</v>
      </c>
      <c r="E391" s="932">
        <v>1</v>
      </c>
      <c r="F391" s="926">
        <v>61330</v>
      </c>
      <c r="G391" s="910">
        <f t="shared" si="58"/>
        <v>61330</v>
      </c>
      <c r="H391" s="208"/>
      <c r="I391" s="899"/>
      <c r="J391" s="208"/>
      <c r="K391" s="208"/>
      <c r="L391" s="208"/>
      <c r="M391" s="900"/>
      <c r="N391" s="901"/>
      <c r="O391" s="207"/>
      <c r="P391" s="207"/>
      <c r="Q391" s="207"/>
      <c r="R391" s="207"/>
      <c r="S391" s="207"/>
      <c r="T391" s="207"/>
      <c r="U391" s="16"/>
      <c r="V391" s="805"/>
      <c r="W391" s="807"/>
      <c r="X391" s="208"/>
      <c r="Y391" s="44"/>
      <c r="Z391" s="44"/>
      <c r="AA391" s="44"/>
      <c r="AB391" s="44"/>
    </row>
    <row r="392" spans="1:28" s="45" customFormat="1">
      <c r="A392" s="185"/>
      <c r="B392" s="827" t="s">
        <v>1236</v>
      </c>
      <c r="C392" s="924" t="s">
        <v>1265</v>
      </c>
      <c r="D392" s="925" t="s">
        <v>1242</v>
      </c>
      <c r="E392" s="932">
        <v>5</v>
      </c>
      <c r="F392" s="926">
        <v>108520</v>
      </c>
      <c r="G392" s="910">
        <f t="shared" si="58"/>
        <v>542600</v>
      </c>
      <c r="H392" s="208"/>
      <c r="I392" s="899"/>
      <c r="J392" s="208"/>
      <c r="K392" s="208"/>
      <c r="L392" s="208"/>
      <c r="M392" s="900"/>
      <c r="N392" s="901"/>
      <c r="O392" s="207"/>
      <c r="P392" s="207"/>
      <c r="Q392" s="207"/>
      <c r="R392" s="207"/>
      <c r="S392" s="207"/>
      <c r="T392" s="207"/>
      <c r="U392" s="16"/>
      <c r="V392" s="805"/>
      <c r="W392" s="807"/>
      <c r="X392" s="208"/>
      <c r="Y392" s="44"/>
      <c r="Z392" s="44"/>
      <c r="AA392" s="44"/>
      <c r="AB392" s="44"/>
    </row>
    <row r="393" spans="1:28" s="45" customFormat="1">
      <c r="A393" s="185"/>
      <c r="B393" s="827" t="s">
        <v>1237</v>
      </c>
      <c r="C393" s="924" t="s">
        <v>1266</v>
      </c>
      <c r="D393" s="925" t="s">
        <v>1242</v>
      </c>
      <c r="E393" s="932">
        <v>1</v>
      </c>
      <c r="F393" s="926">
        <v>877460</v>
      </c>
      <c r="G393" s="910">
        <f t="shared" si="58"/>
        <v>877460</v>
      </c>
      <c r="H393" s="208"/>
      <c r="I393" s="899"/>
      <c r="J393" s="208"/>
      <c r="K393" s="208"/>
      <c r="L393" s="208"/>
      <c r="M393" s="900"/>
      <c r="N393" s="901"/>
      <c r="O393" s="207"/>
      <c r="P393" s="207"/>
      <c r="Q393" s="207"/>
      <c r="R393" s="207"/>
      <c r="S393" s="207"/>
      <c r="T393" s="207"/>
      <c r="U393" s="16"/>
      <c r="V393" s="805"/>
      <c r="W393" s="807"/>
      <c r="X393" s="208"/>
      <c r="Y393" s="44"/>
      <c r="Z393" s="44"/>
      <c r="AA393" s="44"/>
      <c r="AB393" s="44"/>
    </row>
    <row r="394" spans="1:28" s="45" customFormat="1">
      <c r="A394" s="185"/>
      <c r="B394" s="827"/>
      <c r="C394" s="887"/>
      <c r="D394" s="827"/>
      <c r="E394" s="594"/>
      <c r="F394" s="575"/>
      <c r="G394" s="792"/>
      <c r="H394" s="208"/>
      <c r="I394" s="899"/>
      <c r="J394" s="208"/>
      <c r="K394" s="208"/>
      <c r="L394" s="208"/>
      <c r="M394" s="900"/>
      <c r="N394" s="901"/>
      <c r="O394" s="207"/>
      <c r="P394" s="207"/>
      <c r="Q394" s="207"/>
      <c r="R394" s="207"/>
      <c r="S394" s="207"/>
      <c r="T394" s="207"/>
      <c r="U394" s="16"/>
      <c r="V394" s="805"/>
      <c r="W394" s="807"/>
      <c r="X394" s="208"/>
      <c r="Y394" s="44"/>
      <c r="Z394" s="44"/>
      <c r="AA394" s="44"/>
      <c r="AB394" s="44"/>
    </row>
    <row r="395" spans="1:28" s="45" customFormat="1" ht="15.75" thickBot="1">
      <c r="A395" s="185"/>
      <c r="B395" s="886"/>
      <c r="C395" s="114"/>
      <c r="D395" s="115"/>
      <c r="E395" s="116"/>
      <c r="F395" s="117" t="s">
        <v>1268</v>
      </c>
      <c r="G395" s="118">
        <f>SUM(G321:G394)</f>
        <v>28038288</v>
      </c>
      <c r="H395" s="208"/>
      <c r="I395" s="899"/>
      <c r="J395" s="208"/>
      <c r="K395" s="208"/>
      <c r="L395" s="208"/>
      <c r="M395" s="900"/>
      <c r="N395" s="901"/>
      <c r="O395" s="207"/>
      <c r="P395" s="207"/>
      <c r="Q395" s="207"/>
      <c r="R395" s="207"/>
      <c r="S395" s="207"/>
      <c r="T395" s="207"/>
      <c r="U395" s="16"/>
      <c r="V395" s="805"/>
      <c r="W395" s="807"/>
      <c r="X395" s="208"/>
      <c r="Y395" s="44"/>
      <c r="Z395" s="44"/>
      <c r="AA395" s="44"/>
      <c r="AB395" s="44"/>
    </row>
    <row r="396" spans="1:28" s="45" customFormat="1" ht="15.75" thickBot="1">
      <c r="A396" s="185"/>
      <c r="B396" s="827"/>
      <c r="C396" s="887"/>
      <c r="D396" s="827"/>
      <c r="E396" s="594"/>
      <c r="F396" s="575"/>
      <c r="G396" s="792"/>
      <c r="H396" s="208"/>
      <c r="I396" s="899"/>
      <c r="J396" s="208"/>
      <c r="K396" s="208"/>
      <c r="L396" s="208"/>
      <c r="M396" s="900"/>
      <c r="N396" s="901"/>
      <c r="O396" s="207"/>
      <c r="P396" s="207"/>
      <c r="Q396" s="207"/>
      <c r="R396" s="207"/>
      <c r="S396" s="207"/>
      <c r="T396" s="207"/>
      <c r="U396" s="16"/>
      <c r="V396" s="805"/>
      <c r="W396" s="807"/>
      <c r="X396" s="208"/>
      <c r="Y396" s="44"/>
      <c r="Z396" s="44"/>
      <c r="AA396" s="44"/>
      <c r="AB396" s="44"/>
    </row>
    <row r="397" spans="1:28" s="45" customFormat="1">
      <c r="A397" s="185"/>
      <c r="B397" s="937">
        <v>11</v>
      </c>
      <c r="C397" s="75" t="s">
        <v>1267</v>
      </c>
      <c r="D397" s="76"/>
      <c r="E397" s="76"/>
      <c r="F397" s="76"/>
      <c r="G397" s="126"/>
      <c r="H397" s="208"/>
      <c r="I397" s="899"/>
      <c r="J397" s="208"/>
      <c r="K397" s="208"/>
      <c r="L397" s="208"/>
      <c r="M397" s="900"/>
      <c r="N397" s="901"/>
      <c r="O397" s="207"/>
      <c r="P397" s="207"/>
      <c r="Q397" s="207"/>
      <c r="R397" s="207"/>
      <c r="S397" s="207"/>
      <c r="T397" s="207"/>
      <c r="U397" s="16"/>
      <c r="V397" s="805"/>
      <c r="W397" s="807"/>
      <c r="X397" s="208"/>
      <c r="Y397" s="44"/>
      <c r="Z397" s="44"/>
      <c r="AA397" s="44"/>
      <c r="AB397" s="44"/>
    </row>
    <row r="398" spans="1:28" s="45" customFormat="1" ht="38.25">
      <c r="A398" s="185"/>
      <c r="B398" s="974">
        <v>11.4</v>
      </c>
      <c r="C398" s="1001" t="s">
        <v>1300</v>
      </c>
      <c r="D398" s="827" t="s">
        <v>22</v>
      </c>
      <c r="E398" s="594">
        <v>1</v>
      </c>
      <c r="F398" s="575">
        <f>1600000*1.16*1.1</f>
        <v>2041600</v>
      </c>
      <c r="G398" s="910">
        <f t="shared" ref="G398:G399" si="59">+F398*E398</f>
        <v>2041600</v>
      </c>
      <c r="H398" s="208"/>
      <c r="I398" s="899"/>
      <c r="J398" s="208"/>
      <c r="K398" s="208"/>
      <c r="L398" s="208"/>
      <c r="M398" s="900"/>
      <c r="N398" s="901"/>
      <c r="O398" s="207"/>
      <c r="P398" s="207"/>
      <c r="Q398" s="207"/>
      <c r="R398" s="207"/>
      <c r="S398" s="207"/>
      <c r="T398" s="207"/>
      <c r="U398" s="16"/>
      <c r="V398" s="805"/>
      <c r="W398" s="807"/>
      <c r="X398" s="208"/>
      <c r="Y398" s="44"/>
      <c r="Z398" s="44"/>
      <c r="AA398" s="44"/>
      <c r="AB398" s="44"/>
    </row>
    <row r="399" spans="1:28" s="45" customFormat="1">
      <c r="A399" s="185"/>
      <c r="B399" s="974">
        <v>11.5</v>
      </c>
      <c r="C399" s="977" t="s">
        <v>1273</v>
      </c>
      <c r="D399" s="827" t="s">
        <v>22</v>
      </c>
      <c r="E399" s="594">
        <v>1</v>
      </c>
      <c r="F399" s="575">
        <v>4000000</v>
      </c>
      <c r="G399" s="910">
        <f t="shared" si="59"/>
        <v>4000000</v>
      </c>
      <c r="H399" s="208"/>
      <c r="I399" s="899"/>
      <c r="J399" s="208"/>
      <c r="K399" s="208"/>
      <c r="L399" s="208"/>
      <c r="M399" s="900"/>
      <c r="N399" s="901"/>
      <c r="O399" s="207"/>
      <c r="P399" s="207"/>
      <c r="Q399" s="207"/>
      <c r="R399" s="207"/>
      <c r="S399" s="207"/>
      <c r="T399" s="207"/>
      <c r="U399" s="16"/>
      <c r="V399" s="805"/>
      <c r="W399" s="807"/>
      <c r="X399" s="208"/>
      <c r="Y399" s="44"/>
      <c r="Z399" s="44"/>
      <c r="AA399" s="44"/>
      <c r="AB399" s="44"/>
    </row>
    <row r="400" spans="1:28" s="45" customFormat="1">
      <c r="A400" s="185"/>
      <c r="B400" s="827"/>
      <c r="C400" s="887"/>
      <c r="D400" s="827"/>
      <c r="E400" s="594"/>
      <c r="F400" s="575"/>
      <c r="G400" s="792"/>
      <c r="H400" s="208"/>
      <c r="I400" s="899"/>
      <c r="J400" s="208"/>
      <c r="K400" s="208"/>
      <c r="L400" s="208"/>
      <c r="M400" s="900"/>
      <c r="N400" s="901"/>
      <c r="O400" s="207"/>
      <c r="P400" s="207"/>
      <c r="Q400" s="207"/>
      <c r="R400" s="207"/>
      <c r="S400" s="207"/>
      <c r="T400" s="207"/>
      <c r="U400" s="16"/>
      <c r="V400" s="805"/>
      <c r="W400" s="807"/>
      <c r="X400" s="208"/>
      <c r="Y400" s="44"/>
      <c r="Z400" s="44"/>
      <c r="AA400" s="44"/>
      <c r="AB400" s="44"/>
    </row>
    <row r="401" spans="1:28" s="45" customFormat="1" ht="15.75" thickBot="1">
      <c r="A401" s="185"/>
      <c r="B401" s="886"/>
      <c r="C401" s="114"/>
      <c r="D401" s="115"/>
      <c r="E401" s="116"/>
      <c r="F401" s="117" t="s">
        <v>1268</v>
      </c>
      <c r="G401" s="118">
        <f>SUM(G398:G400)</f>
        <v>6041600</v>
      </c>
      <c r="H401" s="208"/>
      <c r="I401" s="899"/>
      <c r="J401" s="208"/>
      <c r="K401" s="208"/>
      <c r="L401" s="208"/>
      <c r="M401" s="900"/>
      <c r="N401" s="901"/>
      <c r="O401" s="207"/>
      <c r="P401" s="207"/>
      <c r="Q401" s="207"/>
      <c r="R401" s="207"/>
      <c r="S401" s="207"/>
      <c r="T401" s="207"/>
      <c r="U401" s="16"/>
      <c r="V401" s="805"/>
      <c r="W401" s="807"/>
      <c r="X401" s="208"/>
      <c r="Y401" s="44"/>
      <c r="Z401" s="44"/>
      <c r="AA401" s="44"/>
      <c r="AB401" s="44"/>
    </row>
    <row r="402" spans="1:28" s="45" customFormat="1" ht="15.75" thickBot="1">
      <c r="A402" s="185"/>
      <c r="B402" s="827"/>
      <c r="C402" s="887"/>
      <c r="D402" s="827"/>
      <c r="E402" s="594"/>
      <c r="F402" s="575"/>
      <c r="G402" s="792"/>
      <c r="H402" s="208"/>
      <c r="I402" s="899"/>
      <c r="J402" s="208"/>
      <c r="K402" s="208"/>
      <c r="L402" s="208"/>
      <c r="M402" s="900"/>
      <c r="N402" s="901"/>
      <c r="O402" s="207"/>
      <c r="P402" s="207"/>
      <c r="Q402" s="207"/>
      <c r="R402" s="207"/>
      <c r="S402" s="207"/>
      <c r="T402" s="207"/>
      <c r="U402" s="16"/>
      <c r="V402" s="805"/>
      <c r="W402" s="807"/>
      <c r="X402" s="208"/>
      <c r="Y402" s="44"/>
      <c r="Z402" s="44"/>
      <c r="AA402" s="44"/>
      <c r="AB402" s="44"/>
    </row>
    <row r="403" spans="1:28" s="45" customFormat="1">
      <c r="A403" s="185"/>
      <c r="B403" s="937">
        <v>12</v>
      </c>
      <c r="C403" s="75" t="s">
        <v>1275</v>
      </c>
      <c r="D403" s="76"/>
      <c r="E403" s="76"/>
      <c r="F403" s="76"/>
      <c r="G403" s="126"/>
      <c r="H403" s="208"/>
      <c r="I403" s="899"/>
      <c r="J403" s="208"/>
      <c r="K403" s="208"/>
      <c r="L403" s="208"/>
      <c r="M403" s="900"/>
      <c r="N403" s="901"/>
      <c r="O403" s="207"/>
      <c r="P403" s="207"/>
      <c r="Q403" s="207"/>
      <c r="R403" s="207"/>
      <c r="S403" s="207"/>
      <c r="T403" s="207"/>
      <c r="U403" s="16"/>
      <c r="V403" s="805"/>
      <c r="W403" s="807"/>
      <c r="X403" s="208"/>
      <c r="Y403" s="44"/>
      <c r="Z403" s="44"/>
      <c r="AA403" s="44"/>
      <c r="AB403" s="44"/>
    </row>
    <row r="404" spans="1:28" s="45" customFormat="1">
      <c r="A404" s="185"/>
      <c r="B404" s="827">
        <v>12.1</v>
      </c>
      <c r="C404" s="887" t="s">
        <v>1276</v>
      </c>
      <c r="D404" s="827" t="s">
        <v>22</v>
      </c>
      <c r="E404" s="594">
        <v>9</v>
      </c>
      <c r="F404" s="575">
        <v>207180</v>
      </c>
      <c r="G404" s="910">
        <f t="shared" ref="G404:G415" si="60">+F404*E404</f>
        <v>1864620</v>
      </c>
      <c r="H404" s="208"/>
      <c r="I404" s="899"/>
      <c r="J404" s="208"/>
      <c r="K404" s="208"/>
      <c r="L404" s="208"/>
      <c r="M404" s="900"/>
      <c r="N404" s="901"/>
      <c r="O404" s="207"/>
      <c r="P404" s="207"/>
      <c r="Q404" s="207"/>
      <c r="R404" s="207"/>
      <c r="S404" s="207"/>
      <c r="T404" s="207"/>
      <c r="U404" s="16"/>
      <c r="V404" s="805"/>
      <c r="W404" s="807"/>
      <c r="X404" s="208"/>
      <c r="Y404" s="44"/>
      <c r="Z404" s="44"/>
      <c r="AA404" s="44"/>
      <c r="AB404" s="44"/>
    </row>
    <row r="405" spans="1:28" s="45" customFormat="1">
      <c r="A405" s="185"/>
      <c r="B405" s="827">
        <v>12.2</v>
      </c>
      <c r="C405" s="887" t="s">
        <v>1277</v>
      </c>
      <c r="D405" s="827" t="s">
        <v>22</v>
      </c>
      <c r="E405" s="594">
        <v>2</v>
      </c>
      <c r="F405" s="575">
        <v>315000</v>
      </c>
      <c r="G405" s="910">
        <f t="shared" si="60"/>
        <v>630000</v>
      </c>
      <c r="H405" s="208"/>
      <c r="I405" s="899"/>
      <c r="J405" s="208"/>
      <c r="K405" s="208"/>
      <c r="L405" s="208"/>
      <c r="M405" s="900"/>
      <c r="N405" s="901"/>
      <c r="O405" s="207"/>
      <c r="P405" s="207"/>
      <c r="Q405" s="207"/>
      <c r="R405" s="207"/>
      <c r="S405" s="207"/>
      <c r="T405" s="207"/>
      <c r="U405" s="16"/>
      <c r="V405" s="805"/>
      <c r="W405" s="807"/>
      <c r="X405" s="208"/>
      <c r="Y405" s="44"/>
      <c r="Z405" s="44"/>
      <c r="AA405" s="44"/>
      <c r="AB405" s="44"/>
    </row>
    <row r="406" spans="1:28" s="45" customFormat="1">
      <c r="A406" s="185"/>
      <c r="B406" s="827">
        <v>12.3</v>
      </c>
      <c r="C406" s="887" t="s">
        <v>1278</v>
      </c>
      <c r="D406" s="827" t="s">
        <v>22</v>
      </c>
      <c r="E406" s="594">
        <v>1</v>
      </c>
      <c r="F406" s="575">
        <v>158050</v>
      </c>
      <c r="G406" s="910">
        <f t="shared" si="60"/>
        <v>158050</v>
      </c>
      <c r="H406" s="208"/>
      <c r="I406" s="899"/>
      <c r="J406" s="208"/>
      <c r="K406" s="208"/>
      <c r="L406" s="208"/>
      <c r="M406" s="900"/>
      <c r="N406" s="901"/>
      <c r="O406" s="207"/>
      <c r="P406" s="207"/>
      <c r="Q406" s="207"/>
      <c r="R406" s="207"/>
      <c r="S406" s="207"/>
      <c r="T406" s="207"/>
      <c r="U406" s="16"/>
      <c r="V406" s="805"/>
      <c r="W406" s="807"/>
      <c r="X406" s="208"/>
      <c r="Y406" s="44"/>
      <c r="Z406" s="44"/>
      <c r="AA406" s="44"/>
      <c r="AB406" s="44"/>
    </row>
    <row r="407" spans="1:28" s="45" customFormat="1">
      <c r="A407" s="185"/>
      <c r="B407" s="827">
        <v>12.4</v>
      </c>
      <c r="C407" s="887" t="s">
        <v>1279</v>
      </c>
      <c r="D407" s="827" t="s">
        <v>22</v>
      </c>
      <c r="E407" s="594">
        <v>1</v>
      </c>
      <c r="F407" s="575">
        <v>492140</v>
      </c>
      <c r="G407" s="910">
        <f t="shared" si="60"/>
        <v>492140</v>
      </c>
      <c r="H407" s="208"/>
      <c r="I407" s="899"/>
      <c r="J407" s="208"/>
      <c r="K407" s="208"/>
      <c r="L407" s="208"/>
      <c r="M407" s="900"/>
      <c r="N407" s="901"/>
      <c r="O407" s="207"/>
      <c r="P407" s="207"/>
      <c r="Q407" s="207"/>
      <c r="R407" s="207"/>
      <c r="S407" s="207"/>
      <c r="T407" s="207"/>
      <c r="U407" s="16"/>
      <c r="V407" s="805"/>
      <c r="W407" s="807"/>
      <c r="X407" s="208"/>
      <c r="Y407" s="44"/>
      <c r="Z407" s="44"/>
      <c r="AA407" s="44"/>
      <c r="AB407" s="44"/>
    </row>
    <row r="408" spans="1:28" s="45" customFormat="1">
      <c r="A408" s="185"/>
      <c r="B408" s="827">
        <v>12.5</v>
      </c>
      <c r="C408" s="887" t="s">
        <v>1280</v>
      </c>
      <c r="D408" s="827" t="s">
        <v>22</v>
      </c>
      <c r="E408" s="594">
        <v>1</v>
      </c>
      <c r="F408" s="575">
        <v>256670</v>
      </c>
      <c r="G408" s="910">
        <f t="shared" si="60"/>
        <v>256670</v>
      </c>
      <c r="H408" s="208"/>
      <c r="I408" s="899"/>
      <c r="J408" s="208"/>
      <c r="K408" s="208"/>
      <c r="L408" s="208"/>
      <c r="M408" s="900"/>
      <c r="N408" s="901"/>
      <c r="O408" s="207"/>
      <c r="P408" s="207"/>
      <c r="Q408" s="207"/>
      <c r="R408" s="207"/>
      <c r="S408" s="207"/>
      <c r="T408" s="207"/>
      <c r="U408" s="16"/>
      <c r="V408" s="805"/>
      <c r="W408" s="807"/>
      <c r="X408" s="208"/>
      <c r="Y408" s="44"/>
      <c r="Z408" s="44"/>
      <c r="AA408" s="44"/>
      <c r="AB408" s="44"/>
    </row>
    <row r="409" spans="1:28" s="45" customFormat="1">
      <c r="A409" s="185"/>
      <c r="B409" s="827">
        <v>12.6</v>
      </c>
      <c r="C409" s="887" t="s">
        <v>1281</v>
      </c>
      <c r="D409" s="827" t="s">
        <v>22</v>
      </c>
      <c r="E409" s="594">
        <v>5</v>
      </c>
      <c r="F409" s="575">
        <v>366520</v>
      </c>
      <c r="G409" s="910">
        <f t="shared" si="60"/>
        <v>1832600</v>
      </c>
      <c r="H409" s="208"/>
      <c r="I409" s="899"/>
      <c r="J409" s="208"/>
      <c r="K409" s="208"/>
      <c r="L409" s="208"/>
      <c r="M409" s="900"/>
      <c r="N409" s="901"/>
      <c r="O409" s="207"/>
      <c r="P409" s="207"/>
      <c r="Q409" s="207"/>
      <c r="R409" s="207"/>
      <c r="S409" s="207"/>
      <c r="T409" s="207"/>
      <c r="U409" s="16"/>
      <c r="V409" s="805"/>
      <c r="W409" s="807"/>
      <c r="X409" s="208"/>
      <c r="Y409" s="44"/>
      <c r="Z409" s="44"/>
      <c r="AA409" s="44"/>
      <c r="AB409" s="44"/>
    </row>
    <row r="410" spans="1:28" s="45" customFormat="1" ht="25.5">
      <c r="A410" s="185"/>
      <c r="B410" s="827">
        <v>12.7</v>
      </c>
      <c r="C410" s="887" t="s">
        <v>1307</v>
      </c>
      <c r="D410" s="827" t="s">
        <v>500</v>
      </c>
      <c r="E410" s="594">
        <v>12</v>
      </c>
      <c r="F410" s="575">
        <v>140420</v>
      </c>
      <c r="G410" s="910">
        <f t="shared" si="60"/>
        <v>1685040</v>
      </c>
      <c r="H410" s="208"/>
      <c r="I410" s="899"/>
      <c r="J410" s="208"/>
      <c r="K410" s="208"/>
      <c r="L410" s="208"/>
      <c r="M410" s="900"/>
      <c r="N410" s="901"/>
      <c r="O410" s="207"/>
      <c r="P410" s="207"/>
      <c r="Q410" s="207"/>
      <c r="R410" s="207"/>
      <c r="S410" s="207"/>
      <c r="T410" s="207"/>
      <c r="U410" s="16"/>
      <c r="V410" s="805"/>
      <c r="W410" s="807"/>
      <c r="X410" s="208"/>
      <c r="Y410" s="44"/>
      <c r="Z410" s="44"/>
      <c r="AA410" s="44"/>
      <c r="AB410" s="44"/>
    </row>
    <row r="411" spans="1:28" s="45" customFormat="1" ht="25.5">
      <c r="A411" s="185"/>
      <c r="B411" s="827">
        <v>12.8</v>
      </c>
      <c r="C411" s="887" t="s">
        <v>1304</v>
      </c>
      <c r="D411" s="827" t="s">
        <v>500</v>
      </c>
      <c r="E411" s="594">
        <v>13</v>
      </c>
      <c r="F411" s="575">
        <v>48740</v>
      </c>
      <c r="G411" s="910">
        <f t="shared" si="60"/>
        <v>633620</v>
      </c>
      <c r="H411" s="208"/>
      <c r="I411" s="899"/>
      <c r="J411" s="208"/>
      <c r="K411" s="208"/>
      <c r="L411" s="208"/>
      <c r="M411" s="900"/>
      <c r="N411" s="901"/>
      <c r="O411" s="207"/>
      <c r="P411" s="207"/>
      <c r="Q411" s="207"/>
      <c r="R411" s="207"/>
      <c r="S411" s="207"/>
      <c r="T411" s="207"/>
      <c r="U411" s="16"/>
      <c r="V411" s="805"/>
      <c r="W411" s="807"/>
      <c r="X411" s="208"/>
      <c r="Y411" s="44"/>
      <c r="Z411" s="44"/>
      <c r="AA411" s="44"/>
      <c r="AB411" s="44"/>
    </row>
    <row r="412" spans="1:28" s="45" customFormat="1" ht="25.5">
      <c r="A412" s="185"/>
      <c r="B412" s="827">
        <v>12.9</v>
      </c>
      <c r="C412" s="887" t="s">
        <v>1303</v>
      </c>
      <c r="D412" s="827" t="s">
        <v>500</v>
      </c>
      <c r="E412" s="594">
        <v>74</v>
      </c>
      <c r="F412" s="575">
        <v>34560</v>
      </c>
      <c r="G412" s="910">
        <f t="shared" si="60"/>
        <v>2557440</v>
      </c>
      <c r="H412" s="208"/>
      <c r="I412" s="899"/>
      <c r="J412" s="208"/>
      <c r="K412" s="208"/>
      <c r="L412" s="208"/>
      <c r="M412" s="900"/>
      <c r="N412" s="901"/>
      <c r="O412" s="207"/>
      <c r="P412" s="207"/>
      <c r="Q412" s="207"/>
      <c r="R412" s="207"/>
      <c r="S412" s="207"/>
      <c r="T412" s="207"/>
      <c r="U412" s="16"/>
      <c r="V412" s="805"/>
      <c r="W412" s="807"/>
      <c r="X412" s="208"/>
      <c r="Y412" s="44"/>
      <c r="Z412" s="44"/>
      <c r="AA412" s="44"/>
      <c r="AB412" s="44"/>
    </row>
    <row r="413" spans="1:28" s="45" customFormat="1" ht="25.5">
      <c r="A413" s="185"/>
      <c r="B413" s="963">
        <v>12.1</v>
      </c>
      <c r="C413" s="887" t="s">
        <v>1302</v>
      </c>
      <c r="D413" s="827" t="s">
        <v>500</v>
      </c>
      <c r="E413" s="594">
        <v>39</v>
      </c>
      <c r="F413" s="575">
        <v>21370</v>
      </c>
      <c r="G413" s="910">
        <f t="shared" si="60"/>
        <v>833430</v>
      </c>
      <c r="H413" s="208"/>
      <c r="I413" s="899"/>
      <c r="J413" s="208"/>
      <c r="K413" s="208"/>
      <c r="L413" s="208"/>
      <c r="M413" s="900"/>
      <c r="N413" s="901"/>
      <c r="O413" s="207"/>
      <c r="P413" s="207"/>
      <c r="Q413" s="207"/>
      <c r="R413" s="207"/>
      <c r="S413" s="207"/>
      <c r="T413" s="207"/>
      <c r="U413" s="16"/>
      <c r="V413" s="805"/>
      <c r="W413" s="807"/>
      <c r="X413" s="208"/>
      <c r="Y413" s="44"/>
      <c r="Z413" s="44"/>
      <c r="AA413" s="44"/>
      <c r="AB413" s="44"/>
    </row>
    <row r="414" spans="1:28" s="45" customFormat="1" ht="25.5">
      <c r="A414" s="185"/>
      <c r="B414" s="827">
        <v>12.11</v>
      </c>
      <c r="C414" s="887" t="s">
        <v>1305</v>
      </c>
      <c r="D414" s="827" t="s">
        <v>500</v>
      </c>
      <c r="E414" s="594">
        <v>24</v>
      </c>
      <c r="F414" s="575">
        <v>20780</v>
      </c>
      <c r="G414" s="910">
        <f t="shared" si="60"/>
        <v>498720</v>
      </c>
      <c r="H414" s="208"/>
      <c r="I414" s="899"/>
      <c r="J414" s="208"/>
      <c r="K414" s="208"/>
      <c r="L414" s="208"/>
      <c r="M414" s="900"/>
      <c r="N414" s="901"/>
      <c r="O414" s="207"/>
      <c r="P414" s="207"/>
      <c r="Q414" s="207"/>
      <c r="R414" s="207"/>
      <c r="S414" s="207"/>
      <c r="T414" s="207"/>
      <c r="U414" s="16"/>
      <c r="V414" s="805"/>
      <c r="W414" s="807"/>
      <c r="X414" s="208"/>
      <c r="Y414" s="44"/>
      <c r="Z414" s="44"/>
      <c r="AA414" s="44"/>
      <c r="AB414" s="44"/>
    </row>
    <row r="415" spans="1:28" s="45" customFormat="1" ht="25.5">
      <c r="A415" s="185"/>
      <c r="B415" s="827">
        <v>12.12</v>
      </c>
      <c r="C415" s="887" t="s">
        <v>1306</v>
      </c>
      <c r="D415" s="827" t="s">
        <v>500</v>
      </c>
      <c r="E415" s="594">
        <v>60</v>
      </c>
      <c r="F415" s="575">
        <v>5770</v>
      </c>
      <c r="G415" s="910">
        <f t="shared" si="60"/>
        <v>346200</v>
      </c>
      <c r="H415" s="208"/>
      <c r="I415" s="899"/>
      <c r="J415" s="208"/>
      <c r="K415" s="208"/>
      <c r="L415" s="208"/>
      <c r="M415" s="900"/>
      <c r="N415" s="901"/>
      <c r="O415" s="207"/>
      <c r="P415" s="207"/>
      <c r="Q415" s="207"/>
      <c r="R415" s="207"/>
      <c r="S415" s="207"/>
      <c r="T415" s="207"/>
      <c r="U415" s="16"/>
      <c r="V415" s="805"/>
      <c r="W415" s="807"/>
      <c r="X415" s="208"/>
      <c r="Y415" s="44"/>
      <c r="Z415" s="44"/>
      <c r="AA415" s="44"/>
      <c r="AB415" s="44"/>
    </row>
    <row r="416" spans="1:28" s="45" customFormat="1">
      <c r="A416" s="185"/>
      <c r="B416" s="827"/>
      <c r="C416" s="887"/>
      <c r="D416" s="827"/>
      <c r="E416" s="594"/>
      <c r="F416" s="575"/>
      <c r="G416" s="910"/>
      <c r="H416" s="208"/>
      <c r="I416" s="899"/>
      <c r="J416" s="208"/>
      <c r="K416" s="208"/>
      <c r="L416" s="208"/>
      <c r="M416" s="900"/>
      <c r="N416" s="901"/>
      <c r="O416" s="207"/>
      <c r="P416" s="207"/>
      <c r="Q416" s="207"/>
      <c r="R416" s="207"/>
      <c r="S416" s="207"/>
      <c r="T416" s="207"/>
      <c r="U416" s="16"/>
      <c r="V416" s="805"/>
      <c r="W416" s="807"/>
      <c r="X416" s="208"/>
      <c r="Y416" s="44"/>
      <c r="Z416" s="44"/>
      <c r="AA416" s="44"/>
      <c r="AB416" s="44"/>
    </row>
    <row r="417" spans="1:28" s="45" customFormat="1" ht="15.75" thickBot="1">
      <c r="A417" s="185"/>
      <c r="B417" s="886"/>
      <c r="C417" s="114"/>
      <c r="D417" s="115"/>
      <c r="E417" s="116"/>
      <c r="F417" s="117" t="s">
        <v>1323</v>
      </c>
      <c r="G417" s="118">
        <f>SUM(G414:G416)</f>
        <v>844920</v>
      </c>
      <c r="H417" s="208"/>
      <c r="I417" s="899"/>
      <c r="J417" s="208"/>
      <c r="K417" s="208"/>
      <c r="L417" s="208"/>
      <c r="M417" s="900"/>
      <c r="N417" s="901"/>
      <c r="O417" s="207"/>
      <c r="P417" s="207"/>
      <c r="Q417" s="207"/>
      <c r="R417" s="207"/>
      <c r="S417" s="207"/>
      <c r="T417" s="207"/>
      <c r="U417" s="16"/>
      <c r="V417" s="805"/>
      <c r="W417" s="807"/>
      <c r="X417" s="208"/>
      <c r="Y417" s="44"/>
      <c r="Z417" s="44"/>
      <c r="AA417" s="44"/>
      <c r="AB417" s="44"/>
    </row>
    <row r="418" spans="1:28" s="45" customFormat="1" ht="15.75" thickBot="1">
      <c r="A418" s="185"/>
      <c r="B418" s="827"/>
      <c r="C418" s="887"/>
      <c r="D418" s="827"/>
      <c r="E418" s="594"/>
      <c r="F418" s="575"/>
      <c r="G418" s="910"/>
      <c r="H418" s="208"/>
      <c r="I418" s="899"/>
      <c r="J418" s="208"/>
      <c r="K418" s="208"/>
      <c r="L418" s="208"/>
      <c r="M418" s="900"/>
      <c r="N418" s="901"/>
      <c r="O418" s="207"/>
      <c r="P418" s="207"/>
      <c r="Q418" s="207"/>
      <c r="R418" s="207"/>
      <c r="S418" s="207"/>
      <c r="T418" s="207"/>
      <c r="U418" s="16"/>
      <c r="V418" s="805"/>
      <c r="W418" s="807"/>
      <c r="X418" s="208"/>
      <c r="Y418" s="44"/>
      <c r="Z418" s="44"/>
      <c r="AA418" s="44"/>
      <c r="AB418" s="44"/>
    </row>
    <row r="419" spans="1:28" s="45" customFormat="1">
      <c r="A419" s="185"/>
      <c r="B419" s="937">
        <v>13</v>
      </c>
      <c r="C419" s="75" t="s">
        <v>1324</v>
      </c>
      <c r="D419" s="76"/>
      <c r="E419" s="76"/>
      <c r="F419" s="76"/>
      <c r="G419" s="126"/>
      <c r="H419" s="208"/>
      <c r="I419" s="899"/>
      <c r="J419" s="208"/>
      <c r="K419" s="208"/>
      <c r="L419" s="208"/>
      <c r="M419" s="900"/>
      <c r="N419" s="901"/>
      <c r="O419" s="207"/>
      <c r="P419" s="207"/>
      <c r="Q419" s="207"/>
      <c r="R419" s="207"/>
      <c r="S419" s="207"/>
      <c r="T419" s="207"/>
      <c r="U419" s="16"/>
      <c r="V419" s="805"/>
      <c r="W419" s="807"/>
      <c r="X419" s="208"/>
      <c r="Y419" s="44"/>
      <c r="Z419" s="44"/>
      <c r="AA419" s="44"/>
      <c r="AB419" s="44"/>
    </row>
    <row r="420" spans="1:28" s="45" customFormat="1">
      <c r="A420" s="185"/>
      <c r="B420" s="974">
        <v>13.1</v>
      </c>
      <c r="C420" s="975" t="s">
        <v>1343</v>
      </c>
      <c r="D420" s="905"/>
      <c r="E420" s="905"/>
      <c r="F420" s="905"/>
      <c r="G420" s="906"/>
      <c r="H420" s="208"/>
      <c r="I420" s="899"/>
      <c r="J420" s="208"/>
      <c r="K420" s="208"/>
      <c r="L420" s="208"/>
      <c r="M420" s="900"/>
      <c r="N420" s="901"/>
      <c r="O420" s="207"/>
      <c r="P420" s="207"/>
      <c r="Q420" s="207"/>
      <c r="R420" s="207"/>
      <c r="S420" s="207"/>
      <c r="T420" s="207"/>
      <c r="U420" s="16"/>
      <c r="V420" s="805"/>
      <c r="W420" s="807"/>
      <c r="X420" s="208"/>
      <c r="Y420" s="44"/>
      <c r="Z420" s="44"/>
      <c r="AA420" s="44"/>
      <c r="AB420" s="44"/>
    </row>
    <row r="421" spans="1:28" s="45" customFormat="1">
      <c r="A421" s="185"/>
      <c r="B421" s="827" t="s">
        <v>1344</v>
      </c>
      <c r="C421" s="887" t="s">
        <v>1325</v>
      </c>
      <c r="D421" s="827" t="s">
        <v>22</v>
      </c>
      <c r="E421" s="594">
        <v>7</v>
      </c>
      <c r="F421" s="575">
        <v>27630</v>
      </c>
      <c r="G421" s="795">
        <f t="shared" ref="G421:G430" si="61">+F421*E421</f>
        <v>193410</v>
      </c>
      <c r="H421" s="208"/>
      <c r="I421" s="899"/>
      <c r="J421" s="208"/>
      <c r="K421" s="208"/>
      <c r="L421" s="208"/>
      <c r="M421" s="900"/>
      <c r="N421" s="901"/>
      <c r="O421" s="207"/>
      <c r="P421" s="207"/>
      <c r="Q421" s="207"/>
      <c r="R421" s="207"/>
      <c r="S421" s="207"/>
      <c r="T421" s="207"/>
      <c r="U421" s="16"/>
      <c r="V421" s="805"/>
      <c r="W421" s="807"/>
      <c r="X421" s="208"/>
      <c r="Y421" s="44"/>
      <c r="Z421" s="44"/>
      <c r="AA421" s="44"/>
      <c r="AB421" s="44"/>
    </row>
    <row r="422" spans="1:28" s="45" customFormat="1">
      <c r="A422" s="185"/>
      <c r="B422" s="827" t="s">
        <v>1345</v>
      </c>
      <c r="C422" s="887" t="s">
        <v>1326</v>
      </c>
      <c r="D422" s="827" t="s">
        <v>22</v>
      </c>
      <c r="E422" s="594">
        <v>13</v>
      </c>
      <c r="F422" s="575">
        <v>3130</v>
      </c>
      <c r="G422" s="795">
        <f t="shared" si="61"/>
        <v>40690</v>
      </c>
      <c r="H422" s="208"/>
      <c r="I422" s="899"/>
      <c r="J422" s="208"/>
      <c r="K422" s="208"/>
      <c r="L422" s="208"/>
      <c r="M422" s="900"/>
      <c r="N422" s="901"/>
      <c r="O422" s="207"/>
      <c r="P422" s="207"/>
      <c r="Q422" s="207"/>
      <c r="R422" s="207"/>
      <c r="S422" s="207"/>
      <c r="T422" s="207"/>
      <c r="U422" s="16"/>
      <c r="V422" s="805"/>
      <c r="W422" s="807"/>
      <c r="X422" s="208"/>
      <c r="Y422" s="44"/>
      <c r="Z422" s="44"/>
      <c r="AA422" s="44"/>
      <c r="AB422" s="44"/>
    </row>
    <row r="423" spans="1:28" s="45" customFormat="1">
      <c r="A423" s="185"/>
      <c r="B423" s="827" t="s">
        <v>1346</v>
      </c>
      <c r="C423" s="887" t="s">
        <v>1327</v>
      </c>
      <c r="D423" s="827" t="s">
        <v>22</v>
      </c>
      <c r="E423" s="594">
        <v>1</v>
      </c>
      <c r="F423" s="575">
        <v>2920</v>
      </c>
      <c r="G423" s="795">
        <f t="shared" si="61"/>
        <v>2920</v>
      </c>
      <c r="H423" s="208"/>
      <c r="I423" s="899"/>
      <c r="J423" s="208"/>
      <c r="K423" s="208"/>
      <c r="L423" s="208"/>
      <c r="M423" s="900"/>
      <c r="N423" s="901"/>
      <c r="O423" s="207"/>
      <c r="P423" s="207"/>
      <c r="Q423" s="207"/>
      <c r="R423" s="207"/>
      <c r="S423" s="207"/>
      <c r="T423" s="207"/>
      <c r="U423" s="16"/>
      <c r="V423" s="805"/>
      <c r="W423" s="807"/>
      <c r="X423" s="208"/>
      <c r="Y423" s="44"/>
      <c r="Z423" s="44"/>
      <c r="AA423" s="44"/>
      <c r="AB423" s="44"/>
    </row>
    <row r="424" spans="1:28" s="45" customFormat="1">
      <c r="A424" s="185"/>
      <c r="B424" s="827" t="s">
        <v>1347</v>
      </c>
      <c r="C424" s="887" t="s">
        <v>1328</v>
      </c>
      <c r="D424" s="827" t="s">
        <v>22</v>
      </c>
      <c r="E424" s="594">
        <v>4</v>
      </c>
      <c r="F424" s="575">
        <v>3100</v>
      </c>
      <c r="G424" s="795">
        <f t="shared" si="61"/>
        <v>12400</v>
      </c>
      <c r="H424" s="208"/>
      <c r="I424" s="899"/>
      <c r="J424" s="208"/>
      <c r="K424" s="208"/>
      <c r="L424" s="208"/>
      <c r="M424" s="900"/>
      <c r="N424" s="901"/>
      <c r="O424" s="207"/>
      <c r="P424" s="207"/>
      <c r="Q424" s="207"/>
      <c r="R424" s="207"/>
      <c r="S424" s="207"/>
      <c r="T424" s="207"/>
      <c r="U424" s="16"/>
      <c r="V424" s="805"/>
      <c r="W424" s="807"/>
      <c r="X424" s="208"/>
      <c r="Y424" s="44"/>
      <c r="Z424" s="44"/>
      <c r="AA424" s="44"/>
      <c r="AB424" s="44"/>
    </row>
    <row r="425" spans="1:28" s="45" customFormat="1">
      <c r="A425" s="185"/>
      <c r="B425" s="827" t="s">
        <v>1348</v>
      </c>
      <c r="C425" s="887" t="s">
        <v>1329</v>
      </c>
      <c r="D425" s="827" t="s">
        <v>22</v>
      </c>
      <c r="E425" s="594">
        <v>1</v>
      </c>
      <c r="F425" s="575">
        <v>3370</v>
      </c>
      <c r="G425" s="795">
        <f t="shared" si="61"/>
        <v>3370</v>
      </c>
      <c r="H425" s="208"/>
      <c r="I425" s="899"/>
      <c r="J425" s="208"/>
      <c r="K425" s="208"/>
      <c r="L425" s="208"/>
      <c r="M425" s="900"/>
      <c r="N425" s="901"/>
      <c r="O425" s="207"/>
      <c r="P425" s="207"/>
      <c r="Q425" s="207"/>
      <c r="R425" s="207"/>
      <c r="S425" s="207"/>
      <c r="T425" s="207"/>
      <c r="U425" s="16"/>
      <c r="V425" s="805"/>
      <c r="W425" s="807"/>
      <c r="X425" s="208"/>
      <c r="Y425" s="44"/>
      <c r="Z425" s="44"/>
      <c r="AA425" s="44"/>
      <c r="AB425" s="44"/>
    </row>
    <row r="426" spans="1:28" s="45" customFormat="1">
      <c r="A426" s="185"/>
      <c r="B426" s="827" t="s">
        <v>1349</v>
      </c>
      <c r="C426" s="887" t="s">
        <v>1331</v>
      </c>
      <c r="D426" s="827" t="s">
        <v>500</v>
      </c>
      <c r="E426" s="594">
        <v>24</v>
      </c>
      <c r="F426" s="575">
        <v>3870</v>
      </c>
      <c r="G426" s="795">
        <f t="shared" si="61"/>
        <v>92880</v>
      </c>
      <c r="H426" s="208"/>
      <c r="I426" s="899"/>
      <c r="J426" s="208"/>
      <c r="K426" s="208"/>
      <c r="L426" s="208"/>
      <c r="M426" s="900"/>
      <c r="N426" s="901"/>
      <c r="O426" s="207"/>
      <c r="P426" s="207"/>
      <c r="Q426" s="207"/>
      <c r="R426" s="207"/>
      <c r="S426" s="207"/>
      <c r="T426" s="207"/>
      <c r="U426" s="16"/>
      <c r="V426" s="805"/>
      <c r="W426" s="807"/>
      <c r="X426" s="208"/>
      <c r="Y426" s="44"/>
      <c r="Z426" s="44"/>
      <c r="AA426" s="44"/>
      <c r="AB426" s="44"/>
    </row>
    <row r="427" spans="1:28" s="45" customFormat="1">
      <c r="A427" s="185"/>
      <c r="B427" s="827" t="s">
        <v>1350</v>
      </c>
      <c r="C427" s="887" t="s">
        <v>1330</v>
      </c>
      <c r="D427" s="827" t="s">
        <v>500</v>
      </c>
      <c r="E427" s="594">
        <v>7</v>
      </c>
      <c r="F427" s="575">
        <v>4740</v>
      </c>
      <c r="G427" s="795">
        <f t="shared" si="61"/>
        <v>33180</v>
      </c>
      <c r="H427" s="208"/>
      <c r="I427" s="899"/>
      <c r="J427" s="208"/>
      <c r="K427" s="208"/>
      <c r="L427" s="208"/>
      <c r="M427" s="900"/>
      <c r="N427" s="901"/>
      <c r="O427" s="207"/>
      <c r="P427" s="207"/>
      <c r="Q427" s="207"/>
      <c r="R427" s="207"/>
      <c r="S427" s="207"/>
      <c r="T427" s="207"/>
      <c r="U427" s="16"/>
      <c r="V427" s="805"/>
      <c r="W427" s="807"/>
      <c r="X427" s="208"/>
      <c r="Y427" s="44"/>
      <c r="Z427" s="44"/>
      <c r="AA427" s="44"/>
      <c r="AB427" s="44"/>
    </row>
    <row r="428" spans="1:28" s="45" customFormat="1">
      <c r="A428" s="185"/>
      <c r="B428" s="827" t="s">
        <v>1351</v>
      </c>
      <c r="C428" s="887" t="s">
        <v>1333</v>
      </c>
      <c r="D428" s="827" t="s">
        <v>22</v>
      </c>
      <c r="E428" s="594">
        <v>3</v>
      </c>
      <c r="F428" s="575">
        <v>47640</v>
      </c>
      <c r="G428" s="795">
        <f t="shared" si="61"/>
        <v>142920</v>
      </c>
      <c r="H428" s="208"/>
      <c r="I428" s="899"/>
      <c r="J428" s="208"/>
      <c r="K428" s="208"/>
      <c r="L428" s="208"/>
      <c r="M428" s="900"/>
      <c r="N428" s="901"/>
      <c r="O428" s="207"/>
      <c r="P428" s="207"/>
      <c r="Q428" s="207"/>
      <c r="R428" s="207"/>
      <c r="S428" s="207"/>
      <c r="T428" s="207"/>
      <c r="U428" s="16"/>
      <c r="V428" s="805"/>
      <c r="W428" s="807"/>
      <c r="X428" s="208"/>
      <c r="Y428" s="44"/>
      <c r="Z428" s="44"/>
      <c r="AA428" s="44"/>
      <c r="AB428" s="44"/>
    </row>
    <row r="429" spans="1:28" s="45" customFormat="1">
      <c r="A429" s="185"/>
      <c r="B429" s="827" t="s">
        <v>1352</v>
      </c>
      <c r="C429" s="887" t="s">
        <v>1332</v>
      </c>
      <c r="D429" s="827" t="s">
        <v>22</v>
      </c>
      <c r="E429" s="594">
        <v>3</v>
      </c>
      <c r="F429" s="587">
        <v>33030</v>
      </c>
      <c r="G429" s="795">
        <f t="shared" si="61"/>
        <v>99090</v>
      </c>
      <c r="H429" s="208"/>
      <c r="I429" s="899"/>
      <c r="J429" s="208"/>
      <c r="K429" s="208"/>
      <c r="L429" s="208"/>
      <c r="M429" s="900"/>
      <c r="N429" s="901"/>
      <c r="O429" s="207"/>
      <c r="P429" s="207"/>
      <c r="Q429" s="207"/>
      <c r="R429" s="207"/>
      <c r="S429" s="207"/>
      <c r="T429" s="207"/>
      <c r="U429" s="16"/>
      <c r="V429" s="805"/>
      <c r="W429" s="807"/>
      <c r="X429" s="208"/>
      <c r="Y429" s="44"/>
      <c r="Z429" s="44"/>
      <c r="AA429" s="44"/>
      <c r="AB429" s="44"/>
    </row>
    <row r="430" spans="1:28" s="45" customFormat="1">
      <c r="A430" s="185"/>
      <c r="B430" s="827" t="s">
        <v>1353</v>
      </c>
      <c r="C430" s="887" t="s">
        <v>1334</v>
      </c>
      <c r="D430" s="827" t="s">
        <v>22</v>
      </c>
      <c r="E430" s="594">
        <v>3</v>
      </c>
      <c r="F430" s="575">
        <v>3250</v>
      </c>
      <c r="G430" s="795">
        <f t="shared" si="61"/>
        <v>9750</v>
      </c>
      <c r="H430" s="208"/>
      <c r="I430" s="899"/>
      <c r="J430" s="208"/>
      <c r="K430" s="208"/>
      <c r="L430" s="208"/>
      <c r="M430" s="900"/>
      <c r="N430" s="901"/>
      <c r="O430" s="207"/>
      <c r="P430" s="207"/>
      <c r="Q430" s="207"/>
      <c r="R430" s="207"/>
      <c r="S430" s="207"/>
      <c r="T430" s="207"/>
      <c r="U430" s="16"/>
      <c r="V430" s="805"/>
      <c r="W430" s="807"/>
      <c r="X430" s="208"/>
      <c r="Y430" s="44"/>
      <c r="Z430" s="44"/>
      <c r="AA430" s="44"/>
      <c r="AB430" s="44"/>
    </row>
    <row r="431" spans="1:28" s="45" customFormat="1">
      <c r="A431" s="185"/>
      <c r="B431" s="937">
        <v>13.2</v>
      </c>
      <c r="C431" s="981" t="s">
        <v>1335</v>
      </c>
      <c r="D431" s="937"/>
      <c r="E431" s="982"/>
      <c r="F431" s="983"/>
      <c r="G431" s="984"/>
      <c r="H431" s="208"/>
      <c r="I431" s="899"/>
      <c r="J431" s="208"/>
      <c r="K431" s="208"/>
      <c r="L431" s="208"/>
      <c r="M431" s="900"/>
      <c r="N431" s="901"/>
      <c r="O431" s="207"/>
      <c r="P431" s="207"/>
      <c r="Q431" s="207"/>
      <c r="R431" s="207"/>
      <c r="S431" s="207"/>
      <c r="T431" s="207"/>
      <c r="U431" s="16"/>
      <c r="V431" s="805"/>
      <c r="W431" s="807"/>
      <c r="X431" s="208"/>
      <c r="Y431" s="44"/>
      <c r="Z431" s="44"/>
      <c r="AA431" s="44"/>
      <c r="AB431" s="44"/>
    </row>
    <row r="432" spans="1:28" s="45" customFormat="1">
      <c r="A432" s="185"/>
      <c r="B432" s="827" t="s">
        <v>1354</v>
      </c>
      <c r="C432" s="593" t="s">
        <v>1336</v>
      </c>
      <c r="D432" s="827" t="s">
        <v>1337</v>
      </c>
      <c r="E432" s="594">
        <v>1</v>
      </c>
      <c r="F432" s="973">
        <v>38073</v>
      </c>
      <c r="G432" s="795">
        <f>+F432*E432</f>
        <v>38073</v>
      </c>
      <c r="H432" s="208"/>
      <c r="I432" s="899"/>
      <c r="J432" s="208"/>
      <c r="K432" s="208"/>
      <c r="L432" s="208"/>
      <c r="M432" s="900"/>
      <c r="N432" s="901"/>
      <c r="O432" s="207"/>
      <c r="P432" s="207"/>
      <c r="Q432" s="207"/>
      <c r="R432" s="207"/>
      <c r="S432" s="207"/>
      <c r="T432" s="207"/>
      <c r="U432" s="16"/>
      <c r="V432" s="805"/>
      <c r="W432" s="807"/>
      <c r="X432" s="208"/>
      <c r="Y432" s="44"/>
      <c r="Z432" s="44"/>
      <c r="AA432" s="44"/>
      <c r="AB432" s="44"/>
    </row>
    <row r="433" spans="1:28" s="45" customFormat="1">
      <c r="A433" s="185"/>
      <c r="B433" s="827" t="s">
        <v>1355</v>
      </c>
      <c r="C433" s="593" t="s">
        <v>1339</v>
      </c>
      <c r="D433" s="827" t="s">
        <v>1337</v>
      </c>
      <c r="E433" s="594">
        <v>2</v>
      </c>
      <c r="F433" s="973">
        <v>119840</v>
      </c>
      <c r="G433" s="795">
        <f>+F433*E433</f>
        <v>239680</v>
      </c>
      <c r="H433" s="208"/>
      <c r="I433" s="899"/>
      <c r="J433" s="208"/>
      <c r="K433" s="208"/>
      <c r="L433" s="208"/>
      <c r="M433" s="900"/>
      <c r="N433" s="901"/>
      <c r="O433" s="207"/>
      <c r="P433" s="207"/>
      <c r="Q433" s="207"/>
      <c r="R433" s="207"/>
      <c r="S433" s="207"/>
      <c r="T433" s="207"/>
      <c r="U433" s="16"/>
      <c r="V433" s="805"/>
      <c r="W433" s="807"/>
      <c r="X433" s="208"/>
      <c r="Y433" s="44"/>
      <c r="Z433" s="44"/>
      <c r="AA433" s="44"/>
      <c r="AB433" s="44"/>
    </row>
    <row r="434" spans="1:28" s="45" customFormat="1">
      <c r="A434" s="185"/>
      <c r="B434" s="827" t="s">
        <v>1356</v>
      </c>
      <c r="C434" s="593" t="s">
        <v>1340</v>
      </c>
      <c r="D434" s="827" t="s">
        <v>1337</v>
      </c>
      <c r="E434" s="594">
        <v>5</v>
      </c>
      <c r="F434" s="973">
        <v>34234</v>
      </c>
      <c r="G434" s="795">
        <f>+F434*E434</f>
        <v>171170</v>
      </c>
      <c r="H434" s="208"/>
      <c r="I434" s="899"/>
      <c r="J434" s="208"/>
      <c r="K434" s="208"/>
      <c r="L434" s="208"/>
      <c r="M434" s="900"/>
      <c r="N434" s="901"/>
      <c r="O434" s="207"/>
      <c r="P434" s="207"/>
      <c r="Q434" s="207"/>
      <c r="R434" s="207"/>
      <c r="S434" s="207"/>
      <c r="T434" s="207"/>
      <c r="U434" s="16"/>
      <c r="V434" s="805"/>
      <c r="W434" s="807"/>
      <c r="X434" s="208"/>
      <c r="Y434" s="44"/>
      <c r="Z434" s="44"/>
      <c r="AA434" s="44"/>
      <c r="AB434" s="44"/>
    </row>
    <row r="435" spans="1:28" s="45" customFormat="1">
      <c r="A435" s="185"/>
      <c r="B435" s="827" t="s">
        <v>1357</v>
      </c>
      <c r="C435" s="593" t="s">
        <v>1341</v>
      </c>
      <c r="D435" s="827" t="s">
        <v>1337</v>
      </c>
      <c r="E435" s="594">
        <v>3</v>
      </c>
      <c r="F435" s="575">
        <v>149340</v>
      </c>
      <c r="G435" s="795">
        <f>+F435*E435</f>
        <v>448020</v>
      </c>
      <c r="H435" s="208"/>
      <c r="I435" s="899"/>
      <c r="J435" s="208"/>
      <c r="K435" s="208"/>
      <c r="L435" s="208"/>
      <c r="M435" s="900"/>
      <c r="N435" s="901"/>
      <c r="O435" s="207"/>
      <c r="P435" s="207"/>
      <c r="Q435" s="207"/>
      <c r="R435" s="207"/>
      <c r="S435" s="207"/>
      <c r="T435" s="207"/>
      <c r="U435" s="16"/>
      <c r="V435" s="805"/>
      <c r="W435" s="807"/>
      <c r="X435" s="208"/>
      <c r="Y435" s="44"/>
      <c r="Z435" s="44"/>
      <c r="AA435" s="44"/>
      <c r="AB435" s="44"/>
    </row>
    <row r="436" spans="1:28" s="45" customFormat="1">
      <c r="A436" s="185"/>
      <c r="B436" s="827" t="s">
        <v>1358</v>
      </c>
      <c r="C436" s="887" t="s">
        <v>1338</v>
      </c>
      <c r="D436" s="827" t="s">
        <v>22</v>
      </c>
      <c r="E436" s="594">
        <v>1</v>
      </c>
      <c r="F436" s="575">
        <v>208740</v>
      </c>
      <c r="G436" s="795">
        <f>+F436*E436</f>
        <v>208740</v>
      </c>
      <c r="H436" s="208"/>
      <c r="I436" s="899"/>
      <c r="J436" s="208"/>
      <c r="K436" s="208"/>
      <c r="L436" s="208"/>
      <c r="M436" s="900"/>
      <c r="N436" s="901"/>
      <c r="O436" s="207"/>
      <c r="P436" s="207"/>
      <c r="Q436" s="207"/>
      <c r="R436" s="207"/>
      <c r="S436" s="207"/>
      <c r="T436" s="207"/>
      <c r="U436" s="16"/>
      <c r="V436" s="805"/>
      <c r="W436" s="807"/>
      <c r="X436" s="208"/>
      <c r="Y436" s="44"/>
      <c r="Z436" s="44"/>
      <c r="AA436" s="44"/>
      <c r="AB436" s="44"/>
    </row>
    <row r="437" spans="1:28" s="45" customFormat="1">
      <c r="A437" s="185"/>
      <c r="B437" s="937">
        <v>13.3</v>
      </c>
      <c r="C437" s="981" t="s">
        <v>1342</v>
      </c>
      <c r="D437" s="937"/>
      <c r="E437" s="982"/>
      <c r="F437" s="983"/>
      <c r="G437" s="984"/>
      <c r="H437" s="208"/>
      <c r="I437" s="899"/>
      <c r="J437" s="208"/>
      <c r="K437" s="208"/>
      <c r="L437" s="208"/>
      <c r="M437" s="900"/>
      <c r="N437" s="901"/>
      <c r="O437" s="207"/>
      <c r="P437" s="207"/>
      <c r="Q437" s="207"/>
      <c r="R437" s="207"/>
      <c r="S437" s="207"/>
      <c r="T437" s="207"/>
      <c r="U437" s="16"/>
      <c r="V437" s="805"/>
      <c r="W437" s="807"/>
      <c r="X437" s="208"/>
      <c r="Y437" s="44"/>
      <c r="Z437" s="44"/>
      <c r="AA437" s="44"/>
      <c r="AB437" s="44"/>
    </row>
    <row r="438" spans="1:28" s="45" customFormat="1">
      <c r="A438" s="185"/>
      <c r="B438" s="827" t="s">
        <v>1361</v>
      </c>
      <c r="C438" s="887" t="s">
        <v>1359</v>
      </c>
      <c r="D438" s="827" t="s">
        <v>22</v>
      </c>
      <c r="E438" s="594">
        <v>3</v>
      </c>
      <c r="F438" s="575">
        <v>29260</v>
      </c>
      <c r="G438" s="795">
        <f>+F438*E438</f>
        <v>87780</v>
      </c>
      <c r="H438" s="208"/>
      <c r="I438" s="899"/>
      <c r="J438" s="208"/>
      <c r="K438" s="208"/>
      <c r="L438" s="208"/>
      <c r="M438" s="900"/>
      <c r="N438" s="901"/>
      <c r="O438" s="207"/>
      <c r="P438" s="207"/>
      <c r="Q438" s="207"/>
      <c r="R438" s="207"/>
      <c r="S438" s="207"/>
      <c r="T438" s="207"/>
      <c r="U438" s="16"/>
      <c r="V438" s="805"/>
      <c r="W438" s="807"/>
      <c r="X438" s="208"/>
      <c r="Y438" s="44"/>
      <c r="Z438" s="44"/>
      <c r="AA438" s="44"/>
      <c r="AB438" s="44"/>
    </row>
    <row r="439" spans="1:28" s="45" customFormat="1">
      <c r="A439" s="185"/>
      <c r="B439" s="827" t="s">
        <v>1373</v>
      </c>
      <c r="C439" s="887" t="s">
        <v>1360</v>
      </c>
      <c r="D439" s="827" t="s">
        <v>22</v>
      </c>
      <c r="E439" s="594">
        <v>3</v>
      </c>
      <c r="F439" s="575">
        <v>33130</v>
      </c>
      <c r="G439" s="795">
        <f>+F439*E439</f>
        <v>99390</v>
      </c>
      <c r="H439" s="208"/>
      <c r="I439" s="899"/>
      <c r="J439" s="208"/>
      <c r="K439" s="208"/>
      <c r="L439" s="208"/>
      <c r="M439" s="900"/>
      <c r="N439" s="901"/>
      <c r="O439" s="207"/>
      <c r="P439" s="207"/>
      <c r="Q439" s="207"/>
      <c r="R439" s="207"/>
      <c r="S439" s="207"/>
      <c r="T439" s="207"/>
      <c r="U439" s="16"/>
      <c r="V439" s="805"/>
      <c r="W439" s="807"/>
      <c r="X439" s="208"/>
      <c r="Y439" s="44"/>
      <c r="Z439" s="44"/>
      <c r="AA439" s="44"/>
      <c r="AB439" s="44"/>
    </row>
    <row r="440" spans="1:28" s="45" customFormat="1">
      <c r="A440" s="185"/>
      <c r="B440" s="827" t="s">
        <v>1374</v>
      </c>
      <c r="C440" s="887" t="s">
        <v>1362</v>
      </c>
      <c r="D440" s="827" t="s">
        <v>22</v>
      </c>
      <c r="E440" s="594">
        <v>3</v>
      </c>
      <c r="F440" s="575">
        <v>66930</v>
      </c>
      <c r="G440" s="795">
        <f>+F440*E440</f>
        <v>200790</v>
      </c>
      <c r="H440" s="208"/>
      <c r="I440" s="899"/>
      <c r="J440" s="208"/>
      <c r="K440" s="208"/>
      <c r="L440" s="208"/>
      <c r="M440" s="900"/>
      <c r="N440" s="901"/>
      <c r="O440" s="207"/>
      <c r="P440" s="207"/>
      <c r="Q440" s="207"/>
      <c r="R440" s="207"/>
      <c r="S440" s="207"/>
      <c r="T440" s="207"/>
      <c r="U440" s="16"/>
      <c r="V440" s="805"/>
      <c r="W440" s="807"/>
      <c r="X440" s="208"/>
      <c r="Y440" s="44"/>
      <c r="Z440" s="44"/>
      <c r="AA440" s="44"/>
      <c r="AB440" s="44"/>
    </row>
    <row r="441" spans="1:28" s="45" customFormat="1">
      <c r="A441" s="185"/>
      <c r="B441" s="937">
        <v>13.4</v>
      </c>
      <c r="C441" s="985" t="s">
        <v>1363</v>
      </c>
      <c r="D441" s="937"/>
      <c r="E441" s="982"/>
      <c r="F441" s="983"/>
      <c r="G441" s="984"/>
      <c r="H441" s="208"/>
      <c r="I441" s="899"/>
      <c r="J441" s="208"/>
      <c r="K441" s="208"/>
      <c r="L441" s="208"/>
      <c r="M441" s="900"/>
      <c r="N441" s="901"/>
      <c r="O441" s="207"/>
      <c r="P441" s="207"/>
      <c r="Q441" s="207"/>
      <c r="R441" s="207"/>
      <c r="S441" s="207"/>
      <c r="T441" s="207"/>
      <c r="U441" s="16"/>
      <c r="V441" s="805"/>
      <c r="W441" s="807"/>
      <c r="X441" s="208"/>
      <c r="Y441" s="44"/>
      <c r="Z441" s="44"/>
      <c r="AA441" s="44"/>
      <c r="AB441" s="44"/>
    </row>
    <row r="442" spans="1:28" s="45" customFormat="1">
      <c r="A442" s="185"/>
      <c r="B442" s="827" t="s">
        <v>1375</v>
      </c>
      <c r="C442" s="102" t="s">
        <v>1364</v>
      </c>
      <c r="D442" s="104" t="s">
        <v>500</v>
      </c>
      <c r="E442" s="103">
        <v>5</v>
      </c>
      <c r="F442" s="575">
        <v>21516</v>
      </c>
      <c r="G442" s="795">
        <f>+F442*E442</f>
        <v>107580</v>
      </c>
      <c r="H442" s="208"/>
      <c r="I442" s="899"/>
      <c r="J442" s="208"/>
      <c r="K442" s="208"/>
      <c r="L442" s="208"/>
      <c r="M442" s="900"/>
      <c r="N442" s="901"/>
      <c r="O442" s="207"/>
      <c r="P442" s="207"/>
      <c r="Q442" s="207"/>
      <c r="R442" s="207"/>
      <c r="S442" s="207"/>
      <c r="T442" s="207"/>
      <c r="U442" s="16"/>
      <c r="V442" s="805"/>
      <c r="W442" s="807"/>
      <c r="X442" s="208"/>
      <c r="Y442" s="44"/>
      <c r="Z442" s="44"/>
      <c r="AA442" s="44"/>
      <c r="AB442" s="44"/>
    </row>
    <row r="443" spans="1:28" s="45" customFormat="1">
      <c r="A443" s="185"/>
      <c r="B443" s="827" t="s">
        <v>1376</v>
      </c>
      <c r="C443" s="102" t="s">
        <v>1365</v>
      </c>
      <c r="D443" s="104" t="s">
        <v>500</v>
      </c>
      <c r="E443" s="103">
        <v>5</v>
      </c>
      <c r="F443" s="575">
        <v>20557</v>
      </c>
      <c r="G443" s="795">
        <f>+F443*E443</f>
        <v>102785</v>
      </c>
      <c r="H443" s="208"/>
      <c r="I443" s="899"/>
      <c r="J443" s="208"/>
      <c r="K443" s="208"/>
      <c r="L443" s="208"/>
      <c r="M443" s="900"/>
      <c r="N443" s="901"/>
      <c r="O443" s="207"/>
      <c r="P443" s="207"/>
      <c r="Q443" s="207"/>
      <c r="R443" s="207"/>
      <c r="S443" s="207"/>
      <c r="T443" s="207"/>
      <c r="U443" s="16"/>
      <c r="V443" s="805"/>
      <c r="W443" s="807"/>
      <c r="X443" s="208"/>
      <c r="Y443" s="44"/>
      <c r="Z443" s="44"/>
      <c r="AA443" s="44"/>
      <c r="AB443" s="44"/>
    </row>
    <row r="444" spans="1:28" s="45" customFormat="1" ht="15.75" thickBot="1">
      <c r="A444" s="185"/>
      <c r="B444" s="827" t="s">
        <v>1377</v>
      </c>
      <c r="C444" s="102" t="s">
        <v>1366</v>
      </c>
      <c r="D444" s="104" t="s">
        <v>500</v>
      </c>
      <c r="E444" s="103">
        <v>4</v>
      </c>
      <c r="F444" s="575">
        <v>18028</v>
      </c>
      <c r="G444" s="795">
        <f>+F444*E444</f>
        <v>72112</v>
      </c>
      <c r="H444" s="208"/>
      <c r="I444" s="899"/>
      <c r="J444" s="208"/>
      <c r="K444" s="208"/>
      <c r="L444" s="208"/>
      <c r="M444" s="900"/>
      <c r="N444" s="901"/>
      <c r="O444" s="207"/>
      <c r="P444" s="207"/>
      <c r="Q444" s="207"/>
      <c r="R444" s="207"/>
      <c r="S444" s="207"/>
      <c r="T444" s="207"/>
      <c r="U444" s="16"/>
      <c r="V444" s="805"/>
      <c r="W444" s="807"/>
      <c r="X444" s="208"/>
      <c r="Y444" s="44"/>
      <c r="Z444" s="44"/>
      <c r="AA444" s="44"/>
      <c r="AB444" s="44"/>
    </row>
    <row r="445" spans="1:28" s="45" customFormat="1">
      <c r="A445" s="185"/>
      <c r="B445" s="937">
        <v>13.5</v>
      </c>
      <c r="C445" s="978" t="s">
        <v>1367</v>
      </c>
      <c r="D445" s="979"/>
      <c r="E445" s="979"/>
      <c r="F445" s="979"/>
      <c r="G445" s="980"/>
      <c r="H445" s="208"/>
      <c r="I445" s="899"/>
      <c r="J445" s="208"/>
      <c r="K445" s="208"/>
      <c r="L445" s="208"/>
      <c r="M445" s="900"/>
      <c r="N445" s="901"/>
      <c r="O445" s="207"/>
      <c r="P445" s="207"/>
      <c r="Q445" s="207"/>
      <c r="R445" s="207"/>
      <c r="S445" s="207"/>
      <c r="T445" s="207"/>
      <c r="U445" s="16"/>
      <c r="V445" s="805"/>
      <c r="W445" s="807"/>
      <c r="X445" s="208"/>
      <c r="Y445" s="44"/>
      <c r="Z445" s="44"/>
      <c r="AA445" s="44"/>
      <c r="AB445" s="44"/>
    </row>
    <row r="446" spans="1:28" s="45" customFormat="1">
      <c r="A446" s="185"/>
      <c r="B446" s="827" t="s">
        <v>1378</v>
      </c>
      <c r="C446" s="593" t="s">
        <v>1364</v>
      </c>
      <c r="D446" s="827" t="s">
        <v>1337</v>
      </c>
      <c r="E446" s="594">
        <v>2</v>
      </c>
      <c r="F446" s="575">
        <v>8658</v>
      </c>
      <c r="G446" s="795">
        <f>+F446*E446</f>
        <v>17316</v>
      </c>
      <c r="H446" s="208"/>
      <c r="I446" s="899"/>
      <c r="J446" s="208"/>
      <c r="K446" s="208"/>
      <c r="L446" s="208"/>
      <c r="M446" s="900"/>
      <c r="N446" s="901"/>
      <c r="O446" s="207"/>
      <c r="P446" s="207"/>
      <c r="Q446" s="207"/>
      <c r="R446" s="207"/>
      <c r="S446" s="207"/>
      <c r="T446" s="207"/>
      <c r="U446" s="16"/>
      <c r="V446" s="805"/>
      <c r="W446" s="807"/>
      <c r="X446" s="208"/>
      <c r="Y446" s="44"/>
      <c r="Z446" s="44"/>
      <c r="AA446" s="44"/>
      <c r="AB446" s="44"/>
    </row>
    <row r="447" spans="1:28" s="45" customFormat="1">
      <c r="A447" s="185"/>
      <c r="B447" s="827" t="s">
        <v>1379</v>
      </c>
      <c r="C447" s="593" t="s">
        <v>1365</v>
      </c>
      <c r="D447" s="827" t="s">
        <v>1337</v>
      </c>
      <c r="E447" s="594">
        <v>6</v>
      </c>
      <c r="F447" s="575">
        <v>5510</v>
      </c>
      <c r="G447" s="795">
        <f>+F447*E447</f>
        <v>33060</v>
      </c>
      <c r="H447" s="208"/>
      <c r="I447" s="899"/>
      <c r="J447" s="208"/>
      <c r="K447" s="208"/>
      <c r="L447" s="208"/>
      <c r="M447" s="900"/>
      <c r="N447" s="901"/>
      <c r="O447" s="207"/>
      <c r="P447" s="207"/>
      <c r="Q447" s="207"/>
      <c r="R447" s="207"/>
      <c r="S447" s="207"/>
      <c r="T447" s="207"/>
      <c r="U447" s="16"/>
      <c r="V447" s="805"/>
      <c r="W447" s="807"/>
      <c r="X447" s="208"/>
      <c r="Y447" s="44"/>
      <c r="Z447" s="44"/>
      <c r="AA447" s="44"/>
      <c r="AB447" s="44"/>
    </row>
    <row r="448" spans="1:28" s="45" customFormat="1" ht="15.75" thickBot="1">
      <c r="A448" s="185"/>
      <c r="B448" s="827" t="s">
        <v>1380</v>
      </c>
      <c r="C448" s="593" t="s">
        <v>1366</v>
      </c>
      <c r="D448" s="827" t="s">
        <v>1337</v>
      </c>
      <c r="E448" s="594">
        <v>2</v>
      </c>
      <c r="F448" s="575">
        <v>2169</v>
      </c>
      <c r="G448" s="795">
        <f>+F448*E448</f>
        <v>4338</v>
      </c>
      <c r="H448" s="208"/>
      <c r="I448" s="899"/>
      <c r="J448" s="208"/>
      <c r="K448" s="208"/>
      <c r="L448" s="208"/>
      <c r="M448" s="900"/>
      <c r="N448" s="901"/>
      <c r="O448" s="207"/>
      <c r="P448" s="207"/>
      <c r="Q448" s="207"/>
      <c r="R448" s="207"/>
      <c r="S448" s="207"/>
      <c r="T448" s="207"/>
      <c r="U448" s="16"/>
      <c r="V448" s="805"/>
      <c r="W448" s="807"/>
      <c r="X448" s="208"/>
      <c r="Y448" s="44"/>
      <c r="Z448" s="44"/>
      <c r="AA448" s="44"/>
      <c r="AB448" s="44"/>
    </row>
    <row r="449" spans="1:28" s="45" customFormat="1">
      <c r="A449" s="185"/>
      <c r="B449" s="991">
        <v>13.6</v>
      </c>
      <c r="C449" s="978" t="s">
        <v>1368</v>
      </c>
      <c r="D449" s="979"/>
      <c r="E449" s="979"/>
      <c r="F449" s="979"/>
      <c r="G449" s="1002"/>
      <c r="H449" s="208"/>
      <c r="I449" s="899"/>
      <c r="J449" s="208"/>
      <c r="K449" s="208"/>
      <c r="L449" s="208"/>
      <c r="M449" s="900"/>
      <c r="N449" s="901"/>
      <c r="O449" s="207"/>
      <c r="P449" s="207"/>
      <c r="Q449" s="207"/>
      <c r="R449" s="207"/>
      <c r="S449" s="207"/>
      <c r="T449" s="207"/>
      <c r="U449" s="16"/>
      <c r="V449" s="805"/>
      <c r="W449" s="807"/>
      <c r="X449" s="208"/>
      <c r="Y449" s="44"/>
      <c r="Z449" s="44"/>
      <c r="AA449" s="44"/>
      <c r="AB449" s="44"/>
    </row>
    <row r="450" spans="1:28" s="45" customFormat="1">
      <c r="A450" s="185"/>
      <c r="B450" s="592" t="s">
        <v>1381</v>
      </c>
      <c r="C450" s="593" t="s">
        <v>1365</v>
      </c>
      <c r="D450" s="827" t="s">
        <v>1337</v>
      </c>
      <c r="E450" s="594">
        <v>3</v>
      </c>
      <c r="F450" s="575">
        <v>6465</v>
      </c>
      <c r="G450" s="795">
        <f>+F450*E450</f>
        <v>19395</v>
      </c>
      <c r="H450" s="208"/>
      <c r="I450" s="899"/>
      <c r="J450" s="208"/>
      <c r="K450" s="208"/>
      <c r="L450" s="208"/>
      <c r="M450" s="900"/>
      <c r="N450" s="901"/>
      <c r="O450" s="207"/>
      <c r="P450" s="207"/>
      <c r="Q450" s="207"/>
      <c r="R450" s="207"/>
      <c r="S450" s="207"/>
      <c r="T450" s="207"/>
      <c r="U450" s="16"/>
      <c r="V450" s="805"/>
      <c r="W450" s="807"/>
      <c r="X450" s="208"/>
      <c r="Y450" s="44"/>
      <c r="Z450" s="44"/>
      <c r="AA450" s="44"/>
      <c r="AB450" s="44"/>
    </row>
    <row r="451" spans="1:28" s="45" customFormat="1" ht="15.75" thickBot="1">
      <c r="A451" s="185"/>
      <c r="B451" s="592" t="s">
        <v>1382</v>
      </c>
      <c r="C451" s="593" t="s">
        <v>1366</v>
      </c>
      <c r="D451" s="827" t="s">
        <v>1337</v>
      </c>
      <c r="E451" s="594">
        <v>1</v>
      </c>
      <c r="F451" s="575">
        <v>4785</v>
      </c>
      <c r="G451" s="795">
        <f>+F451*E451</f>
        <v>4785</v>
      </c>
      <c r="H451" s="208"/>
      <c r="I451" s="899"/>
      <c r="J451" s="208"/>
      <c r="K451" s="208"/>
      <c r="L451" s="208"/>
      <c r="M451" s="900"/>
      <c r="N451" s="901"/>
      <c r="O451" s="207"/>
      <c r="P451" s="207"/>
      <c r="Q451" s="207"/>
      <c r="R451" s="207"/>
      <c r="S451" s="207"/>
      <c r="T451" s="207"/>
      <c r="U451" s="16"/>
      <c r="V451" s="805"/>
      <c r="W451" s="807"/>
      <c r="X451" s="208"/>
      <c r="Y451" s="44"/>
      <c r="Z451" s="44"/>
      <c r="AA451" s="44"/>
      <c r="AB451" s="44"/>
    </row>
    <row r="452" spans="1:28" s="45" customFormat="1">
      <c r="A452" s="185"/>
      <c r="B452" s="992">
        <v>13.7</v>
      </c>
      <c r="C452" s="75" t="s">
        <v>1369</v>
      </c>
      <c r="D452" s="76"/>
      <c r="E452" s="76"/>
      <c r="F452" s="76"/>
      <c r="G452" s="126"/>
      <c r="H452" s="208"/>
      <c r="I452" s="899"/>
      <c r="J452" s="208"/>
      <c r="K452" s="208"/>
      <c r="L452" s="208"/>
      <c r="M452" s="900"/>
      <c r="N452" s="901"/>
      <c r="O452" s="207"/>
      <c r="P452" s="207"/>
      <c r="Q452" s="207"/>
      <c r="R452" s="207"/>
      <c r="S452" s="207"/>
      <c r="T452" s="207"/>
      <c r="U452" s="16"/>
      <c r="V452" s="805"/>
      <c r="W452" s="807"/>
      <c r="X452" s="208"/>
      <c r="Y452" s="44"/>
      <c r="Z452" s="44"/>
      <c r="AA452" s="44"/>
      <c r="AB452" s="44"/>
    </row>
    <row r="453" spans="1:28" s="45" customFormat="1">
      <c r="A453" s="185"/>
      <c r="B453" s="827" t="s">
        <v>1383</v>
      </c>
      <c r="C453" s="887" t="s">
        <v>1371</v>
      </c>
      <c r="D453" s="827" t="s">
        <v>1337</v>
      </c>
      <c r="E453" s="594">
        <v>2</v>
      </c>
      <c r="F453" s="575">
        <v>24760</v>
      </c>
      <c r="G453" s="795">
        <f>+F453*E453</f>
        <v>49520</v>
      </c>
      <c r="H453" s="208"/>
      <c r="I453" s="899"/>
      <c r="J453" s="208"/>
      <c r="K453" s="208"/>
      <c r="L453" s="208"/>
      <c r="M453" s="900"/>
      <c r="N453" s="901"/>
      <c r="O453" s="207"/>
      <c r="P453" s="207"/>
      <c r="Q453" s="207"/>
      <c r="R453" s="207"/>
      <c r="S453" s="207"/>
      <c r="T453" s="207"/>
      <c r="U453" s="16"/>
      <c r="V453" s="805"/>
      <c r="W453" s="807"/>
      <c r="X453" s="208"/>
      <c r="Y453" s="44"/>
      <c r="Z453" s="44"/>
      <c r="AA453" s="44"/>
      <c r="AB453" s="44"/>
    </row>
    <row r="454" spans="1:28" s="45" customFormat="1" ht="15.75" thickBot="1">
      <c r="A454" s="185"/>
      <c r="B454" s="827" t="s">
        <v>1384</v>
      </c>
      <c r="C454" s="887" t="s">
        <v>1370</v>
      </c>
      <c r="D454" s="827" t="s">
        <v>1337</v>
      </c>
      <c r="E454" s="594">
        <v>2</v>
      </c>
      <c r="F454" s="575">
        <v>29900</v>
      </c>
      <c r="G454" s="795">
        <f>+F454*E454</f>
        <v>59800</v>
      </c>
      <c r="H454" s="208"/>
      <c r="I454" s="899"/>
      <c r="J454" s="208"/>
      <c r="K454" s="208"/>
      <c r="L454" s="208"/>
      <c r="M454" s="900"/>
      <c r="N454" s="901"/>
      <c r="O454" s="207"/>
      <c r="P454" s="207"/>
      <c r="Q454" s="207"/>
      <c r="R454" s="207"/>
      <c r="S454" s="207"/>
      <c r="T454" s="207"/>
      <c r="U454" s="16"/>
      <c r="V454" s="805"/>
      <c r="W454" s="807"/>
      <c r="X454" s="208"/>
      <c r="Y454" s="44"/>
      <c r="Z454" s="44"/>
      <c r="AA454" s="44"/>
      <c r="AB454" s="44"/>
    </row>
    <row r="455" spans="1:28" s="45" customFormat="1">
      <c r="A455" s="185"/>
      <c r="B455" s="992">
        <v>13.8</v>
      </c>
      <c r="C455" s="75" t="s">
        <v>1372</v>
      </c>
      <c r="D455" s="76"/>
      <c r="E455" s="76"/>
      <c r="F455" s="76"/>
      <c r="G455" s="126"/>
      <c r="H455" s="208"/>
      <c r="I455" s="899"/>
      <c r="J455" s="208"/>
      <c r="K455" s="208"/>
      <c r="L455" s="208"/>
      <c r="M455" s="900"/>
      <c r="N455" s="901"/>
      <c r="O455" s="207"/>
      <c r="P455" s="207"/>
      <c r="Q455" s="207"/>
      <c r="R455" s="207"/>
      <c r="S455" s="207"/>
      <c r="T455" s="207"/>
      <c r="U455" s="16"/>
      <c r="V455" s="805"/>
      <c r="W455" s="807"/>
      <c r="X455" s="208"/>
      <c r="Y455" s="44"/>
      <c r="Z455" s="44"/>
      <c r="AA455" s="44"/>
      <c r="AB455" s="44"/>
    </row>
    <row r="456" spans="1:28">
      <c r="A456" s="210"/>
      <c r="B456" s="101" t="s">
        <v>1385</v>
      </c>
      <c r="C456" s="102" t="s">
        <v>1365</v>
      </c>
      <c r="D456" s="104" t="s">
        <v>500</v>
      </c>
      <c r="E456" s="103">
        <v>3</v>
      </c>
      <c r="F456" s="575">
        <v>10451</v>
      </c>
      <c r="G456" s="792">
        <f>+F456*E456</f>
        <v>31353</v>
      </c>
      <c r="V456" s="805"/>
      <c r="W456" s="419"/>
      <c r="X456" s="419"/>
    </row>
    <row r="457" spans="1:28" s="45" customFormat="1" ht="15.75" thickBot="1">
      <c r="A457" s="209"/>
      <c r="B457" s="886"/>
      <c r="C457" s="114"/>
      <c r="D457" s="115"/>
      <c r="E457" s="116"/>
      <c r="F457" s="117" t="s">
        <v>1386</v>
      </c>
      <c r="G457" s="118">
        <f>SUM(G421:G456)</f>
        <v>2626297</v>
      </c>
      <c r="H457" s="38"/>
      <c r="I457" s="38"/>
      <c r="J457" s="38"/>
      <c r="K457" s="38"/>
      <c r="L457" s="38"/>
      <c r="M457" s="38"/>
      <c r="N457" s="38"/>
      <c r="O457" s="38"/>
      <c r="P457" s="38"/>
      <c r="Q457" s="38"/>
      <c r="R457" s="38"/>
      <c r="S457" s="38"/>
      <c r="T457" s="38"/>
      <c r="U457" s="16"/>
      <c r="V457" s="805"/>
      <c r="W457" s="44"/>
      <c r="X457" s="44"/>
      <c r="Y457" s="44"/>
      <c r="Z457" s="44"/>
      <c r="AA457" s="44"/>
      <c r="AB457" s="44"/>
    </row>
    <row r="458" spans="1:28" s="45" customFormat="1" ht="15.75" thickBot="1">
      <c r="A458" s="209"/>
      <c r="B458" s="974"/>
      <c r="C458" s="977"/>
      <c r="D458" s="993"/>
      <c r="E458" s="994"/>
      <c r="F458" s="995"/>
      <c r="G458" s="976">
        <f t="shared" ref="G458" si="62">+E458*F458</f>
        <v>0</v>
      </c>
      <c r="H458" s="38"/>
      <c r="I458" s="38"/>
      <c r="J458" s="38"/>
      <c r="K458" s="38"/>
      <c r="L458" s="38"/>
      <c r="M458" s="38"/>
      <c r="N458" s="38"/>
      <c r="O458" s="38"/>
      <c r="P458" s="38"/>
      <c r="Q458" s="38"/>
      <c r="R458" s="38"/>
      <c r="S458" s="38"/>
      <c r="T458" s="38"/>
      <c r="U458" s="16"/>
      <c r="V458" s="805"/>
      <c r="W458" s="44"/>
      <c r="X458" s="44"/>
      <c r="Y458" s="44"/>
      <c r="Z458" s="44"/>
      <c r="AA458" s="44"/>
      <c r="AB458" s="44"/>
    </row>
    <row r="459" spans="1:28" s="45" customFormat="1">
      <c r="A459" s="209"/>
      <c r="B459" s="74"/>
      <c r="C459" s="75" t="s">
        <v>1393</v>
      </c>
      <c r="D459" s="76"/>
      <c r="E459" s="76"/>
      <c r="F459" s="76"/>
      <c r="G459" s="126"/>
      <c r="H459" s="38"/>
      <c r="I459" s="38"/>
      <c r="J459" s="38"/>
      <c r="K459" s="38"/>
      <c r="L459" s="38"/>
      <c r="M459" s="38"/>
      <c r="N459" s="38"/>
      <c r="O459" s="38"/>
      <c r="P459" s="38"/>
      <c r="Q459" s="38"/>
      <c r="R459" s="38"/>
      <c r="S459" s="38"/>
      <c r="T459" s="38"/>
      <c r="U459" s="16"/>
      <c r="V459" s="805"/>
      <c r="W459" s="44"/>
      <c r="X459" s="44"/>
      <c r="Y459" s="44"/>
      <c r="Z459" s="44"/>
      <c r="AA459" s="44"/>
      <c r="AB459" s="44"/>
    </row>
    <row r="460" spans="1:28" s="45" customFormat="1" ht="26.25" thickBot="1">
      <c r="A460" s="209"/>
      <c r="B460" s="101"/>
      <c r="C460" s="102" t="s">
        <v>1388</v>
      </c>
      <c r="D460" s="104" t="s">
        <v>22</v>
      </c>
      <c r="E460" s="103">
        <v>2</v>
      </c>
      <c r="F460" s="575">
        <v>560000</v>
      </c>
      <c r="G460" s="795">
        <v>6354176</v>
      </c>
      <c r="H460" s="38"/>
      <c r="I460" s="38"/>
      <c r="J460" s="38"/>
      <c r="K460" s="38"/>
      <c r="L460" s="38"/>
      <c r="M460" s="38"/>
      <c r="N460" s="38"/>
      <c r="O460" s="38"/>
      <c r="P460" s="38"/>
      <c r="Q460" s="38"/>
      <c r="R460" s="38"/>
      <c r="S460" s="38"/>
      <c r="T460" s="38"/>
      <c r="U460" s="16"/>
      <c r="V460" s="805"/>
      <c r="W460" s="44"/>
      <c r="X460" s="44">
        <f>2474000*1.16</f>
        <v>2869840</v>
      </c>
      <c r="Y460" s="44"/>
      <c r="Z460" s="44"/>
      <c r="AA460" s="44"/>
      <c r="AB460" s="44"/>
    </row>
    <row r="461" spans="1:28" s="45" customFormat="1">
      <c r="A461" s="209"/>
      <c r="B461" s="74"/>
      <c r="C461" s="75" t="s">
        <v>1389</v>
      </c>
      <c r="D461" s="76"/>
      <c r="E461" s="76"/>
      <c r="F461" s="76"/>
      <c r="G461" s="77"/>
      <c r="H461" s="38"/>
      <c r="I461" s="38"/>
      <c r="J461" s="38"/>
      <c r="K461" s="38"/>
      <c r="L461" s="38"/>
      <c r="M461" s="38"/>
      <c r="N461" s="38"/>
      <c r="O461" s="38"/>
      <c r="P461" s="38"/>
      <c r="Q461" s="38"/>
      <c r="R461" s="38"/>
      <c r="S461" s="38"/>
      <c r="T461" s="38"/>
      <c r="U461" s="16"/>
      <c r="V461" s="805"/>
      <c r="W461" s="44"/>
      <c r="X461" s="44"/>
      <c r="Y461" s="44"/>
      <c r="Z461" s="44"/>
      <c r="AA461" s="44"/>
      <c r="AB461" s="44"/>
    </row>
    <row r="462" spans="1:28" s="45" customFormat="1">
      <c r="A462" s="209"/>
      <c r="B462" s="592"/>
      <c r="C462" s="593" t="s">
        <v>1390</v>
      </c>
      <c r="D462" s="827" t="s">
        <v>1337</v>
      </c>
      <c r="E462" s="594">
        <v>1</v>
      </c>
      <c r="F462" s="575">
        <v>78639</v>
      </c>
      <c r="G462" s="795">
        <v>78639</v>
      </c>
      <c r="H462" s="38"/>
      <c r="I462" s="38"/>
      <c r="J462" s="38"/>
      <c r="K462" s="38"/>
      <c r="L462" s="38"/>
      <c r="M462" s="38"/>
      <c r="N462" s="38"/>
      <c r="O462" s="38"/>
      <c r="P462" s="38"/>
      <c r="Q462" s="38"/>
      <c r="R462" s="38"/>
      <c r="S462" s="38"/>
      <c r="T462" s="38"/>
      <c r="U462" s="16"/>
      <c r="V462" s="805"/>
      <c r="W462" s="44"/>
      <c r="X462" s="44"/>
      <c r="Y462" s="44"/>
      <c r="Z462" s="44"/>
      <c r="AA462" s="44"/>
      <c r="AB462" s="44"/>
    </row>
    <row r="463" spans="1:28" s="45" customFormat="1">
      <c r="A463" s="209"/>
      <c r="B463" s="592"/>
      <c r="C463" s="593" t="s">
        <v>1391</v>
      </c>
      <c r="D463" s="827" t="s">
        <v>1337</v>
      </c>
      <c r="E463" s="594">
        <v>1</v>
      </c>
      <c r="F463" s="575">
        <v>942239</v>
      </c>
      <c r="G463" s="795">
        <v>942239</v>
      </c>
      <c r="H463" s="38"/>
      <c r="I463" s="38"/>
      <c r="J463" s="38"/>
      <c r="K463" s="38"/>
      <c r="L463" s="38"/>
      <c r="M463" s="38"/>
      <c r="N463" s="38"/>
      <c r="O463" s="38"/>
      <c r="P463" s="38"/>
      <c r="Q463" s="38"/>
      <c r="R463" s="38"/>
      <c r="S463" s="38"/>
      <c r="T463" s="38"/>
      <c r="U463" s="16"/>
      <c r="V463" s="805"/>
      <c r="W463" s="44"/>
      <c r="X463" s="44"/>
      <c r="Y463" s="44"/>
      <c r="Z463" s="44"/>
      <c r="AA463" s="44"/>
      <c r="AB463" s="44"/>
    </row>
    <row r="464" spans="1:28" s="45" customFormat="1">
      <c r="A464" s="209"/>
      <c r="B464" s="592"/>
      <c r="C464" s="593" t="s">
        <v>1392</v>
      </c>
      <c r="D464" s="827" t="s">
        <v>1337</v>
      </c>
      <c r="E464" s="594">
        <v>2</v>
      </c>
      <c r="F464" s="575">
        <v>212089</v>
      </c>
      <c r="G464" s="795">
        <v>424178</v>
      </c>
      <c r="H464" s="38"/>
      <c r="I464" s="38"/>
      <c r="J464" s="38"/>
      <c r="K464" s="38"/>
      <c r="L464" s="38"/>
      <c r="M464" s="38"/>
      <c r="N464" s="38"/>
      <c r="O464" s="38"/>
      <c r="P464" s="38"/>
      <c r="Q464" s="38"/>
      <c r="R464" s="38"/>
      <c r="S464" s="38"/>
      <c r="T464" s="38"/>
      <c r="U464" s="16"/>
      <c r="V464" s="805"/>
      <c r="W464" s="44"/>
      <c r="X464" s="44"/>
      <c r="Y464" s="44"/>
      <c r="Z464" s="44"/>
      <c r="AA464" s="44"/>
      <c r="AB464" s="44"/>
    </row>
    <row r="465" spans="1:28" s="45" customFormat="1" ht="15.75" thickBot="1">
      <c r="A465" s="209"/>
      <c r="B465" s="974"/>
      <c r="C465" s="977"/>
      <c r="D465" s="996"/>
      <c r="E465" s="997"/>
      <c r="F465" s="968"/>
      <c r="G465" s="976"/>
      <c r="H465" s="38"/>
      <c r="I465" s="38"/>
      <c r="J465" s="38"/>
      <c r="K465" s="38"/>
      <c r="L465" s="38"/>
      <c r="M465" s="38"/>
      <c r="N465" s="38"/>
      <c r="O465" s="38"/>
      <c r="P465" s="38"/>
      <c r="Q465" s="38"/>
      <c r="R465" s="38"/>
      <c r="S465" s="38"/>
      <c r="T465" s="38"/>
      <c r="U465" s="16"/>
      <c r="V465" s="805"/>
      <c r="W465" s="44"/>
      <c r="X465" s="44"/>
      <c r="Y465" s="44"/>
      <c r="Z465" s="44"/>
      <c r="AA465" s="44"/>
      <c r="AB465" s="44"/>
    </row>
    <row r="466" spans="1:28" s="45" customFormat="1">
      <c r="A466" s="209"/>
      <c r="B466" s="74"/>
      <c r="C466" s="75" t="s">
        <v>1399</v>
      </c>
      <c r="D466" s="76"/>
      <c r="E466" s="76"/>
      <c r="F466" s="76"/>
      <c r="G466" s="77"/>
      <c r="H466" s="38"/>
      <c r="I466" s="38"/>
      <c r="J466" s="38"/>
      <c r="K466" s="38"/>
      <c r="L466" s="38"/>
      <c r="M466" s="38"/>
      <c r="N466" s="38"/>
      <c r="O466" s="38"/>
      <c r="P466" s="38"/>
      <c r="Q466" s="38"/>
      <c r="R466" s="38"/>
      <c r="S466" s="38"/>
      <c r="T466" s="38"/>
      <c r="U466" s="16"/>
      <c r="V466" s="805"/>
      <c r="W466" s="44"/>
      <c r="X466" s="44"/>
      <c r="Y466" s="44"/>
      <c r="Z466" s="44"/>
      <c r="AA466" s="44"/>
      <c r="AB466" s="44"/>
    </row>
    <row r="467" spans="1:28" s="45" customFormat="1">
      <c r="A467" s="209"/>
      <c r="B467" s="85"/>
      <c r="C467" s="86" t="s">
        <v>1400</v>
      </c>
      <c r="D467" s="87" t="s">
        <v>139</v>
      </c>
      <c r="E467" s="88">
        <f>500*2.5*0.8</f>
        <v>1000</v>
      </c>
      <c r="F467" s="89">
        <v>2610</v>
      </c>
      <c r="G467" s="795">
        <f>+F467*E467</f>
        <v>2610000</v>
      </c>
      <c r="H467" s="38"/>
      <c r="I467" s="38"/>
      <c r="J467" s="38"/>
      <c r="K467" s="38"/>
      <c r="L467" s="38"/>
      <c r="M467" s="38"/>
      <c r="N467" s="38"/>
      <c r="O467" s="38"/>
      <c r="P467" s="38"/>
      <c r="Q467" s="38"/>
      <c r="R467" s="38"/>
      <c r="S467" s="38"/>
      <c r="T467" s="38"/>
      <c r="U467" s="16"/>
      <c r="V467" s="805"/>
      <c r="W467" s="44"/>
      <c r="X467" s="44"/>
      <c r="Y467" s="44"/>
      <c r="Z467" s="44"/>
      <c r="AA467" s="44"/>
      <c r="AB467" s="44"/>
    </row>
    <row r="468" spans="1:28" s="45" customFormat="1">
      <c r="A468" s="209"/>
      <c r="B468" s="771"/>
      <c r="C468" s="102" t="s">
        <v>941</v>
      </c>
      <c r="D468" s="777" t="s">
        <v>139</v>
      </c>
      <c r="E468" s="587">
        <v>442</v>
      </c>
      <c r="F468" s="587">
        <v>10240</v>
      </c>
      <c r="G468" s="587">
        <f t="shared" ref="G468" si="63">+E468*F468</f>
        <v>4526080</v>
      </c>
      <c r="H468" s="38"/>
      <c r="I468" s="38"/>
      <c r="J468" s="38"/>
      <c r="K468" s="38"/>
      <c r="L468" s="38"/>
      <c r="M468" s="38"/>
      <c r="N468" s="38"/>
      <c r="O468" s="38"/>
      <c r="P468" s="38"/>
      <c r="Q468" s="38"/>
      <c r="R468" s="38"/>
      <c r="S468" s="38"/>
      <c r="T468" s="38"/>
      <c r="U468" s="16"/>
      <c r="V468" s="805"/>
      <c r="W468" s="44"/>
      <c r="X468" s="44"/>
      <c r="Y468" s="44"/>
      <c r="Z468" s="44"/>
      <c r="AA468" s="44"/>
      <c r="AB468" s="44"/>
    </row>
    <row r="469" spans="1:28" s="45" customFormat="1">
      <c r="A469" s="209"/>
      <c r="B469" s="101"/>
      <c r="C469" s="102" t="s">
        <v>1396</v>
      </c>
      <c r="D469" s="104" t="s">
        <v>500</v>
      </c>
      <c r="E469" s="103">
        <v>100</v>
      </c>
      <c r="F469" s="575">
        <v>9900</v>
      </c>
      <c r="G469" s="795">
        <f t="shared" ref="G469:G470" si="64">+F469*E469</f>
        <v>990000</v>
      </c>
      <c r="H469" s="38"/>
      <c r="I469" s="38"/>
      <c r="J469" s="38"/>
      <c r="K469" s="38"/>
      <c r="L469" s="38"/>
      <c r="M469" s="38"/>
      <c r="N469" s="38"/>
      <c r="O469" s="38"/>
      <c r="P469" s="38"/>
      <c r="Q469" s="38"/>
      <c r="R469" s="38"/>
      <c r="S469" s="38"/>
      <c r="T469" s="38"/>
      <c r="U469" s="16"/>
      <c r="V469" s="805"/>
      <c r="W469" s="44"/>
      <c r="X469" s="44"/>
      <c r="Y469" s="44"/>
      <c r="Z469" s="44"/>
      <c r="AA469" s="44"/>
      <c r="AB469" s="44"/>
    </row>
    <row r="470" spans="1:28" s="45" customFormat="1">
      <c r="A470" s="209"/>
      <c r="B470" s="101"/>
      <c r="C470" s="102" t="s">
        <v>1397</v>
      </c>
      <c r="D470" s="104" t="s">
        <v>500</v>
      </c>
      <c r="E470" s="103">
        <v>400</v>
      </c>
      <c r="F470" s="575">
        <v>9900</v>
      </c>
      <c r="G470" s="795">
        <f t="shared" si="64"/>
        <v>3960000</v>
      </c>
      <c r="H470" s="38"/>
      <c r="I470" s="38"/>
      <c r="J470" s="38"/>
      <c r="K470" s="38"/>
      <c r="L470" s="38"/>
      <c r="M470" s="38"/>
      <c r="N470" s="38"/>
      <c r="O470" s="38"/>
      <c r="P470" s="38"/>
      <c r="Q470" s="38"/>
      <c r="R470" s="38"/>
      <c r="S470" s="38"/>
      <c r="T470" s="38"/>
      <c r="U470" s="16"/>
      <c r="V470" s="805"/>
      <c r="W470" s="44"/>
      <c r="X470" s="44"/>
      <c r="Y470" s="44"/>
      <c r="Z470" s="44"/>
      <c r="AA470" s="44"/>
      <c r="AB470" s="44"/>
    </row>
    <row r="471" spans="1:28" s="45" customFormat="1">
      <c r="A471" s="212"/>
      <c r="B471" s="998"/>
      <c r="C471" s="593"/>
      <c r="D471" s="999"/>
      <c r="E471" s="1000"/>
      <c r="F471" s="575"/>
      <c r="G471" s="795"/>
      <c r="H471" s="38"/>
      <c r="I471" s="38"/>
      <c r="J471" s="38"/>
      <c r="K471" s="38"/>
      <c r="L471" s="38"/>
      <c r="M471" s="38"/>
      <c r="N471" s="38"/>
      <c r="O471" s="38"/>
      <c r="P471" s="38"/>
      <c r="Q471" s="38"/>
      <c r="R471" s="38"/>
      <c r="S471" s="38"/>
      <c r="T471" s="38"/>
      <c r="U471" s="16"/>
      <c r="V471" s="805"/>
      <c r="W471" s="44"/>
      <c r="X471" s="44"/>
      <c r="Y471" s="44"/>
      <c r="Z471" s="44"/>
      <c r="AA471" s="44"/>
      <c r="AB471" s="44"/>
    </row>
    <row r="472" spans="1:28" s="45" customFormat="1" ht="14.25" customHeight="1" thickBot="1">
      <c r="A472" s="185" t="s">
        <v>29</v>
      </c>
      <c r="B472" s="113"/>
      <c r="C472" s="114"/>
      <c r="D472" s="115"/>
      <c r="E472" s="116"/>
      <c r="F472" s="117" t="s">
        <v>1398</v>
      </c>
      <c r="G472" s="118">
        <f>SUM(G469:G471)</f>
        <v>4950000</v>
      </c>
      <c r="H472" s="213"/>
      <c r="I472" s="213"/>
      <c r="J472" s="213"/>
      <c r="K472" s="213"/>
      <c r="L472" s="213"/>
      <c r="M472" s="213"/>
      <c r="N472" s="213"/>
      <c r="O472" s="213"/>
      <c r="P472" s="213"/>
      <c r="Q472" s="213"/>
      <c r="R472" s="213"/>
      <c r="S472" s="213"/>
      <c r="T472" s="213"/>
      <c r="U472" s="16"/>
      <c r="V472" s="805"/>
      <c r="W472" s="44"/>
      <c r="X472" s="44"/>
      <c r="Y472" s="44"/>
      <c r="Z472" s="44"/>
      <c r="AA472" s="44"/>
      <c r="AB472" s="44"/>
    </row>
    <row r="473" spans="1:28" s="45" customFormat="1" ht="15.75" customHeight="1">
      <c r="A473" s="212"/>
      <c r="B473" s="38"/>
      <c r="C473" s="145"/>
      <c r="D473" s="146"/>
      <c r="E473" s="146"/>
      <c r="F473" s="147" t="s">
        <v>94</v>
      </c>
      <c r="G473" s="946">
        <f>+G317+G266+G239+G200+G164+G124+G82+G42+G30+G395+G401+G457+G472</f>
        <v>1142800809.2</v>
      </c>
      <c r="H473" s="214"/>
      <c r="I473" s="214" t="e">
        <v>#DIV/0!</v>
      </c>
      <c r="J473" s="214"/>
      <c r="K473" s="214"/>
      <c r="L473" s="214"/>
      <c r="M473" s="214"/>
      <c r="N473" s="214"/>
      <c r="O473" s="214"/>
      <c r="P473" s="214"/>
      <c r="Q473" s="214"/>
      <c r="R473" s="214"/>
      <c r="S473" s="214"/>
      <c r="T473" s="214"/>
      <c r="U473" s="16"/>
      <c r="V473" s="805"/>
      <c r="W473" s="44"/>
      <c r="X473" s="44"/>
      <c r="Y473" s="44"/>
      <c r="Z473" s="44"/>
      <c r="AA473" s="44"/>
      <c r="AB473" s="44"/>
    </row>
    <row r="474" spans="1:28" s="45" customFormat="1">
      <c r="A474" s="212"/>
      <c r="B474" s="38"/>
      <c r="C474" s="157"/>
      <c r="G474" s="796"/>
      <c r="H474" s="38"/>
      <c r="I474" s="38"/>
      <c r="J474" s="38"/>
      <c r="K474" s="38"/>
      <c r="L474" s="38"/>
      <c r="M474" s="38"/>
      <c r="N474" s="38"/>
      <c r="O474" s="38"/>
      <c r="P474" s="38"/>
      <c r="Q474" s="38"/>
      <c r="R474" s="38"/>
      <c r="S474" s="38"/>
      <c r="T474" s="38"/>
      <c r="U474" s="16"/>
      <c r="V474" s="805"/>
      <c r="W474" s="44"/>
      <c r="X474" s="44"/>
      <c r="Y474" s="44"/>
      <c r="Z474" s="44"/>
      <c r="AA474" s="44"/>
      <c r="AB474" s="44"/>
    </row>
    <row r="475" spans="1:28" s="45" customFormat="1">
      <c r="A475" s="212"/>
      <c r="B475" s="38"/>
      <c r="C475" s="162" t="s">
        <v>96</v>
      </c>
      <c r="D475" s="163"/>
      <c r="E475" s="164"/>
      <c r="F475" s="165"/>
      <c r="G475" s="798"/>
      <c r="H475" s="95"/>
      <c r="I475" s="95"/>
      <c r="J475" s="95"/>
      <c r="K475" s="95"/>
      <c r="L475" s="95"/>
      <c r="M475" s="95"/>
      <c r="N475" s="95"/>
      <c r="O475" s="95"/>
      <c r="P475" s="95"/>
      <c r="Q475" s="95"/>
      <c r="R475" s="95"/>
      <c r="S475" s="95"/>
      <c r="T475" s="95"/>
      <c r="U475" s="16"/>
      <c r="V475" s="805"/>
      <c r="W475" s="44"/>
      <c r="X475" s="44"/>
      <c r="Y475" s="44"/>
      <c r="Z475" s="44"/>
      <c r="AA475" s="44"/>
      <c r="AB475" s="44"/>
    </row>
    <row r="476" spans="1:28" s="45" customFormat="1">
      <c r="A476" s="212"/>
      <c r="B476" s="38"/>
      <c r="C476" s="170"/>
      <c r="D476" s="171"/>
      <c r="E476" s="171"/>
      <c r="F476" s="172" t="s">
        <v>98</v>
      </c>
      <c r="G476" s="799">
        <f>+G473</f>
        <v>1142800809.2</v>
      </c>
      <c r="H476" s="95"/>
      <c r="I476" s="95"/>
      <c r="J476" s="95"/>
      <c r="K476" s="95"/>
      <c r="L476" s="95"/>
      <c r="M476" s="95"/>
      <c r="N476" s="95"/>
      <c r="O476" s="95"/>
      <c r="P476" s="95"/>
      <c r="Q476" s="95"/>
      <c r="R476" s="95"/>
      <c r="S476" s="95"/>
      <c r="T476" s="95"/>
      <c r="U476" s="16"/>
      <c r="V476" s="805"/>
      <c r="W476" s="44"/>
      <c r="X476" s="44"/>
      <c r="Y476" s="44"/>
      <c r="Z476" s="44"/>
      <c r="AA476" s="44"/>
      <c r="AB476" s="44"/>
    </row>
    <row r="477" spans="1:28">
      <c r="C477" s="177"/>
      <c r="D477" s="178"/>
      <c r="E477" s="179" t="s">
        <v>100</v>
      </c>
      <c r="F477" s="180">
        <v>0.17499999999999999</v>
      </c>
      <c r="G477" s="800">
        <f>+G476*F477</f>
        <v>199990141.60999998</v>
      </c>
      <c r="W477" s="419">
        <v>211418150</v>
      </c>
      <c r="X477" s="970">
        <f>+W477-G477</f>
        <v>11428008.390000015</v>
      </c>
    </row>
    <row r="478" spans="1:28">
      <c r="C478" s="186"/>
      <c r="D478" s="187"/>
      <c r="E478" s="188" t="s">
        <v>102</v>
      </c>
      <c r="F478" s="189">
        <v>0.09</v>
      </c>
      <c r="G478" s="801">
        <f>+G476*F478</f>
        <v>102852072.82799999</v>
      </c>
      <c r="W478" s="419"/>
    </row>
    <row r="479" spans="1:28">
      <c r="C479" s="186"/>
      <c r="D479" s="187"/>
      <c r="E479" s="188" t="s">
        <v>104</v>
      </c>
      <c r="F479" s="189">
        <v>0.05</v>
      </c>
      <c r="G479" s="801">
        <f>+G476*F479</f>
        <v>57140040.460000008</v>
      </c>
      <c r="W479" s="419"/>
    </row>
    <row r="480" spans="1:28">
      <c r="C480" s="191"/>
      <c r="D480" s="192"/>
      <c r="E480" s="193" t="s">
        <v>105</v>
      </c>
      <c r="F480" s="194">
        <f>+F479+F478+F477</f>
        <v>0.315</v>
      </c>
      <c r="G480" s="802">
        <f>+G477+G478+G479</f>
        <v>359982254.898</v>
      </c>
    </row>
    <row r="481" spans="3:24">
      <c r="C481" s="191"/>
      <c r="D481" s="192"/>
      <c r="E481" s="193" t="s">
        <v>107</v>
      </c>
      <c r="F481" s="194">
        <v>0.16</v>
      </c>
      <c r="G481" s="803">
        <f>+G479*F481</f>
        <v>9142406.473600002</v>
      </c>
    </row>
    <row r="482" spans="3:24">
      <c r="C482" s="200"/>
      <c r="D482" s="201"/>
      <c r="E482" s="201"/>
      <c r="F482" s="202" t="s">
        <v>109</v>
      </c>
      <c r="G482" s="804">
        <f>+G481+G480+G476</f>
        <v>1511925470.5716</v>
      </c>
      <c r="X482" s="885"/>
    </row>
    <row r="483" spans="3:24">
      <c r="C483" s="38"/>
      <c r="G483" s="810">
        <f>+X482</f>
        <v>0</v>
      </c>
    </row>
    <row r="484" spans="3:24">
      <c r="D484" s="45"/>
      <c r="E484" s="45"/>
      <c r="F484" s="45"/>
      <c r="G484" s="44"/>
      <c r="X484" s="945"/>
    </row>
    <row r="486" spans="3:24" ht="15.75">
      <c r="C486" s="971" t="s">
        <v>146</v>
      </c>
      <c r="D486" s="971"/>
      <c r="E486" s="971"/>
      <c r="F486" s="971"/>
      <c r="G486" s="972">
        <f>+G482</f>
        <v>1511925470.5716</v>
      </c>
    </row>
    <row r="487" spans="3:24" ht="15.75">
      <c r="C487" s="971" t="s">
        <v>1322</v>
      </c>
      <c r="D487" s="971"/>
      <c r="E487" s="971"/>
      <c r="F487" s="971"/>
      <c r="G487" s="1003">
        <f>+G486*0.07</f>
        <v>105834782.94001201</v>
      </c>
    </row>
    <row r="488" spans="3:24" ht="15.75">
      <c r="C488" s="971" t="s">
        <v>948</v>
      </c>
      <c r="D488" s="971"/>
      <c r="E488" s="971"/>
      <c r="F488" s="971"/>
      <c r="G488" s="1003" t="e">
        <f>+SUMINIS!G39</f>
        <v>#REF!</v>
      </c>
    </row>
    <row r="489" spans="3:24" ht="15.75">
      <c r="C489" s="971" t="s">
        <v>1322</v>
      </c>
      <c r="D489" s="971"/>
      <c r="E489" s="971"/>
      <c r="F489" s="971"/>
      <c r="G489" s="1003" t="e">
        <f>+G488*0.04</f>
        <v>#REF!</v>
      </c>
    </row>
    <row r="490" spans="3:24" ht="15.75">
      <c r="C490" s="971" t="s">
        <v>1401</v>
      </c>
      <c r="D490" s="971"/>
      <c r="E490" s="971"/>
      <c r="F490" s="971"/>
      <c r="G490" s="1003" t="e">
        <f>+(G486+G487+G488+G489)*0.98*0.02</f>
        <v>#REF!</v>
      </c>
    </row>
    <row r="491" spans="3:24" ht="15.75">
      <c r="C491" s="971"/>
      <c r="D491" s="971"/>
      <c r="E491" s="971"/>
      <c r="F491" s="971"/>
      <c r="G491" s="972" t="e">
        <f>SUM(G486:G490)</f>
        <v>#REF!</v>
      </c>
    </row>
    <row r="492" spans="3:24">
      <c r="G492" s="970"/>
    </row>
  </sheetData>
  <mergeCells count="12">
    <mergeCell ref="P6:T6"/>
    <mergeCell ref="C30:F30"/>
    <mergeCell ref="C42:F42"/>
    <mergeCell ref="E1:F1"/>
    <mergeCell ref="E2:F2"/>
    <mergeCell ref="B3:D3"/>
    <mergeCell ref="E3:G3"/>
    <mergeCell ref="B4:D4"/>
    <mergeCell ref="E4:G4"/>
    <mergeCell ref="B5:B6"/>
    <mergeCell ref="C5:E6"/>
    <mergeCell ref="F6:G6"/>
  </mergeCells>
  <conditionalFormatting sqref="H472:T473">
    <cfRule type="cellIs" dxfId="334" priority="35" stopIfTrue="1" operator="equal">
      <formula>1</formula>
    </cfRule>
  </conditionalFormatting>
  <conditionalFormatting sqref="G482 J318:N455 X318:X455 H318:H455">
    <cfRule type="expression" dxfId="333" priority="36" stopIfTrue="1">
      <formula>"&gt;G29"</formula>
    </cfRule>
    <cfRule type="expression" dxfId="332" priority="37" stopIfTrue="1">
      <formula>"&lt;G29"""</formula>
    </cfRule>
  </conditionalFormatting>
  <conditionalFormatting sqref="N301">
    <cfRule type="cellIs" dxfId="331" priority="38" stopIfTrue="1" operator="notEqual">
      <formula>0</formula>
    </cfRule>
  </conditionalFormatting>
  <conditionalFormatting sqref="B5">
    <cfRule type="cellIs" dxfId="330" priority="39" stopIfTrue="1" operator="equal">
      <formula>"ESCRIBA AQUÍ EL NOMBRE DE LA OBRA"</formula>
    </cfRule>
  </conditionalFormatting>
  <conditionalFormatting sqref="O2:U2">
    <cfRule type="cellIs" dxfId="329" priority="40" stopIfTrue="1" operator="equal">
      <formula>"ESCRIBA AQUÍ EL NOMBRE DE LA OBRA"</formula>
    </cfRule>
  </conditionalFormatting>
  <conditionalFormatting sqref="G1:T1">
    <cfRule type="cellIs" dxfId="328" priority="41" stopIfTrue="1" operator="equal">
      <formula>"CHEQ. INSUMOS"</formula>
    </cfRule>
  </conditionalFormatting>
  <conditionalFormatting sqref="G2:T2">
    <cfRule type="cellIs" dxfId="327" priority="42" stopIfTrue="1" operator="equal">
      <formula>"CHEQ. INSUMOS"</formula>
    </cfRule>
  </conditionalFormatting>
  <conditionalFormatting sqref="O11:T11">
    <cfRule type="cellIs" dxfId="326" priority="32" stopIfTrue="1" operator="notEqual">
      <formula>0</formula>
    </cfRule>
  </conditionalFormatting>
  <conditionalFormatting sqref="U11">
    <cfRule type="cellIs" dxfId="325" priority="33" stopIfTrue="1" operator="notEqual">
      <formula>0</formula>
    </cfRule>
    <cfRule type="cellIs" dxfId="324" priority="34" stopIfTrue="1" operator="equal">
      <formula>0</formula>
    </cfRule>
  </conditionalFormatting>
  <conditionalFormatting sqref="B11:C11 B165:C165 B203:C203 C268">
    <cfRule type="cellIs" dxfId="323" priority="31" stopIfTrue="1" operator="equal">
      <formula>"ESCRIBA AQUÍ EL NOMBRE DEL CAPITULO"</formula>
    </cfRule>
  </conditionalFormatting>
  <conditionalFormatting sqref="O18:T18">
    <cfRule type="cellIs" dxfId="322" priority="28" stopIfTrue="1" operator="notEqual">
      <formula>0</formula>
    </cfRule>
  </conditionalFormatting>
  <conditionalFormatting sqref="U18">
    <cfRule type="cellIs" dxfId="321" priority="29" stopIfTrue="1" operator="notEqual">
      <formula>0</formula>
    </cfRule>
    <cfRule type="cellIs" dxfId="320" priority="30" stopIfTrue="1" operator="equal">
      <formula>0</formula>
    </cfRule>
  </conditionalFormatting>
  <conditionalFormatting sqref="B18:C18">
    <cfRule type="cellIs" dxfId="319" priority="27" stopIfTrue="1" operator="equal">
      <formula>"ESCRIBA AQUÍ EL NOMBRE DEL CAPITULO"</formula>
    </cfRule>
  </conditionalFormatting>
  <conditionalFormatting sqref="O45:T45">
    <cfRule type="cellIs" dxfId="318" priority="24" stopIfTrue="1" operator="notEqual">
      <formula>0</formula>
    </cfRule>
  </conditionalFormatting>
  <conditionalFormatting sqref="U45">
    <cfRule type="cellIs" dxfId="317" priority="25" stopIfTrue="1" operator="notEqual">
      <formula>0</formula>
    </cfRule>
    <cfRule type="cellIs" dxfId="316" priority="26" stopIfTrue="1" operator="equal">
      <formula>0</formula>
    </cfRule>
  </conditionalFormatting>
  <conditionalFormatting sqref="B45:C45">
    <cfRule type="cellIs" dxfId="315" priority="23" stopIfTrue="1" operator="equal">
      <formula>"ESCRIBA AQUÍ EL NOMBRE DEL CAPITULO"</formula>
    </cfRule>
  </conditionalFormatting>
  <conditionalFormatting sqref="O25:T25">
    <cfRule type="cellIs" dxfId="314" priority="20" stopIfTrue="1" operator="notEqual">
      <formula>0</formula>
    </cfRule>
  </conditionalFormatting>
  <conditionalFormatting sqref="U25">
    <cfRule type="cellIs" dxfId="313" priority="21" stopIfTrue="1" operator="notEqual">
      <formula>0</formula>
    </cfRule>
    <cfRule type="cellIs" dxfId="312" priority="22" stopIfTrue="1" operator="equal">
      <formula>0</formula>
    </cfRule>
  </conditionalFormatting>
  <conditionalFormatting sqref="B25:C25">
    <cfRule type="cellIs" dxfId="311" priority="19" stopIfTrue="1" operator="equal">
      <formula>"ESCRIBA AQUÍ EL NOMBRE DEL CAPITULO"</formula>
    </cfRule>
  </conditionalFormatting>
  <conditionalFormatting sqref="B84:C84">
    <cfRule type="cellIs" dxfId="310" priority="18" stopIfTrue="1" operator="equal">
      <formula>"ESCRIBA AQUÍ EL NOMBRE DEL CAPITULO"</formula>
    </cfRule>
  </conditionalFormatting>
  <conditionalFormatting sqref="B126:C126">
    <cfRule type="cellIs" dxfId="309" priority="17" stopIfTrue="1" operator="equal">
      <formula>"ESCRIBA AQUÍ EL NOMBRE DEL CAPITULO"</formula>
    </cfRule>
  </conditionalFormatting>
  <conditionalFormatting sqref="B167:C167">
    <cfRule type="cellIs" dxfId="308" priority="16" stopIfTrue="1" operator="equal">
      <formula>"ESCRIBA AQUÍ EL NOMBRE DEL CAPITULO"</formula>
    </cfRule>
  </conditionalFormatting>
  <conditionalFormatting sqref="B204:C204">
    <cfRule type="cellIs" dxfId="307" priority="15" stopIfTrue="1" operator="equal">
      <formula>"ESCRIBA AQUÍ EL NOMBRE DEL CAPITULO"</formula>
    </cfRule>
  </conditionalFormatting>
  <conditionalFormatting sqref="B32:C32">
    <cfRule type="cellIs" dxfId="306" priority="14" stopIfTrue="1" operator="equal">
      <formula>"ESCRIBA AQUÍ EL NOMBRE DEL CAPITULO"</formula>
    </cfRule>
  </conditionalFormatting>
  <conditionalFormatting sqref="B241:C241">
    <cfRule type="cellIs" dxfId="305" priority="13" stopIfTrue="1" operator="equal">
      <formula>"ESCRIBA AQUÍ EL NOMBRE DEL CAPITULO"</formula>
    </cfRule>
  </conditionalFormatting>
  <conditionalFormatting sqref="C319:C320">
    <cfRule type="cellIs" dxfId="304" priority="12" stopIfTrue="1" operator="equal">
      <formula>"ESCRIBA AQUÍ EL NOMBRE DEL CAPITULO"</formula>
    </cfRule>
  </conditionalFormatting>
  <conditionalFormatting sqref="C397">
    <cfRule type="cellIs" dxfId="303" priority="11" stopIfTrue="1" operator="equal">
      <formula>"ESCRIBA AQUÍ EL NOMBRE DEL CAPITULO"</formula>
    </cfRule>
  </conditionalFormatting>
  <conditionalFormatting sqref="C403">
    <cfRule type="cellIs" dxfId="302" priority="10" stopIfTrue="1" operator="equal">
      <formula>"ESCRIBA AQUÍ EL NOMBRE DEL CAPITULO"</formula>
    </cfRule>
  </conditionalFormatting>
  <conditionalFormatting sqref="C419:C420">
    <cfRule type="cellIs" dxfId="301" priority="9" stopIfTrue="1" operator="equal">
      <formula>"ESCRIBA AQUÍ EL NOMBRE DEL CAPITULO"</formula>
    </cfRule>
  </conditionalFormatting>
  <conditionalFormatting sqref="C445">
    <cfRule type="cellIs" dxfId="300" priority="8" stopIfTrue="1" operator="equal">
      <formula>"ESCRIBA AQUÍ EL NOMBRE DEL CAPITULO"</formula>
    </cfRule>
  </conditionalFormatting>
  <conditionalFormatting sqref="B449:C449">
    <cfRule type="cellIs" dxfId="299" priority="7" stopIfTrue="1" operator="equal">
      <formula>"ESCRIBA AQUÍ EL NOMBRE DEL CAPITULO"</formula>
    </cfRule>
  </conditionalFormatting>
  <conditionalFormatting sqref="B452:C452">
    <cfRule type="cellIs" dxfId="298" priority="6" stopIfTrue="1" operator="equal">
      <formula>"ESCRIBA AQUÍ EL NOMBRE DEL CAPITULO"</formula>
    </cfRule>
  </conditionalFormatting>
  <conditionalFormatting sqref="B455:C455">
    <cfRule type="cellIs" dxfId="297" priority="4" stopIfTrue="1" operator="equal">
      <formula>"ESCRIBA AQUÍ EL NOMBRE DEL CAPITULO"</formula>
    </cfRule>
  </conditionalFormatting>
  <conditionalFormatting sqref="B459:C459">
    <cfRule type="cellIs" dxfId="296" priority="3" stopIfTrue="1" operator="equal">
      <formula>"ESCRIBA AQUÍ EL NOMBRE DEL CAPITULO"</formula>
    </cfRule>
  </conditionalFormatting>
  <conditionalFormatting sqref="B461:C461">
    <cfRule type="cellIs" dxfId="295" priority="2" stopIfTrue="1" operator="equal">
      <formula>"ESCRIBA AQUÍ EL NOMBRE DEL CAPITULO"</formula>
    </cfRule>
  </conditionalFormatting>
  <conditionalFormatting sqref="B466:C466">
    <cfRule type="cellIs" dxfId="294" priority="1" stopIfTrue="1" operator="equal">
      <formula>"ESCRIBA AQUÍ EL NOMBRE DEL CAPITULO"</formula>
    </cfRule>
  </conditionalFormatting>
  <pageMargins left="0.7" right="0.7" top="0.75" bottom="0.75" header="0.3" footer="0.3"/>
  <pageSetup scale="9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S42"/>
  <sheetViews>
    <sheetView showGridLines="0" topLeftCell="B24" zoomScale="85" zoomScaleNormal="85" workbookViewId="0">
      <pane xSplit="1" topLeftCell="C1" activePane="topRight" state="frozen"/>
      <selection activeCell="B6" sqref="B6"/>
      <selection pane="topRight" activeCell="G34" sqref="G34"/>
    </sheetView>
  </sheetViews>
  <sheetFormatPr baseColWidth="10" defaultRowHeight="15"/>
  <cols>
    <col min="1" max="1" width="0" style="917" hidden="1" customWidth="1"/>
    <col min="2" max="2" width="9.140625" style="917" customWidth="1"/>
    <col min="3" max="3" width="44" style="917" customWidth="1"/>
    <col min="4" max="4" width="6.140625" style="917" customWidth="1"/>
    <col min="5" max="5" width="9" style="917" customWidth="1"/>
    <col min="6" max="6" width="12.28515625" style="917" bestFit="1" customWidth="1"/>
    <col min="7" max="7" width="19.5703125" style="917" customWidth="1"/>
    <col min="8" max="11" width="11.42578125" style="917" hidden="1" customWidth="1"/>
    <col min="12" max="12" width="17.42578125" style="917" hidden="1" customWidth="1"/>
    <col min="13" max="13" width="16.42578125" style="917" hidden="1" customWidth="1"/>
    <col min="14" max="14" width="15.140625" style="917" hidden="1" customWidth="1"/>
    <col min="15" max="15" width="3.85546875" style="917" hidden="1" customWidth="1"/>
    <col min="16" max="18" width="11.42578125" style="917" hidden="1" customWidth="1"/>
    <col min="19" max="19" width="15.140625" style="917" hidden="1" customWidth="1"/>
    <col min="20" max="21" width="11.42578125" style="917" hidden="1" customWidth="1"/>
    <col min="22" max="22" width="1.85546875" style="917" hidden="1" customWidth="1"/>
    <col min="23" max="25" width="19.28515625" style="917" customWidth="1"/>
    <col min="26" max="26" width="16.5703125" style="917" customWidth="1"/>
    <col min="27" max="27" width="11.42578125" style="419"/>
    <col min="28" max="28" width="13.7109375" style="419" customWidth="1"/>
    <col min="29" max="29" width="12.85546875" style="419" customWidth="1"/>
    <col min="30" max="30" width="17.42578125" style="419" customWidth="1"/>
    <col min="31" max="31" width="14.140625" style="917" customWidth="1"/>
    <col min="32" max="33" width="11.42578125" style="917"/>
    <col min="34" max="34" width="11.42578125" style="917" customWidth="1"/>
    <col min="35" max="94" width="11.42578125" style="917"/>
    <col min="95" max="97" width="0" style="917" hidden="1" customWidth="1"/>
    <col min="98" max="16384" width="11.42578125" style="917"/>
  </cols>
  <sheetData>
    <row r="1" spans="1:97" s="19" customFormat="1" ht="12" hidden="1" customHeight="1" thickTop="1">
      <c r="A1" s="1"/>
      <c r="B1" s="2">
        <v>2012.2</v>
      </c>
      <c r="C1" s="3"/>
      <c r="D1" s="4"/>
      <c r="E1" s="1885" t="s">
        <v>0</v>
      </c>
      <c r="F1" s="1885"/>
      <c r="G1" s="5">
        <v>408578100</v>
      </c>
      <c r="H1" s="6" t="s">
        <v>1</v>
      </c>
      <c r="I1" s="6" t="s">
        <v>2</v>
      </c>
      <c r="J1" s="7" t="s">
        <v>3</v>
      </c>
      <c r="K1" s="7" t="s">
        <v>4</v>
      </c>
      <c r="L1" s="6" t="s">
        <v>5</v>
      </c>
      <c r="M1" s="6" t="s">
        <v>6</v>
      </c>
      <c r="N1" s="8" t="s">
        <v>7</v>
      </c>
      <c r="O1" s="9" t="s">
        <v>6</v>
      </c>
      <c r="P1" s="10"/>
      <c r="Q1" s="10"/>
      <c r="R1" s="10"/>
      <c r="S1" s="10"/>
      <c r="T1" s="10"/>
      <c r="U1" s="11"/>
      <c r="V1" s="12"/>
      <c r="W1" s="13"/>
      <c r="X1" s="13"/>
      <c r="Y1" s="13"/>
      <c r="Z1" s="14" t="s">
        <v>8</v>
      </c>
      <c r="AA1" s="16"/>
      <c r="AB1" s="16"/>
      <c r="AC1" s="16"/>
      <c r="AD1" s="16"/>
      <c r="AE1" s="17"/>
      <c r="AF1" s="18"/>
      <c r="AG1" s="18"/>
      <c r="AH1" s="18"/>
      <c r="AI1" s="18"/>
      <c r="AJ1" s="18"/>
      <c r="BK1" s="20"/>
      <c r="BL1" s="21"/>
      <c r="BM1" s="22"/>
      <c r="BN1" s="23"/>
      <c r="BO1" s="24"/>
      <c r="BP1" s="25">
        <v>0</v>
      </c>
      <c r="BQ1" s="26">
        <v>0</v>
      </c>
      <c r="BR1" s="27"/>
      <c r="BS1" s="25"/>
      <c r="BT1" s="25">
        <v>1</v>
      </c>
      <c r="BU1" s="25"/>
      <c r="BV1" s="28">
        <v>0</v>
      </c>
      <c r="BW1" s="29">
        <v>0</v>
      </c>
      <c r="BX1" s="29">
        <v>0</v>
      </c>
      <c r="CQ1" s="19" t="s">
        <v>9</v>
      </c>
      <c r="CS1" s="19">
        <v>0</v>
      </c>
    </row>
    <row r="2" spans="1:97" s="19" customFormat="1" ht="12" hidden="1" customHeight="1" thickBot="1">
      <c r="A2" s="1" t="s">
        <v>6</v>
      </c>
      <c r="B2" s="30" t="s">
        <v>6</v>
      </c>
      <c r="C2" s="31"/>
      <c r="D2" s="32"/>
      <c r="E2" s="1886"/>
      <c r="F2" s="1886"/>
      <c r="G2" s="33" t="s">
        <v>10</v>
      </c>
      <c r="H2" s="34">
        <v>2</v>
      </c>
      <c r="I2" s="34">
        <v>3</v>
      </c>
      <c r="J2" s="34"/>
      <c r="K2" s="34"/>
      <c r="L2" s="34"/>
      <c r="M2" s="34"/>
      <c r="N2" s="35">
        <v>1</v>
      </c>
      <c r="O2" s="36"/>
      <c r="P2" s="37"/>
      <c r="Q2" s="37"/>
      <c r="R2" s="37"/>
      <c r="S2" s="37"/>
      <c r="T2" s="37"/>
      <c r="U2" s="37"/>
      <c r="V2" s="12"/>
      <c r="W2" s="15"/>
      <c r="X2" s="15"/>
      <c r="Y2" s="15"/>
      <c r="Z2" s="15"/>
      <c r="AA2" s="16"/>
      <c r="AB2" s="16"/>
      <c r="AC2" s="16"/>
      <c r="AD2" s="16"/>
      <c r="AE2" s="38"/>
      <c r="AF2" s="38"/>
      <c r="AG2" s="38"/>
      <c r="AH2" s="38"/>
      <c r="AI2" s="38"/>
      <c r="AJ2" s="38"/>
    </row>
    <row r="3" spans="1:97" s="45" customFormat="1" ht="21" customHeight="1" thickTop="1">
      <c r="A3" s="39"/>
      <c r="B3" s="1887"/>
      <c r="C3" s="1888"/>
      <c r="D3" s="1888"/>
      <c r="E3" s="1889" t="s">
        <v>12</v>
      </c>
      <c r="F3" s="1890"/>
      <c r="G3" s="1891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1"/>
      <c r="V3" s="12"/>
      <c r="W3" s="42"/>
      <c r="X3" s="42"/>
      <c r="Y3" s="42"/>
      <c r="Z3" s="42"/>
      <c r="AA3" s="43"/>
      <c r="AB3" s="43"/>
      <c r="AC3" s="43"/>
      <c r="AD3" s="43"/>
      <c r="AE3" s="44"/>
      <c r="AF3" s="44"/>
      <c r="AG3" s="44"/>
      <c r="AH3" s="44"/>
      <c r="AI3" s="44"/>
      <c r="AJ3" s="44"/>
    </row>
    <row r="4" spans="1:97" s="45" customFormat="1" ht="21" customHeight="1">
      <c r="A4" s="39"/>
      <c r="B4" s="1892"/>
      <c r="C4" s="1893"/>
      <c r="D4" s="1893"/>
      <c r="E4" s="1894" t="s">
        <v>1301</v>
      </c>
      <c r="F4" s="1895"/>
      <c r="G4" s="1896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1"/>
      <c r="V4" s="12"/>
      <c r="W4" s="42"/>
      <c r="X4" s="42"/>
      <c r="Y4" s="42"/>
      <c r="Z4" s="42"/>
      <c r="AA4" s="43"/>
      <c r="AB4" s="43"/>
      <c r="AC4" s="43"/>
      <c r="AD4" s="43"/>
      <c r="AE4" s="44"/>
      <c r="AF4" s="44"/>
      <c r="AG4" s="44"/>
      <c r="AH4" s="44"/>
      <c r="AI4" s="44"/>
      <c r="AJ4" s="44"/>
    </row>
    <row r="5" spans="1:97" s="45" customFormat="1" ht="15" customHeight="1" thickBot="1">
      <c r="A5" s="39"/>
      <c r="B5" s="1897" t="s">
        <v>15</v>
      </c>
      <c r="C5" s="1899" t="s">
        <v>480</v>
      </c>
      <c r="D5" s="1900"/>
      <c r="E5" s="1901"/>
      <c r="F5" s="46" t="s">
        <v>17</v>
      </c>
      <c r="G5" s="47">
        <v>41751</v>
      </c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9"/>
      <c r="V5" s="12"/>
      <c r="W5" s="42"/>
      <c r="X5" s="42"/>
      <c r="Y5" s="42"/>
      <c r="Z5" s="42"/>
      <c r="AA5" s="43"/>
      <c r="AB5" s="43"/>
      <c r="AC5" s="43"/>
      <c r="AD5" s="43"/>
      <c r="AE5" s="44"/>
      <c r="AF5" s="44"/>
      <c r="AG5" s="44"/>
      <c r="AH5" s="44"/>
      <c r="AI5" s="44"/>
      <c r="AJ5" s="44"/>
    </row>
    <row r="6" spans="1:97" s="45" customFormat="1" ht="21" customHeight="1" thickBot="1">
      <c r="A6" s="39"/>
      <c r="B6" s="1898"/>
      <c r="C6" s="1902"/>
      <c r="D6" s="1903"/>
      <c r="E6" s="1904"/>
      <c r="F6" s="1905"/>
      <c r="G6" s="1906"/>
      <c r="H6" s="50"/>
      <c r="I6" s="50"/>
      <c r="J6" s="50"/>
      <c r="K6" s="50"/>
      <c r="L6" s="50"/>
      <c r="M6" s="50"/>
      <c r="N6" s="50"/>
      <c r="O6" s="50"/>
      <c r="P6" s="1881" t="s">
        <v>18</v>
      </c>
      <c r="Q6" s="1882"/>
      <c r="R6" s="1882"/>
      <c r="S6" s="1882"/>
      <c r="T6" s="1883"/>
      <c r="U6" s="51"/>
      <c r="V6" s="12"/>
      <c r="W6" s="42"/>
      <c r="X6" s="42"/>
      <c r="Y6" s="42"/>
      <c r="Z6" s="42"/>
      <c r="AA6" s="43"/>
      <c r="AB6" s="43"/>
      <c r="AC6" s="43"/>
      <c r="AD6" s="43"/>
      <c r="AE6" s="44"/>
      <c r="AF6" s="44"/>
      <c r="AG6" s="44"/>
      <c r="AH6" s="44"/>
      <c r="AI6" s="44"/>
      <c r="AJ6" s="44"/>
    </row>
    <row r="7" spans="1:97" s="45" customFormat="1" ht="20.100000000000001" customHeight="1" thickTop="1">
      <c r="A7" s="39"/>
      <c r="B7" s="52"/>
      <c r="C7" s="53"/>
      <c r="D7" s="54"/>
      <c r="E7" s="55"/>
      <c r="F7" s="52"/>
      <c r="G7" s="56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8"/>
      <c r="V7" s="12"/>
      <c r="AA7" s="44"/>
      <c r="AB7" s="44"/>
      <c r="AC7" s="44"/>
      <c r="AD7" s="44"/>
    </row>
    <row r="8" spans="1:97" s="45" customFormat="1" ht="15.75" customHeight="1">
      <c r="A8" s="59" t="s">
        <v>19</v>
      </c>
      <c r="B8" s="60" t="s">
        <v>20</v>
      </c>
      <c r="C8" s="60" t="s">
        <v>21</v>
      </c>
      <c r="D8" s="60" t="s">
        <v>22</v>
      </c>
      <c r="E8" s="60" t="s">
        <v>23</v>
      </c>
      <c r="F8" s="60" t="s">
        <v>24</v>
      </c>
      <c r="G8" s="61" t="s">
        <v>25</v>
      </c>
      <c r="H8" s="62" t="s">
        <v>26</v>
      </c>
      <c r="I8" s="62" t="s">
        <v>27</v>
      </c>
      <c r="J8" s="62" t="s">
        <v>28</v>
      </c>
      <c r="K8" s="62" t="s">
        <v>29</v>
      </c>
      <c r="L8" s="62" t="s">
        <v>30</v>
      </c>
      <c r="M8" s="62" t="s">
        <v>31</v>
      </c>
      <c r="N8" s="63" t="s">
        <v>32</v>
      </c>
      <c r="O8" s="57"/>
      <c r="P8" s="64" t="s">
        <v>33</v>
      </c>
      <c r="Q8" s="64" t="s">
        <v>34</v>
      </c>
      <c r="R8" s="64" t="s">
        <v>35</v>
      </c>
      <c r="S8" s="64" t="s">
        <v>36</v>
      </c>
      <c r="T8" s="65" t="s">
        <v>37</v>
      </c>
      <c r="U8" s="58"/>
      <c r="V8" s="12"/>
      <c r="AA8" s="44"/>
      <c r="AB8" s="44"/>
      <c r="AC8" s="44"/>
      <c r="AD8" s="44"/>
    </row>
    <row r="9" spans="1:97" s="45" customFormat="1" ht="23.1" hidden="1" customHeight="1">
      <c r="A9" s="66"/>
      <c r="B9" s="67"/>
      <c r="C9" s="68"/>
      <c r="D9" s="69"/>
      <c r="E9" s="70"/>
      <c r="F9" s="67"/>
      <c r="G9" s="71"/>
      <c r="H9" s="917"/>
      <c r="I9" s="917"/>
      <c r="J9" s="917"/>
      <c r="K9" s="917"/>
      <c r="L9" s="917"/>
      <c r="M9" s="917"/>
      <c r="N9" s="917"/>
      <c r="O9" s="917"/>
      <c r="P9" s="917"/>
      <c r="Q9" s="917"/>
      <c r="R9" s="917"/>
      <c r="S9" s="917"/>
      <c r="T9" s="917"/>
      <c r="U9" s="917"/>
      <c r="V9" s="72"/>
      <c r="AA9" s="44"/>
      <c r="AB9" s="44"/>
      <c r="AC9" s="44"/>
      <c r="AD9" s="44"/>
    </row>
    <row r="10" spans="1:97" s="45" customFormat="1" ht="12.75" hidden="1" customHeight="1">
      <c r="A10" s="73" t="s">
        <v>38</v>
      </c>
      <c r="B10" s="74"/>
      <c r="C10" s="75" t="s">
        <v>39</v>
      </c>
      <c r="D10" s="76"/>
      <c r="E10" s="76"/>
      <c r="F10" s="76"/>
      <c r="G10" s="77">
        <f>+G15</f>
        <v>1224780</v>
      </c>
      <c r="H10" s="19"/>
      <c r="I10" s="19"/>
      <c r="J10" s="19"/>
      <c r="K10" s="19"/>
      <c r="L10" s="19"/>
      <c r="M10" s="19"/>
      <c r="N10" s="78">
        <v>689000</v>
      </c>
      <c r="O10" s="79"/>
      <c r="P10" s="80"/>
      <c r="Q10" s="81"/>
      <c r="R10" s="81"/>
      <c r="S10" s="82"/>
      <c r="T10" s="83"/>
      <c r="U10" s="79">
        <v>0</v>
      </c>
      <c r="V10" s="12" t="s">
        <v>9</v>
      </c>
      <c r="AA10" s="44"/>
      <c r="AB10" s="44"/>
      <c r="AC10" s="44"/>
      <c r="AD10" s="44"/>
    </row>
    <row r="11" spans="1:97" s="45" customFormat="1" ht="12.75" hidden="1" customHeight="1">
      <c r="A11" s="84" t="s">
        <v>40</v>
      </c>
      <c r="B11" s="85"/>
      <c r="C11" s="86"/>
      <c r="D11" s="87"/>
      <c r="E11" s="88"/>
      <c r="F11" s="89"/>
      <c r="G11" s="90"/>
      <c r="H11" s="91"/>
      <c r="I11" s="89"/>
      <c r="J11" s="89"/>
      <c r="K11" s="89"/>
      <c r="L11" s="92"/>
      <c r="M11" s="93"/>
      <c r="N11" s="94"/>
      <c r="O11" s="95"/>
      <c r="P11" s="96"/>
      <c r="Q11" s="97"/>
      <c r="R11" s="97"/>
      <c r="S11" s="98"/>
      <c r="T11" s="99"/>
      <c r="U11" s="79"/>
      <c r="V11" s="72"/>
      <c r="AA11" s="44"/>
      <c r="AB11" s="44"/>
      <c r="AC11" s="44"/>
      <c r="AD11" s="44"/>
    </row>
    <row r="12" spans="1:97" s="45" customFormat="1" hidden="1">
      <c r="A12" s="100" t="s">
        <v>41</v>
      </c>
      <c r="B12" s="101"/>
      <c r="C12" s="102" t="s">
        <v>42</v>
      </c>
      <c r="D12" s="574" t="s">
        <v>43</v>
      </c>
      <c r="E12" s="103">
        <v>298</v>
      </c>
      <c r="F12" s="25">
        <v>2760</v>
      </c>
      <c r="G12" s="26">
        <f>+F12*E12</f>
        <v>822480</v>
      </c>
      <c r="H12" s="27">
        <v>1300</v>
      </c>
      <c r="I12" s="25">
        <v>1726</v>
      </c>
      <c r="J12" s="25">
        <v>1</v>
      </c>
      <c r="K12" s="25">
        <v>1</v>
      </c>
      <c r="L12" s="28">
        <v>448760</v>
      </c>
      <c r="M12" s="29">
        <v>338000</v>
      </c>
      <c r="N12" s="29">
        <v>338000</v>
      </c>
      <c r="O12" s="95"/>
      <c r="P12" s="96"/>
      <c r="Q12" s="97">
        <v>13369</v>
      </c>
      <c r="R12" s="97">
        <v>267417</v>
      </c>
      <c r="S12" s="98">
        <v>57200</v>
      </c>
      <c r="T12" s="99"/>
      <c r="U12" s="79"/>
      <c r="V12" s="72">
        <v>10</v>
      </c>
      <c r="AA12" s="44"/>
      <c r="AB12" s="44"/>
      <c r="AC12" s="44"/>
      <c r="AD12" s="44"/>
    </row>
    <row r="13" spans="1:97" s="45" customFormat="1" hidden="1">
      <c r="A13" s="100" t="s">
        <v>44</v>
      </c>
      <c r="B13" s="101"/>
      <c r="C13" s="102" t="s">
        <v>45</v>
      </c>
      <c r="D13" s="104" t="s">
        <v>43</v>
      </c>
      <c r="E13" s="103">
        <v>298</v>
      </c>
      <c r="F13" s="25">
        <v>1350</v>
      </c>
      <c r="G13" s="26">
        <f t="shared" ref="G13" si="0">+F13*E13</f>
        <v>402300</v>
      </c>
      <c r="H13" s="27">
        <v>1350</v>
      </c>
      <c r="I13" s="25">
        <v>1793</v>
      </c>
      <c r="J13" s="25">
        <v>1</v>
      </c>
      <c r="K13" s="25"/>
      <c r="L13" s="28">
        <v>466180</v>
      </c>
      <c r="M13" s="29">
        <v>351000</v>
      </c>
      <c r="N13" s="29">
        <v>351000</v>
      </c>
      <c r="O13" s="95"/>
      <c r="P13" s="96"/>
      <c r="Q13" s="97">
        <v>351003</v>
      </c>
      <c r="R13" s="97"/>
      <c r="S13" s="98"/>
      <c r="T13" s="99"/>
      <c r="U13" s="79"/>
      <c r="V13" s="72">
        <v>11</v>
      </c>
      <c r="AA13" s="44"/>
      <c r="AB13" s="44"/>
      <c r="AC13" s="44"/>
      <c r="AD13" s="44"/>
    </row>
    <row r="14" spans="1:97" s="45" customFormat="1" hidden="1">
      <c r="A14" s="105"/>
      <c r="B14" s="106"/>
      <c r="C14" s="22"/>
      <c r="D14" s="23"/>
      <c r="E14" s="107"/>
      <c r="F14" s="25"/>
      <c r="G14" s="108"/>
      <c r="H14" s="27"/>
      <c r="I14" s="25"/>
      <c r="J14" s="25"/>
      <c r="K14" s="25"/>
      <c r="L14" s="109"/>
      <c r="M14" s="110"/>
      <c r="N14" s="111"/>
      <c r="O14" s="95"/>
      <c r="P14" s="96"/>
      <c r="Q14" s="97"/>
      <c r="R14" s="97"/>
      <c r="S14" s="98"/>
      <c r="T14" s="99"/>
      <c r="U14" s="79"/>
      <c r="V14" s="72"/>
      <c r="AA14" s="44"/>
      <c r="AB14" s="44"/>
      <c r="AC14" s="44"/>
      <c r="AD14" s="44"/>
    </row>
    <row r="15" spans="1:97" s="45" customFormat="1" ht="12.75" hidden="1" customHeight="1" thickBot="1">
      <c r="A15" s="112" t="s">
        <v>46</v>
      </c>
      <c r="B15" s="113"/>
      <c r="C15" s="114"/>
      <c r="D15" s="115"/>
      <c r="E15" s="116"/>
      <c r="F15" s="117" t="s">
        <v>47</v>
      </c>
      <c r="G15" s="118">
        <f>SUM(G12:G14)</f>
        <v>1224780</v>
      </c>
      <c r="H15" s="27"/>
      <c r="I15" s="25"/>
      <c r="J15" s="25"/>
      <c r="K15" s="25"/>
      <c r="L15" s="109"/>
      <c r="M15" s="110"/>
      <c r="N15" s="119">
        <v>689000</v>
      </c>
      <c r="O15" s="95"/>
      <c r="P15" s="120">
        <v>0</v>
      </c>
      <c r="Q15" s="121">
        <v>364372</v>
      </c>
      <c r="R15" s="121">
        <v>267417</v>
      </c>
      <c r="S15" s="122">
        <v>57200</v>
      </c>
      <c r="T15" s="123">
        <v>0</v>
      </c>
      <c r="U15" s="79"/>
      <c r="V15" s="72"/>
      <c r="AA15" s="44"/>
      <c r="AB15" s="44"/>
      <c r="AC15" s="44"/>
      <c r="AD15" s="44"/>
    </row>
    <row r="16" spans="1:97" s="45" customFormat="1" ht="23.1" hidden="1" customHeight="1" thickBot="1">
      <c r="A16" s="124"/>
      <c r="B16" s="67"/>
      <c r="C16" s="68"/>
      <c r="D16" s="69"/>
      <c r="E16" s="70"/>
      <c r="F16" s="67"/>
      <c r="G16" s="125"/>
      <c r="H16" s="917"/>
      <c r="I16" s="917"/>
      <c r="J16" s="917"/>
      <c r="K16" s="917"/>
      <c r="L16" s="917"/>
      <c r="M16" s="917"/>
      <c r="N16" s="917"/>
      <c r="O16" s="917"/>
      <c r="P16" s="917"/>
      <c r="Q16" s="917"/>
      <c r="R16" s="917"/>
      <c r="S16" s="917"/>
      <c r="T16" s="917"/>
      <c r="U16" s="917"/>
      <c r="V16" s="72"/>
      <c r="AA16" s="44"/>
      <c r="AB16" s="44"/>
      <c r="AC16" s="44"/>
      <c r="AD16" s="44"/>
    </row>
    <row r="17" spans="1:30" s="45" customFormat="1" hidden="1">
      <c r="A17" s="73" t="s">
        <v>38</v>
      </c>
      <c r="B17" s="74"/>
      <c r="C17" s="75" t="s">
        <v>48</v>
      </c>
      <c r="D17" s="76"/>
      <c r="E17" s="76"/>
      <c r="F17" s="76"/>
      <c r="G17" s="126">
        <f>+G23</f>
        <v>85268164</v>
      </c>
      <c r="H17" s="19"/>
      <c r="I17" s="19"/>
      <c r="J17" s="19"/>
      <c r="K17" s="19"/>
      <c r="L17" s="19"/>
      <c r="M17" s="19"/>
      <c r="N17" s="78">
        <v>495900</v>
      </c>
      <c r="O17" s="79"/>
      <c r="P17" s="80"/>
      <c r="Q17" s="81"/>
      <c r="R17" s="81"/>
      <c r="S17" s="82"/>
      <c r="T17" s="83"/>
      <c r="U17" s="79">
        <v>0</v>
      </c>
      <c r="V17" s="12" t="s">
        <v>9</v>
      </c>
      <c r="AA17" s="44"/>
      <c r="AB17" s="44"/>
      <c r="AC17" s="44"/>
      <c r="AD17" s="44"/>
    </row>
    <row r="18" spans="1:30" s="45" customFormat="1" hidden="1">
      <c r="A18" s="84" t="s">
        <v>40</v>
      </c>
      <c r="B18" s="85"/>
      <c r="C18" s="86"/>
      <c r="D18" s="87"/>
      <c r="E18" s="88"/>
      <c r="F18" s="89"/>
      <c r="G18" s="90"/>
      <c r="H18" s="91"/>
      <c r="I18" s="89"/>
      <c r="J18" s="89"/>
      <c r="K18" s="89"/>
      <c r="L18" s="92"/>
      <c r="M18" s="93"/>
      <c r="N18" s="94"/>
      <c r="O18" s="95"/>
      <c r="P18" s="96"/>
      <c r="Q18" s="97"/>
      <c r="R18" s="97"/>
      <c r="S18" s="98"/>
      <c r="T18" s="99"/>
      <c r="U18" s="79"/>
      <c r="V18" s="72"/>
      <c r="AA18" s="44"/>
      <c r="AB18" s="44"/>
      <c r="AC18" s="44"/>
      <c r="AD18" s="44"/>
    </row>
    <row r="19" spans="1:30" s="45" customFormat="1" ht="20.25" hidden="1" customHeight="1">
      <c r="A19" s="127" t="s">
        <v>49</v>
      </c>
      <c r="B19" s="128"/>
      <c r="C19" s="129" t="s">
        <v>50</v>
      </c>
      <c r="D19" s="130" t="s">
        <v>51</v>
      </c>
      <c r="E19" s="131">
        <f>(111+218+146+116+780+2150)*1.2</f>
        <v>4225.2</v>
      </c>
      <c r="F19" s="25">
        <v>2610</v>
      </c>
      <c r="G19" s="26">
        <f>+F19*E19</f>
        <v>11027772</v>
      </c>
      <c r="H19" s="27">
        <v>2610</v>
      </c>
      <c r="I19" s="25">
        <v>3466</v>
      </c>
      <c r="J19" s="25">
        <v>1</v>
      </c>
      <c r="K19" s="25"/>
      <c r="L19" s="28">
        <v>450580</v>
      </c>
      <c r="M19" s="29">
        <v>339300</v>
      </c>
      <c r="N19" s="29">
        <v>339300</v>
      </c>
      <c r="O19" s="95"/>
      <c r="P19" s="96"/>
      <c r="Q19" s="97">
        <v>339300</v>
      </c>
      <c r="R19" s="97"/>
      <c r="S19" s="98"/>
      <c r="T19" s="99"/>
      <c r="U19" s="79"/>
      <c r="V19" s="72">
        <v>13</v>
      </c>
      <c r="AA19" s="44"/>
      <c r="AB19" s="44"/>
      <c r="AC19" s="44"/>
      <c r="AD19" s="44"/>
    </row>
    <row r="20" spans="1:30" s="45" customFormat="1" ht="24.75" hidden="1" customHeight="1">
      <c r="A20" s="584"/>
      <c r="B20" s="592"/>
      <c r="C20" s="593" t="s">
        <v>481</v>
      </c>
      <c r="D20" s="130" t="s">
        <v>51</v>
      </c>
      <c r="E20" s="594">
        <f>7.2+5.3+7.5+6+20+15</f>
        <v>61</v>
      </c>
      <c r="F20" s="575">
        <v>74380</v>
      </c>
      <c r="G20" s="26">
        <f>+F20*E20</f>
        <v>4537180</v>
      </c>
      <c r="H20" s="576"/>
      <c r="I20" s="575"/>
      <c r="J20" s="575"/>
      <c r="K20" s="575"/>
      <c r="L20" s="577"/>
      <c r="M20" s="578"/>
      <c r="N20" s="578"/>
      <c r="O20" s="95"/>
      <c r="P20" s="579"/>
      <c r="Q20" s="580"/>
      <c r="R20" s="580"/>
      <c r="S20" s="581"/>
      <c r="T20" s="582"/>
      <c r="U20" s="79"/>
      <c r="V20" s="72"/>
      <c r="AA20" s="44"/>
      <c r="AB20" s="44"/>
      <c r="AC20" s="44"/>
      <c r="AD20" s="44"/>
    </row>
    <row r="21" spans="1:30" s="45" customFormat="1" hidden="1">
      <c r="A21" s="132" t="s">
        <v>52</v>
      </c>
      <c r="B21" s="133"/>
      <c r="C21" s="134" t="s">
        <v>474</v>
      </c>
      <c r="D21" s="135" t="s">
        <v>51</v>
      </c>
      <c r="E21" s="136">
        <f>+E19</f>
        <v>4225.2</v>
      </c>
      <c r="F21" s="25">
        <v>15560</v>
      </c>
      <c r="G21" s="26">
        <f>+F21*E21</f>
        <v>65744112</v>
      </c>
      <c r="H21" s="27">
        <v>2610</v>
      </c>
      <c r="I21" s="25">
        <v>3466</v>
      </c>
      <c r="J21" s="25">
        <v>1</v>
      </c>
      <c r="K21" s="25"/>
      <c r="L21" s="28">
        <v>207960</v>
      </c>
      <c r="M21" s="29">
        <v>156600</v>
      </c>
      <c r="N21" s="29">
        <v>156600</v>
      </c>
      <c r="O21" s="95"/>
      <c r="P21" s="96"/>
      <c r="Q21" s="97">
        <v>156600</v>
      </c>
      <c r="R21" s="97"/>
      <c r="S21" s="98"/>
      <c r="T21" s="99"/>
      <c r="U21" s="79"/>
      <c r="V21" s="72">
        <v>14</v>
      </c>
      <c r="AA21" s="44"/>
      <c r="AB21" s="44"/>
      <c r="AC21" s="44"/>
      <c r="AD21" s="44"/>
    </row>
    <row r="22" spans="1:30" s="45" customFormat="1" hidden="1">
      <c r="A22" s="105"/>
      <c r="B22" s="106"/>
      <c r="C22" s="22" t="s">
        <v>482</v>
      </c>
      <c r="D22" s="23" t="s">
        <v>483</v>
      </c>
      <c r="E22" s="107">
        <f>68+40+100+30+80</f>
        <v>318</v>
      </c>
      <c r="F22" s="25">
        <v>12450</v>
      </c>
      <c r="G22" s="26">
        <f>+F22*E22</f>
        <v>3959100</v>
      </c>
      <c r="H22" s="27"/>
      <c r="I22" s="25"/>
      <c r="J22" s="25"/>
      <c r="K22" s="25"/>
      <c r="L22" s="109"/>
      <c r="M22" s="110"/>
      <c r="N22" s="111"/>
      <c r="O22" s="95"/>
      <c r="P22" s="96"/>
      <c r="Q22" s="97"/>
      <c r="R22" s="97"/>
      <c r="S22" s="98"/>
      <c r="T22" s="99"/>
      <c r="U22" s="79"/>
      <c r="V22" s="72"/>
      <c r="AA22" s="44"/>
      <c r="AB22" s="44"/>
      <c r="AC22" s="44"/>
      <c r="AD22" s="44"/>
    </row>
    <row r="23" spans="1:30" s="45" customFormat="1" ht="15.75" hidden="1" thickBot="1">
      <c r="A23" s="112" t="s">
        <v>46</v>
      </c>
      <c r="B23" s="113"/>
      <c r="C23" s="114"/>
      <c r="D23" s="115"/>
      <c r="E23" s="116"/>
      <c r="F23" s="117" t="s">
        <v>54</v>
      </c>
      <c r="G23" s="137">
        <f>SUM(G19:G22)</f>
        <v>85268164</v>
      </c>
      <c r="H23" s="27"/>
      <c r="I23" s="25"/>
      <c r="J23" s="25"/>
      <c r="K23" s="25"/>
      <c r="L23" s="109"/>
      <c r="M23" s="110"/>
      <c r="N23" s="119">
        <v>495900</v>
      </c>
      <c r="O23" s="95"/>
      <c r="P23" s="120">
        <v>0</v>
      </c>
      <c r="Q23" s="121">
        <v>495900</v>
      </c>
      <c r="R23" s="121">
        <v>0</v>
      </c>
      <c r="S23" s="122">
        <v>0</v>
      </c>
      <c r="T23" s="123">
        <v>0</v>
      </c>
      <c r="U23" s="79"/>
      <c r="V23" s="72"/>
      <c r="AA23" s="44"/>
      <c r="AB23" s="44"/>
      <c r="AC23" s="44"/>
      <c r="AD23" s="44"/>
    </row>
    <row r="24" spans="1:30" s="45" customFormat="1" ht="16.5" customHeight="1">
      <c r="A24" s="124"/>
      <c r="B24" s="67"/>
      <c r="C24" s="102"/>
      <c r="D24" s="69"/>
      <c r="E24" s="70"/>
      <c r="F24" s="67"/>
      <c r="G24" s="125"/>
      <c r="H24" s="917"/>
      <c r="I24" s="917"/>
      <c r="J24" s="917"/>
      <c r="K24" s="917"/>
      <c r="L24" s="917"/>
      <c r="M24" s="917"/>
      <c r="N24" s="917"/>
      <c r="O24" s="917"/>
      <c r="P24" s="917"/>
      <c r="Q24" s="917"/>
      <c r="R24" s="917"/>
      <c r="S24" s="917"/>
      <c r="T24" s="917"/>
      <c r="U24" s="917"/>
      <c r="V24" s="72"/>
      <c r="AA24" s="44"/>
      <c r="AB24" s="44"/>
      <c r="AC24" s="44"/>
      <c r="AD24" s="44"/>
    </row>
    <row r="25" spans="1:30" s="45" customFormat="1" ht="15.75" thickBot="1">
      <c r="A25" s="185"/>
      <c r="B25" s="827"/>
      <c r="C25" s="887"/>
      <c r="D25" s="827"/>
      <c r="E25" s="594"/>
      <c r="F25" s="575"/>
      <c r="G25" s="792"/>
      <c r="H25" s="208"/>
      <c r="I25" s="899"/>
      <c r="J25" s="208"/>
      <c r="K25" s="208"/>
      <c r="L25" s="208"/>
      <c r="M25" s="900"/>
      <c r="N25" s="901"/>
      <c r="O25" s="207"/>
      <c r="P25" s="207"/>
      <c r="Q25" s="207"/>
      <c r="R25" s="207"/>
      <c r="S25" s="207"/>
      <c r="T25" s="207"/>
      <c r="U25" s="16"/>
      <c r="V25" s="805"/>
      <c r="W25" s="807"/>
      <c r="X25" s="44"/>
      <c r="Y25" s="44"/>
      <c r="Z25" s="208"/>
      <c r="AA25" s="44"/>
      <c r="AB25" s="44"/>
      <c r="AC25" s="44"/>
      <c r="AD25" s="44"/>
    </row>
    <row r="26" spans="1:30" s="45" customFormat="1">
      <c r="A26" s="185"/>
      <c r="B26" s="74"/>
      <c r="C26" s="75" t="s">
        <v>1395</v>
      </c>
      <c r="D26" s="76"/>
      <c r="E26" s="76"/>
      <c r="F26" s="76"/>
      <c r="G26" s="77"/>
      <c r="H26" s="208"/>
      <c r="I26" s="899"/>
      <c r="J26" s="208"/>
      <c r="K26" s="208"/>
      <c r="L26" s="208"/>
      <c r="M26" s="900"/>
      <c r="N26" s="901"/>
      <c r="O26" s="207"/>
      <c r="P26" s="207"/>
      <c r="Q26" s="207"/>
      <c r="R26" s="207"/>
      <c r="S26" s="207"/>
      <c r="T26" s="207"/>
      <c r="U26" s="16"/>
      <c r="V26" s="805"/>
      <c r="W26" s="807"/>
      <c r="X26" s="44"/>
      <c r="Y26" s="44"/>
      <c r="Z26" s="208"/>
      <c r="AA26" s="44"/>
      <c r="AB26" s="44"/>
      <c r="AC26" s="44"/>
      <c r="AD26" s="44"/>
    </row>
    <row r="27" spans="1:30" s="45" customFormat="1">
      <c r="A27" s="185"/>
      <c r="B27" s="85"/>
      <c r="C27" s="86"/>
      <c r="D27" s="87"/>
      <c r="E27" s="88"/>
      <c r="F27" s="89"/>
      <c r="G27" s="90"/>
      <c r="H27" s="208"/>
      <c r="I27" s="899"/>
      <c r="J27" s="208"/>
      <c r="K27" s="208"/>
      <c r="L27" s="208"/>
      <c r="M27" s="900"/>
      <c r="N27" s="901"/>
      <c r="O27" s="207"/>
      <c r="P27" s="207"/>
      <c r="Q27" s="207"/>
      <c r="R27" s="207"/>
      <c r="S27" s="207"/>
      <c r="T27" s="207"/>
      <c r="U27" s="16"/>
      <c r="V27" s="805"/>
      <c r="W27" s="807"/>
      <c r="X27" s="44"/>
      <c r="Y27" s="44"/>
      <c r="Z27" s="208"/>
      <c r="AA27" s="44"/>
      <c r="AB27" s="44"/>
      <c r="AC27" s="44"/>
      <c r="AD27" s="44"/>
    </row>
    <row r="28" spans="1:30" s="45" customFormat="1">
      <c r="A28" s="185"/>
      <c r="B28" s="101"/>
      <c r="C28" s="102" t="s">
        <v>1396</v>
      </c>
      <c r="D28" s="104" t="s">
        <v>500</v>
      </c>
      <c r="E28" s="103">
        <v>100</v>
      </c>
      <c r="F28" s="575">
        <v>95233</v>
      </c>
      <c r="G28" s="792">
        <f>+F28*E28</f>
        <v>9523300</v>
      </c>
      <c r="H28" s="208"/>
      <c r="I28" s="899"/>
      <c r="J28" s="208"/>
      <c r="K28" s="208"/>
      <c r="L28" s="208"/>
      <c r="M28" s="900"/>
      <c r="N28" s="901"/>
      <c r="O28" s="207"/>
      <c r="P28" s="207"/>
      <c r="Q28" s="207"/>
      <c r="R28" s="207"/>
      <c r="S28" s="207"/>
      <c r="T28" s="207"/>
      <c r="U28" s="16"/>
      <c r="V28" s="805"/>
      <c r="W28" s="938">
        <f>+F28-9900</f>
        <v>85333</v>
      </c>
      <c r="X28" s="44"/>
      <c r="Y28" s="44"/>
      <c r="Z28" s="208"/>
      <c r="AA28" s="44"/>
      <c r="AB28" s="44"/>
      <c r="AC28" s="44"/>
      <c r="AD28" s="44"/>
    </row>
    <row r="29" spans="1:30" s="45" customFormat="1">
      <c r="A29" s="185"/>
      <c r="B29" s="101"/>
      <c r="C29" s="102" t="s">
        <v>1397</v>
      </c>
      <c r="D29" s="104" t="s">
        <v>500</v>
      </c>
      <c r="E29" s="103">
        <f>400+905</f>
        <v>1305</v>
      </c>
      <c r="F29" s="575">
        <v>68817</v>
      </c>
      <c r="G29" s="792">
        <f>+F29*E29</f>
        <v>89806185</v>
      </c>
      <c r="H29" s="208"/>
      <c r="I29" s="899"/>
      <c r="J29" s="208"/>
      <c r="K29" s="208"/>
      <c r="L29" s="208"/>
      <c r="M29" s="900"/>
      <c r="N29" s="901"/>
      <c r="O29" s="207"/>
      <c r="P29" s="207"/>
      <c r="Q29" s="207"/>
      <c r="R29" s="207"/>
      <c r="S29" s="207"/>
      <c r="T29" s="207"/>
      <c r="U29" s="16"/>
      <c r="V29" s="805"/>
      <c r="W29" s="938">
        <f>+F29-9900</f>
        <v>58917</v>
      </c>
      <c r="X29" s="44"/>
      <c r="Y29" s="44"/>
      <c r="Z29" s="208"/>
      <c r="AA29" s="44"/>
      <c r="AB29" s="44"/>
      <c r="AC29" s="44"/>
      <c r="AD29" s="44"/>
    </row>
    <row r="30" spans="1:30" s="45" customFormat="1">
      <c r="A30" s="185"/>
      <c r="B30" s="998"/>
      <c r="C30" s="102" t="s">
        <v>1402</v>
      </c>
      <c r="D30" s="104" t="s">
        <v>500</v>
      </c>
      <c r="E30" s="103">
        <v>971</v>
      </c>
      <c r="F30" s="575">
        <v>50610</v>
      </c>
      <c r="G30" s="792">
        <f>+F30*E30</f>
        <v>49142310</v>
      </c>
      <c r="H30" s="208"/>
      <c r="I30" s="899"/>
      <c r="J30" s="208"/>
      <c r="K30" s="208"/>
      <c r="L30" s="208"/>
      <c r="M30" s="900"/>
      <c r="N30" s="901"/>
      <c r="O30" s="207"/>
      <c r="P30" s="207"/>
      <c r="Q30" s="207"/>
      <c r="R30" s="207"/>
      <c r="S30" s="207"/>
      <c r="T30" s="207"/>
      <c r="U30" s="16"/>
      <c r="V30" s="805"/>
      <c r="W30" s="807"/>
      <c r="X30" s="44"/>
      <c r="Y30" s="44"/>
      <c r="Z30" s="208"/>
      <c r="AA30" s="44"/>
      <c r="AB30" s="44"/>
      <c r="AC30" s="44"/>
      <c r="AD30" s="44"/>
    </row>
    <row r="31" spans="1:30" s="45" customFormat="1" ht="15.75" thickBot="1">
      <c r="A31" s="185"/>
      <c r="B31" s="113"/>
      <c r="C31" s="114"/>
      <c r="D31" s="115"/>
      <c r="E31" s="116"/>
      <c r="F31" s="117" t="s">
        <v>1398</v>
      </c>
      <c r="G31" s="118">
        <f>SUM(G28:G30)</f>
        <v>148471795</v>
      </c>
      <c r="H31" s="208"/>
      <c r="I31" s="899"/>
      <c r="J31" s="208"/>
      <c r="K31" s="208"/>
      <c r="L31" s="208"/>
      <c r="M31" s="900"/>
      <c r="N31" s="901"/>
      <c r="O31" s="207"/>
      <c r="P31" s="207"/>
      <c r="Q31" s="207"/>
      <c r="R31" s="207"/>
      <c r="S31" s="207"/>
      <c r="T31" s="207"/>
      <c r="U31" s="16"/>
      <c r="V31" s="805"/>
      <c r="W31" s="807"/>
      <c r="X31" s="44"/>
      <c r="Y31" s="44"/>
      <c r="Z31" s="208"/>
      <c r="AA31" s="44"/>
      <c r="AB31" s="44"/>
      <c r="AC31" s="44"/>
      <c r="AD31" s="44"/>
    </row>
    <row r="32" spans="1:30" s="45" customFormat="1">
      <c r="A32" s="185"/>
      <c r="B32" s="827"/>
      <c r="C32" s="887"/>
      <c r="D32" s="827"/>
      <c r="E32" s="594"/>
      <c r="F32" s="575"/>
      <c r="G32" s="792"/>
      <c r="H32" s="208"/>
      <c r="I32" s="899"/>
      <c r="J32" s="208"/>
      <c r="K32" s="208"/>
      <c r="L32" s="208"/>
      <c r="M32" s="900"/>
      <c r="N32" s="901"/>
      <c r="O32" s="207"/>
      <c r="P32" s="207"/>
      <c r="Q32" s="207"/>
      <c r="R32" s="207"/>
      <c r="S32" s="207"/>
      <c r="T32" s="207"/>
      <c r="U32" s="16"/>
      <c r="V32" s="805"/>
      <c r="W32" s="807"/>
      <c r="X32" s="44"/>
      <c r="Y32" s="44"/>
      <c r="Z32" s="208"/>
      <c r="AA32" s="44"/>
      <c r="AB32" s="44"/>
      <c r="AC32" s="44"/>
      <c r="AD32" s="44"/>
    </row>
    <row r="33" spans="1:30" s="45" customFormat="1" ht="14.25" customHeight="1">
      <c r="A33" s="185" t="s">
        <v>29</v>
      </c>
      <c r="B33" s="827"/>
      <c r="C33" s="68"/>
      <c r="D33" s="69"/>
      <c r="E33" s="70"/>
      <c r="F33" s="67"/>
      <c r="G33" s="797"/>
      <c r="H33" s="213"/>
      <c r="I33" s="213"/>
      <c r="J33" s="213"/>
      <c r="K33" s="213"/>
      <c r="L33" s="213"/>
      <c r="M33" s="213"/>
      <c r="N33" s="213"/>
      <c r="O33" s="213"/>
      <c r="P33" s="213"/>
      <c r="Q33" s="213"/>
      <c r="R33" s="213"/>
      <c r="S33" s="213"/>
      <c r="T33" s="213"/>
      <c r="U33" s="16"/>
      <c r="V33" s="805"/>
      <c r="W33" s="44"/>
      <c r="X33" s="44"/>
      <c r="Y33" s="44"/>
      <c r="Z33" s="44"/>
      <c r="AA33" s="44"/>
      <c r="AB33" s="44"/>
      <c r="AC33" s="44"/>
      <c r="AD33" s="44"/>
    </row>
    <row r="34" spans="1:30" s="45" customFormat="1" ht="15.75" customHeight="1">
      <c r="A34" s="212"/>
      <c r="B34" s="38"/>
      <c r="C34" s="145"/>
      <c r="D34" s="146"/>
      <c r="E34" s="146"/>
      <c r="F34" s="147" t="s">
        <v>94</v>
      </c>
      <c r="G34" s="946" t="e">
        <f>+#REF!+#REF!+#REF!+#REF!+#REF!+#REF!+#REF!+#REF!+G31</f>
        <v>#REF!</v>
      </c>
      <c r="H34" s="214"/>
      <c r="I34" s="214" t="e">
        <v>#DIV/0!</v>
      </c>
      <c r="J34" s="214"/>
      <c r="K34" s="214"/>
      <c r="L34" s="214"/>
      <c r="M34" s="214"/>
      <c r="N34" s="214"/>
      <c r="O34" s="214"/>
      <c r="P34" s="214"/>
      <c r="Q34" s="214"/>
      <c r="R34" s="214"/>
      <c r="S34" s="214"/>
      <c r="T34" s="214"/>
      <c r="U34" s="16"/>
      <c r="V34" s="805"/>
      <c r="W34" s="44"/>
      <c r="X34" s="44"/>
      <c r="Y34" s="44"/>
      <c r="Z34" s="44"/>
      <c r="AA34" s="44"/>
      <c r="AB34" s="44"/>
      <c r="AC34" s="44"/>
      <c r="AD34" s="44"/>
    </row>
    <row r="35" spans="1:30" s="45" customFormat="1">
      <c r="A35" s="212"/>
      <c r="B35" s="38"/>
      <c r="C35" s="157"/>
      <c r="G35" s="796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16"/>
      <c r="V35" s="805"/>
      <c r="W35" s="44"/>
      <c r="X35" s="44"/>
      <c r="Y35" s="44"/>
      <c r="Z35" s="44"/>
      <c r="AA35" s="44"/>
      <c r="AB35" s="44"/>
      <c r="AC35" s="44"/>
      <c r="AD35" s="44"/>
    </row>
    <row r="36" spans="1:30" s="45" customFormat="1">
      <c r="A36" s="212"/>
      <c r="B36" s="38"/>
      <c r="C36" s="162" t="s">
        <v>96</v>
      </c>
      <c r="D36" s="163"/>
      <c r="E36" s="164"/>
      <c r="F36" s="165"/>
      <c r="G36" s="798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16"/>
      <c r="V36" s="805"/>
      <c r="W36" s="44"/>
      <c r="X36" s="44"/>
      <c r="Y36" s="44"/>
      <c r="Z36" s="44"/>
      <c r="AA36" s="44"/>
      <c r="AB36" s="44"/>
      <c r="AC36" s="44"/>
      <c r="AD36" s="44"/>
    </row>
    <row r="37" spans="1:30" s="45" customFormat="1">
      <c r="A37" s="212"/>
      <c r="B37" s="38"/>
      <c r="C37" s="170"/>
      <c r="D37" s="171"/>
      <c r="E37" s="171"/>
      <c r="F37" s="172" t="s">
        <v>98</v>
      </c>
      <c r="G37" s="799" t="e">
        <f>+G34</f>
        <v>#REF!</v>
      </c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16"/>
      <c r="V37" s="805"/>
      <c r="W37" s="44"/>
      <c r="X37" s="44"/>
      <c r="Y37" s="44"/>
      <c r="Z37" s="44"/>
      <c r="AA37" s="44"/>
      <c r="AB37" s="44"/>
      <c r="AC37" s="44"/>
      <c r="AD37" s="44"/>
    </row>
    <row r="38" spans="1:30">
      <c r="C38" s="177"/>
      <c r="D38" s="178"/>
      <c r="E38" s="179" t="s">
        <v>100</v>
      </c>
      <c r="F38" s="180">
        <v>0.14000000000000001</v>
      </c>
      <c r="G38" s="800" t="e">
        <f>+G37*F38</f>
        <v>#REF!</v>
      </c>
      <c r="W38" s="419"/>
      <c r="X38" s="419"/>
      <c r="Y38" s="419"/>
    </row>
    <row r="39" spans="1:30">
      <c r="C39" s="200"/>
      <c r="D39" s="201"/>
      <c r="E39" s="201"/>
      <c r="F39" s="202" t="s">
        <v>109</v>
      </c>
      <c r="G39" s="804" t="e">
        <f>+G37+G38</f>
        <v>#REF!</v>
      </c>
      <c r="Z39" s="885" t="e">
        <f>+G39*1.08</f>
        <v>#REF!</v>
      </c>
    </row>
    <row r="40" spans="1:30">
      <c r="C40" s="38"/>
      <c r="G40" s="810"/>
      <c r="Z40" s="917">
        <v>2406339517</v>
      </c>
    </row>
    <row r="41" spans="1:30">
      <c r="D41" s="45"/>
      <c r="E41" s="45"/>
      <c r="F41" s="45"/>
      <c r="G41" s="44"/>
      <c r="Z41" s="945" t="e">
        <f>+Z40-Z39</f>
        <v>#REF!</v>
      </c>
    </row>
    <row r="42" spans="1:30">
      <c r="C42" s="38"/>
      <c r="D42" s="38"/>
      <c r="E42" s="38"/>
      <c r="F42" s="38"/>
      <c r="G42" s="211"/>
    </row>
  </sheetData>
  <mergeCells count="10">
    <mergeCell ref="B5:B6"/>
    <mergeCell ref="C5:E6"/>
    <mergeCell ref="F6:G6"/>
    <mergeCell ref="P6:T6"/>
    <mergeCell ref="E1:F1"/>
    <mergeCell ref="E2:F2"/>
    <mergeCell ref="B3:D3"/>
    <mergeCell ref="E3:G3"/>
    <mergeCell ref="B4:D4"/>
    <mergeCell ref="E4:G4"/>
  </mergeCells>
  <conditionalFormatting sqref="H33:T34">
    <cfRule type="cellIs" dxfId="293" priority="28" stopIfTrue="1" operator="equal">
      <formula>1</formula>
    </cfRule>
  </conditionalFormatting>
  <conditionalFormatting sqref="G39 J25:N32 Z25:Z32 H25:H32">
    <cfRule type="expression" dxfId="292" priority="29" stopIfTrue="1">
      <formula>"&gt;G29"</formula>
    </cfRule>
    <cfRule type="expression" dxfId="291" priority="30" stopIfTrue="1">
      <formula>"&lt;G29"""</formula>
    </cfRule>
  </conditionalFormatting>
  <conditionalFormatting sqref="B5">
    <cfRule type="cellIs" dxfId="290" priority="32" stopIfTrue="1" operator="equal">
      <formula>"ESCRIBA AQUÍ EL NOMBRE DE LA OBRA"</formula>
    </cfRule>
  </conditionalFormatting>
  <conditionalFormatting sqref="O2:U2">
    <cfRule type="cellIs" dxfId="289" priority="33" stopIfTrue="1" operator="equal">
      <formula>"ESCRIBA AQUÍ EL NOMBRE DE LA OBRA"</formula>
    </cfRule>
  </conditionalFormatting>
  <conditionalFormatting sqref="G1:T1">
    <cfRule type="cellIs" dxfId="288" priority="34" stopIfTrue="1" operator="equal">
      <formula>"CHEQ. INSUMOS"</formula>
    </cfRule>
  </conditionalFormatting>
  <conditionalFormatting sqref="G2:T2">
    <cfRule type="cellIs" dxfId="287" priority="35" stopIfTrue="1" operator="equal">
      <formula>"CHEQ. INSUMOS"</formula>
    </cfRule>
  </conditionalFormatting>
  <conditionalFormatting sqref="O10:T10">
    <cfRule type="cellIs" dxfId="286" priority="25" stopIfTrue="1" operator="notEqual">
      <formula>0</formula>
    </cfRule>
  </conditionalFormatting>
  <conditionalFormatting sqref="U10">
    <cfRule type="cellIs" dxfId="285" priority="26" stopIfTrue="1" operator="notEqual">
      <formula>0</formula>
    </cfRule>
    <cfRule type="cellIs" dxfId="284" priority="27" stopIfTrue="1" operator="equal">
      <formula>0</formula>
    </cfRule>
  </conditionalFormatting>
  <conditionalFormatting sqref="B10:C10">
    <cfRule type="cellIs" dxfId="283" priority="24" stopIfTrue="1" operator="equal">
      <formula>"ESCRIBA AQUÍ EL NOMBRE DEL CAPITULO"</formula>
    </cfRule>
  </conditionalFormatting>
  <conditionalFormatting sqref="O17:T17">
    <cfRule type="cellIs" dxfId="282" priority="21" stopIfTrue="1" operator="notEqual">
      <formula>0</formula>
    </cfRule>
  </conditionalFormatting>
  <conditionalFormatting sqref="U17">
    <cfRule type="cellIs" dxfId="281" priority="22" stopIfTrue="1" operator="notEqual">
      <formula>0</formula>
    </cfRule>
    <cfRule type="cellIs" dxfId="280" priority="23" stopIfTrue="1" operator="equal">
      <formula>0</formula>
    </cfRule>
  </conditionalFormatting>
  <conditionalFormatting sqref="B17:C17">
    <cfRule type="cellIs" dxfId="279" priority="20" stopIfTrue="1" operator="equal">
      <formula>"ESCRIBA AQUÍ EL NOMBRE DEL CAPITULO"</formula>
    </cfRule>
  </conditionalFormatting>
  <conditionalFormatting sqref="B26:C26">
    <cfRule type="cellIs" dxfId="278" priority="1" stopIfTrue="1" operator="equal">
      <formula>"ESCRIBA AQUÍ EL NOMBRE DEL CAPITULO"</formula>
    </cfRule>
  </conditionalFormatting>
  <pageMargins left="0.7" right="0.7" top="0.75" bottom="0.75" header="0.3" footer="0.3"/>
  <pageSetup scale="9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3"/>
  <sheetViews>
    <sheetView topLeftCell="A10" workbookViewId="0">
      <selection activeCell="C30" sqref="C30"/>
    </sheetView>
  </sheetViews>
  <sheetFormatPr baseColWidth="10" defaultRowHeight="15"/>
  <cols>
    <col min="1" max="1" width="18.5703125" customWidth="1"/>
    <col min="2" max="2" width="7.85546875" customWidth="1"/>
    <col min="3" max="3" width="14.140625" customWidth="1"/>
    <col min="4" max="5" width="14.28515625" customWidth="1"/>
    <col min="6" max="7" width="14.28515625" style="917" customWidth="1"/>
  </cols>
  <sheetData>
    <row r="3" spans="1:7">
      <c r="A3" s="1284" t="s">
        <v>1525</v>
      </c>
      <c r="D3" s="1286">
        <f>452000*1.16*1.15</f>
        <v>602968</v>
      </c>
    </row>
    <row r="4" spans="1:7">
      <c r="A4" s="1284"/>
      <c r="D4" s="1286"/>
    </row>
    <row r="5" spans="1:7">
      <c r="A5" s="1284" t="s">
        <v>1527</v>
      </c>
      <c r="D5" s="1286">
        <f>250000*1.16*1.15</f>
        <v>333500</v>
      </c>
    </row>
    <row r="6" spans="1:7">
      <c r="A6" s="1284"/>
      <c r="D6" s="1286"/>
    </row>
    <row r="7" spans="1:7">
      <c r="A7" s="1285" t="s">
        <v>1526</v>
      </c>
      <c r="D7" s="1286">
        <f>235000*1.16*1.15</f>
        <v>313490</v>
      </c>
    </row>
    <row r="8" spans="1:7">
      <c r="D8" s="945">
        <f>+D7+D3</f>
        <v>916458</v>
      </c>
    </row>
    <row r="10" spans="1:7">
      <c r="A10" t="s">
        <v>1528</v>
      </c>
    </row>
    <row r="11" spans="1:7" ht="15.75">
      <c r="A11" s="1295">
        <f>+G11+E11</f>
        <v>8876580.0719999988</v>
      </c>
      <c r="B11" s="1907" t="s">
        <v>954</v>
      </c>
      <c r="C11" s="1907"/>
      <c r="D11" s="1290">
        <f>2.75*D5</f>
        <v>917125</v>
      </c>
      <c r="E11" s="1289">
        <f>+D11+D7+D3</f>
        <v>1833583</v>
      </c>
      <c r="F11" s="1289">
        <v>5279608</v>
      </c>
      <c r="G11" s="1289">
        <f>+F11*1.16*1.15</f>
        <v>7042997.0719999988</v>
      </c>
    </row>
    <row r="12" spans="1:7" ht="15.75">
      <c r="A12" s="1295">
        <f t="shared" ref="A12:A23" si="0">+G12+E12</f>
        <v>8919935.0719999988</v>
      </c>
      <c r="B12" s="1907" t="s">
        <v>955</v>
      </c>
      <c r="C12" s="1907"/>
      <c r="D12" s="1290">
        <f>2.88*D5</f>
        <v>960480</v>
      </c>
      <c r="E12" s="1289">
        <f>+D12+D7+D3</f>
        <v>1876938</v>
      </c>
      <c r="F12" s="1289">
        <v>5279608</v>
      </c>
      <c r="G12" s="1289">
        <f t="shared" ref="G12:G23" si="1">+F12*1.16*1.15</f>
        <v>7042997.0719999988</v>
      </c>
    </row>
    <row r="13" spans="1:7" ht="15.75">
      <c r="A13" s="1295">
        <f t="shared" si="0"/>
        <v>0</v>
      </c>
      <c r="B13" s="1291"/>
      <c r="C13" s="1291"/>
      <c r="D13" s="1291"/>
      <c r="E13" s="1291"/>
      <c r="F13" s="1291"/>
      <c r="G13" s="1289">
        <f t="shared" si="1"/>
        <v>0</v>
      </c>
    </row>
    <row r="14" spans="1:7" ht="15.75">
      <c r="A14" s="1295">
        <f t="shared" si="0"/>
        <v>12227444</v>
      </c>
      <c r="B14" s="1292" t="s">
        <v>1524</v>
      </c>
      <c r="C14" s="1293"/>
      <c r="D14" s="1290">
        <f>3.48*D5</f>
        <v>1160580</v>
      </c>
      <c r="E14" s="1289">
        <f>+D14+D8</f>
        <v>2077038</v>
      </c>
      <c r="F14" s="1289">
        <v>7609000</v>
      </c>
      <c r="G14" s="1289">
        <f t="shared" si="1"/>
        <v>10150406</v>
      </c>
    </row>
    <row r="15" spans="1:7" ht="15.75">
      <c r="A15" s="1295">
        <f t="shared" si="0"/>
        <v>6402943.8719999995</v>
      </c>
      <c r="B15" s="1292" t="s">
        <v>962</v>
      </c>
      <c r="C15" s="1293"/>
      <c r="D15" s="1290">
        <f>2.58*D5</f>
        <v>860430</v>
      </c>
      <c r="E15" s="1289">
        <f>+D15+D8</f>
        <v>1776888</v>
      </c>
      <c r="F15" s="1289">
        <f>+(3571058+3364558)/2</f>
        <v>3467808</v>
      </c>
      <c r="G15" s="1289">
        <f t="shared" si="1"/>
        <v>4626055.8719999995</v>
      </c>
    </row>
    <row r="16" spans="1:7" ht="15.75">
      <c r="A16" s="1295">
        <f t="shared" si="0"/>
        <v>7353418.8719999995</v>
      </c>
      <c r="B16" s="1292" t="s">
        <v>963</v>
      </c>
      <c r="C16" s="1293"/>
      <c r="D16" s="1290">
        <f>5.43*D5</f>
        <v>1810905</v>
      </c>
      <c r="E16" s="1289">
        <f>+D16+D8</f>
        <v>2727363</v>
      </c>
      <c r="F16" s="1289">
        <f>+(3571058+3364558)/2</f>
        <v>3467808</v>
      </c>
      <c r="G16" s="1289">
        <f t="shared" si="1"/>
        <v>4626055.8719999995</v>
      </c>
    </row>
    <row r="17" spans="1:7" ht="15.75">
      <c r="A17" s="1295">
        <f t="shared" si="0"/>
        <v>0</v>
      </c>
      <c r="B17" s="1291"/>
      <c r="C17" s="1291"/>
      <c r="D17" s="1290"/>
      <c r="E17" s="1291"/>
      <c r="F17" s="1291"/>
      <c r="G17" s="1289">
        <f t="shared" si="1"/>
        <v>0</v>
      </c>
    </row>
    <row r="18" spans="1:7" ht="15.75">
      <c r="A18" s="1295">
        <f t="shared" si="0"/>
        <v>0</v>
      </c>
      <c r="B18" s="1291"/>
      <c r="C18" s="1291"/>
      <c r="D18" s="1290"/>
      <c r="E18" s="1291"/>
      <c r="F18" s="1291"/>
      <c r="G18" s="1289">
        <f t="shared" si="1"/>
        <v>0</v>
      </c>
    </row>
    <row r="19" spans="1:7" ht="17.25" customHeight="1">
      <c r="A19" s="1295">
        <f t="shared" si="0"/>
        <v>6275213.3719999995</v>
      </c>
      <c r="B19" s="1908" t="s">
        <v>1506</v>
      </c>
      <c r="C19" s="1908"/>
      <c r="D19" s="1290">
        <f>4.02*D5</f>
        <v>1340669.9999999998</v>
      </c>
      <c r="E19" s="1289">
        <f>+D19+D8</f>
        <v>2257128</v>
      </c>
      <c r="F19" s="1289">
        <v>3012058</v>
      </c>
      <c r="G19" s="1289">
        <f t="shared" si="1"/>
        <v>4018085.3719999995</v>
      </c>
    </row>
    <row r="20" spans="1:7" ht="15.75">
      <c r="A20" s="1295">
        <f t="shared" si="0"/>
        <v>26411676.571999997</v>
      </c>
      <c r="B20" s="1294" t="s">
        <v>1507</v>
      </c>
      <c r="C20" s="1293"/>
      <c r="D20" s="1290">
        <f>5.77*D5</f>
        <v>1924294.9999999998</v>
      </c>
      <c r="E20" s="1289">
        <f>+D20+D8</f>
        <v>2840753</v>
      </c>
      <c r="F20" s="1289">
        <v>17669358</v>
      </c>
      <c r="G20" s="1289">
        <f t="shared" si="1"/>
        <v>23570923.571999997</v>
      </c>
    </row>
    <row r="21" spans="1:7" ht="15.75">
      <c r="A21" s="1295">
        <f t="shared" si="0"/>
        <v>10929632.751999998</v>
      </c>
      <c r="B21" s="1292" t="s">
        <v>1508</v>
      </c>
      <c r="C21" s="1293"/>
      <c r="D21" s="1290">
        <f>7.73*D5</f>
        <v>2577955</v>
      </c>
      <c r="E21" s="1289">
        <f>+D21+D8</f>
        <v>3494413</v>
      </c>
      <c r="F21" s="1289">
        <v>5573628</v>
      </c>
      <c r="G21" s="1289">
        <f t="shared" si="1"/>
        <v>7435219.7519999985</v>
      </c>
    </row>
    <row r="22" spans="1:7" ht="15.75">
      <c r="A22" s="1295">
        <f t="shared" si="0"/>
        <v>15011672.751999997</v>
      </c>
      <c r="B22" s="1292" t="s">
        <v>1509</v>
      </c>
      <c r="C22" s="1293"/>
      <c r="D22" s="1290">
        <f>7.63*D5</f>
        <v>2544605</v>
      </c>
      <c r="E22" s="1289">
        <f>+D22+D8</f>
        <v>3461063</v>
      </c>
      <c r="F22" s="1289">
        <v>8658628</v>
      </c>
      <c r="G22" s="1289">
        <f t="shared" si="1"/>
        <v>11550609.751999997</v>
      </c>
    </row>
    <row r="23" spans="1:7" ht="15.75">
      <c r="A23" s="1295">
        <f t="shared" si="0"/>
        <v>6715433.3719999995</v>
      </c>
      <c r="B23" s="1292" t="s">
        <v>1510</v>
      </c>
      <c r="C23" s="1293"/>
      <c r="D23" s="1290">
        <f>5.34*D5</f>
        <v>1780890</v>
      </c>
      <c r="E23" s="1289">
        <f>+D23+D8</f>
        <v>2697348</v>
      </c>
      <c r="F23" s="1289">
        <v>3012058</v>
      </c>
      <c r="G23" s="1289">
        <f t="shared" si="1"/>
        <v>4018085.3719999995</v>
      </c>
    </row>
  </sheetData>
  <mergeCells count="3">
    <mergeCell ref="B11:C11"/>
    <mergeCell ref="B12:C12"/>
    <mergeCell ref="B19:C19"/>
  </mergeCells>
  <pageMargins left="0.7" right="0.7" top="0.75" bottom="0.75" header="0.3" footer="0.3"/>
  <pageSetup paperSize="9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592"/>
  <sheetViews>
    <sheetView showGridLines="0" topLeftCell="B284" zoomScale="120" zoomScaleNormal="120" workbookViewId="0">
      <pane xSplit="1" topLeftCell="C1" activePane="topRight" state="frozen"/>
      <selection activeCell="B6" sqref="B6"/>
      <selection pane="topRight" activeCell="I297" sqref="I297"/>
    </sheetView>
  </sheetViews>
  <sheetFormatPr baseColWidth="10" defaultRowHeight="15"/>
  <cols>
    <col min="1" max="1" width="0" style="917" hidden="1" customWidth="1"/>
    <col min="2" max="2" width="8" style="917" customWidth="1"/>
    <col min="3" max="3" width="44" style="917" customWidth="1"/>
    <col min="4" max="4" width="6.140625" style="917" customWidth="1"/>
    <col min="5" max="5" width="9" style="917" customWidth="1"/>
    <col min="6" max="6" width="12.28515625" style="917" bestFit="1" customWidth="1"/>
    <col min="7" max="7" width="19.5703125" style="917" customWidth="1"/>
    <col min="8" max="8" width="11.42578125" style="917"/>
    <col min="9" max="9" width="19.42578125" style="917" customWidth="1"/>
    <col min="10" max="10" width="17.42578125" style="917" customWidth="1"/>
    <col min="11" max="54" width="11.42578125" style="917"/>
    <col min="55" max="57" width="0" style="917" hidden="1" customWidth="1"/>
    <col min="58" max="16384" width="11.42578125" style="917"/>
  </cols>
  <sheetData>
    <row r="1" spans="1:57" s="19" customFormat="1" ht="12" hidden="1" customHeight="1" thickTop="1">
      <c r="A1" s="1"/>
      <c r="B1" s="2">
        <v>2012.2</v>
      </c>
      <c r="C1" s="3"/>
      <c r="D1" s="4"/>
      <c r="E1" s="1885" t="s">
        <v>0</v>
      </c>
      <c r="F1" s="1885"/>
      <c r="G1" s="5">
        <v>408578100</v>
      </c>
      <c r="W1" s="20"/>
      <c r="X1" s="21"/>
      <c r="Y1" s="22"/>
      <c r="Z1" s="23"/>
      <c r="AA1" s="24"/>
      <c r="AB1" s="25">
        <v>0</v>
      </c>
      <c r="AC1" s="26">
        <v>0</v>
      </c>
      <c r="AD1" s="27"/>
      <c r="AE1" s="25"/>
      <c r="AF1" s="25">
        <v>1</v>
      </c>
      <c r="AG1" s="25"/>
      <c r="AH1" s="28">
        <v>0</v>
      </c>
      <c r="AI1" s="29">
        <v>0</v>
      </c>
      <c r="AJ1" s="29">
        <v>0</v>
      </c>
      <c r="BC1" s="19" t="s">
        <v>9</v>
      </c>
      <c r="BE1" s="19">
        <v>0</v>
      </c>
    </row>
    <row r="2" spans="1:57" s="19" customFormat="1" ht="12" hidden="1" customHeight="1" thickBot="1">
      <c r="A2" s="1" t="s">
        <v>6</v>
      </c>
      <c r="B2" s="30" t="s">
        <v>6</v>
      </c>
      <c r="C2" s="31"/>
      <c r="D2" s="32"/>
      <c r="E2" s="1886"/>
      <c r="F2" s="1886"/>
      <c r="G2" s="33" t="s">
        <v>10</v>
      </c>
    </row>
    <row r="3" spans="1:57" s="45" customFormat="1" ht="21" hidden="1" customHeight="1" thickTop="1">
      <c r="A3" s="39"/>
      <c r="B3" s="1887" t="s">
        <v>1420</v>
      </c>
      <c r="C3" s="1888"/>
      <c r="D3" s="1888"/>
      <c r="E3" s="1889" t="s">
        <v>12</v>
      </c>
      <c r="F3" s="1890"/>
      <c r="G3" s="1891"/>
    </row>
    <row r="4" spans="1:57" s="45" customFormat="1" ht="21" hidden="1" customHeight="1">
      <c r="A4" s="39"/>
      <c r="B4" s="1910" t="s">
        <v>1437</v>
      </c>
      <c r="C4" s="1911"/>
      <c r="D4" s="1912"/>
      <c r="E4" s="1894" t="s">
        <v>14</v>
      </c>
      <c r="F4" s="1895"/>
      <c r="G4" s="1896"/>
    </row>
    <row r="5" spans="1:57" s="45" customFormat="1" ht="15" hidden="1" customHeight="1">
      <c r="A5" s="39"/>
      <c r="B5" s="1897" t="s">
        <v>15</v>
      </c>
      <c r="C5" s="1913" t="s">
        <v>480</v>
      </c>
      <c r="D5" s="1914"/>
      <c r="E5" s="1915"/>
      <c r="F5" s="46" t="s">
        <v>17</v>
      </c>
      <c r="G5" s="47">
        <v>41751</v>
      </c>
    </row>
    <row r="6" spans="1:57" s="45" customFormat="1" ht="21" hidden="1" customHeight="1" thickBot="1">
      <c r="A6" s="39"/>
      <c r="B6" s="1898"/>
      <c r="C6" s="1916"/>
      <c r="D6" s="1917"/>
      <c r="E6" s="1918"/>
      <c r="F6" s="1905"/>
      <c r="G6" s="1906"/>
    </row>
    <row r="7" spans="1:57" s="45" customFormat="1" ht="20.100000000000001" hidden="1" customHeight="1" thickTop="1">
      <c r="A7" s="39"/>
      <c r="B7" s="52"/>
      <c r="C7" s="53"/>
      <c r="D7" s="54"/>
      <c r="E7" s="55"/>
      <c r="F7" s="52"/>
      <c r="G7" s="56"/>
    </row>
    <row r="8" spans="1:57" s="45" customFormat="1" ht="15.75" hidden="1" customHeight="1">
      <c r="A8" s="59" t="s">
        <v>19</v>
      </c>
      <c r="B8" s="60" t="s">
        <v>20</v>
      </c>
      <c r="C8" s="60" t="s">
        <v>21</v>
      </c>
      <c r="D8" s="60" t="s">
        <v>22</v>
      </c>
      <c r="E8" s="60" t="s">
        <v>23</v>
      </c>
      <c r="F8" s="60" t="s">
        <v>24</v>
      </c>
      <c r="G8" s="61" t="s">
        <v>25</v>
      </c>
    </row>
    <row r="9" spans="1:57" s="45" customFormat="1" ht="14.25" hidden="1" customHeight="1" thickBot="1">
      <c r="A9" s="66"/>
      <c r="B9" s="67"/>
      <c r="C9" s="68"/>
      <c r="D9" s="69"/>
      <c r="E9" s="70"/>
      <c r="F9" s="67"/>
      <c r="G9" s="71"/>
    </row>
    <row r="10" spans="1:57" s="45" customFormat="1" ht="23.1" hidden="1" customHeight="1">
      <c r="A10" s="66"/>
      <c r="B10" s="67"/>
      <c r="C10" s="68"/>
      <c r="D10" s="69"/>
      <c r="E10" s="70"/>
      <c r="F10" s="67"/>
      <c r="G10" s="71"/>
    </row>
    <row r="11" spans="1:57" s="45" customFormat="1" ht="12.75" hidden="1" customHeight="1">
      <c r="A11" s="73" t="s">
        <v>38</v>
      </c>
      <c r="B11" s="74"/>
      <c r="C11" s="75" t="s">
        <v>39</v>
      </c>
      <c r="D11" s="76"/>
      <c r="E11" s="76"/>
      <c r="F11" s="76"/>
      <c r="G11" s="77">
        <f>+G16</f>
        <v>1224780</v>
      </c>
    </row>
    <row r="12" spans="1:57" s="45" customFormat="1" ht="12.75" hidden="1" customHeight="1">
      <c r="A12" s="84" t="s">
        <v>40</v>
      </c>
      <c r="B12" s="85"/>
      <c r="C12" s="86"/>
      <c r="D12" s="87"/>
      <c r="E12" s="88"/>
      <c r="F12" s="89"/>
      <c r="G12" s="90"/>
    </row>
    <row r="13" spans="1:57" s="45" customFormat="1" ht="15.75" hidden="1" thickBot="1">
      <c r="A13" s="100" t="s">
        <v>41</v>
      </c>
      <c r="B13" s="101"/>
      <c r="C13" s="102" t="s">
        <v>42</v>
      </c>
      <c r="D13" s="574" t="s">
        <v>43</v>
      </c>
      <c r="E13" s="103">
        <v>298</v>
      </c>
      <c r="F13" s="25">
        <v>2760</v>
      </c>
      <c r="G13" s="26">
        <f>+F13*E13</f>
        <v>822480</v>
      </c>
    </row>
    <row r="14" spans="1:57" s="45" customFormat="1" ht="15.75" hidden="1" thickBot="1">
      <c r="A14" s="100" t="s">
        <v>44</v>
      </c>
      <c r="B14" s="101"/>
      <c r="C14" s="102" t="s">
        <v>45</v>
      </c>
      <c r="D14" s="104" t="s">
        <v>43</v>
      </c>
      <c r="E14" s="103">
        <v>298</v>
      </c>
      <c r="F14" s="25">
        <v>1350</v>
      </c>
      <c r="G14" s="26">
        <f t="shared" ref="G14" si="0">+F14*E14</f>
        <v>402300</v>
      </c>
    </row>
    <row r="15" spans="1:57" s="45" customFormat="1" ht="15.75" hidden="1" thickBot="1">
      <c r="A15" s="105"/>
      <c r="B15" s="106"/>
      <c r="C15" s="22"/>
      <c r="D15" s="23"/>
      <c r="E15" s="107"/>
      <c r="F15" s="25"/>
      <c r="G15" s="108"/>
    </row>
    <row r="16" spans="1:57" s="45" customFormat="1" ht="12.75" hidden="1" customHeight="1" thickBot="1">
      <c r="A16" s="112" t="s">
        <v>46</v>
      </c>
      <c r="B16" s="113"/>
      <c r="C16" s="114"/>
      <c r="D16" s="115"/>
      <c r="E16" s="116"/>
      <c r="F16" s="117" t="s">
        <v>47</v>
      </c>
      <c r="G16" s="118">
        <f>SUM(G13:G15)</f>
        <v>1224780</v>
      </c>
    </row>
    <row r="17" spans="1:9" s="45" customFormat="1" ht="23.1" hidden="1" customHeight="1" thickBot="1">
      <c r="A17" s="124"/>
      <c r="B17" s="67"/>
      <c r="C17" s="68"/>
      <c r="D17" s="69"/>
      <c r="E17" s="70"/>
      <c r="F17" s="67"/>
      <c r="G17" s="125"/>
    </row>
    <row r="18" spans="1:9" s="45" customFormat="1" ht="15.75" hidden="1" thickBot="1">
      <c r="A18" s="73" t="s">
        <v>38</v>
      </c>
      <c r="B18" s="74"/>
      <c r="C18" s="75" t="s">
        <v>48</v>
      </c>
      <c r="D18" s="76"/>
      <c r="E18" s="76"/>
      <c r="F18" s="76"/>
      <c r="G18" s="126">
        <f>+G24</f>
        <v>85268164</v>
      </c>
    </row>
    <row r="19" spans="1:9" s="45" customFormat="1" ht="15.75" hidden="1" thickBot="1">
      <c r="A19" s="84" t="s">
        <v>40</v>
      </c>
      <c r="B19" s="85"/>
      <c r="C19" s="86"/>
      <c r="D19" s="87"/>
      <c r="E19" s="88"/>
      <c r="F19" s="89"/>
      <c r="G19" s="90"/>
    </row>
    <row r="20" spans="1:9" s="45" customFormat="1" ht="20.25" hidden="1" customHeight="1">
      <c r="A20" s="127" t="s">
        <v>49</v>
      </c>
      <c r="B20" s="128"/>
      <c r="C20" s="129" t="s">
        <v>50</v>
      </c>
      <c r="D20" s="130" t="s">
        <v>51</v>
      </c>
      <c r="E20" s="131">
        <f>(111+218+146+116+780+2150)*1.2</f>
        <v>4225.2</v>
      </c>
      <c r="F20" s="25">
        <v>2610</v>
      </c>
      <c r="G20" s="26">
        <f>+F20*E20</f>
        <v>11027772</v>
      </c>
    </row>
    <row r="21" spans="1:9" s="45" customFormat="1" ht="24.75" hidden="1" customHeight="1">
      <c r="A21" s="584"/>
      <c r="B21" s="592"/>
      <c r="C21" s="593" t="s">
        <v>481</v>
      </c>
      <c r="D21" s="130" t="s">
        <v>51</v>
      </c>
      <c r="E21" s="594">
        <f>7.2+5.3+7.5+6+20+15</f>
        <v>61</v>
      </c>
      <c r="F21" s="575">
        <v>74380</v>
      </c>
      <c r="G21" s="26">
        <f>+F21*E21</f>
        <v>4537180</v>
      </c>
    </row>
    <row r="22" spans="1:9" s="45" customFormat="1" ht="15.75" hidden="1" thickBot="1">
      <c r="A22" s="132" t="s">
        <v>52</v>
      </c>
      <c r="B22" s="133"/>
      <c r="C22" s="134" t="s">
        <v>474</v>
      </c>
      <c r="D22" s="135" t="s">
        <v>51</v>
      </c>
      <c r="E22" s="136">
        <f>+E20</f>
        <v>4225.2</v>
      </c>
      <c r="F22" s="25">
        <v>15560</v>
      </c>
      <c r="G22" s="26">
        <f>+F22*E22</f>
        <v>65744112</v>
      </c>
    </row>
    <row r="23" spans="1:9" s="45" customFormat="1" ht="15.75" hidden="1" thickBot="1">
      <c r="A23" s="105"/>
      <c r="B23" s="106"/>
      <c r="C23" s="22" t="s">
        <v>482</v>
      </c>
      <c r="D23" s="23" t="s">
        <v>483</v>
      </c>
      <c r="E23" s="107">
        <f>68+40+100+30+80</f>
        <v>318</v>
      </c>
      <c r="F23" s="25">
        <v>12450</v>
      </c>
      <c r="G23" s="26">
        <f>+F23*E23</f>
        <v>3959100</v>
      </c>
    </row>
    <row r="24" spans="1:9" s="45" customFormat="1" ht="15.75" hidden="1" thickBot="1">
      <c r="A24" s="112" t="s">
        <v>46</v>
      </c>
      <c r="B24" s="113"/>
      <c r="C24" s="114"/>
      <c r="D24" s="115"/>
      <c r="E24" s="116"/>
      <c r="F24" s="117" t="s">
        <v>54</v>
      </c>
      <c r="G24" s="137">
        <f>SUM(G20:G23)</f>
        <v>85268164</v>
      </c>
    </row>
    <row r="25" spans="1:9" s="45" customFormat="1" hidden="1">
      <c r="A25" s="73"/>
      <c r="B25" s="74">
        <v>1</v>
      </c>
      <c r="C25" s="775" t="s">
        <v>1114</v>
      </c>
      <c r="D25" s="76"/>
      <c r="E25" s="76"/>
      <c r="F25" s="76"/>
      <c r="G25" s="126"/>
    </row>
    <row r="26" spans="1:9" s="45" customFormat="1" ht="15" hidden="1" customHeight="1">
      <c r="A26" s="124"/>
      <c r="B26" s="771">
        <v>1.1000000000000001</v>
      </c>
      <c r="C26" s="102" t="s">
        <v>975</v>
      </c>
      <c r="D26" s="772" t="s">
        <v>56</v>
      </c>
      <c r="E26" s="773">
        <v>964</v>
      </c>
      <c r="F26" s="587">
        <v>1320</v>
      </c>
      <c r="G26" s="774">
        <f>+F26*E26</f>
        <v>1272480</v>
      </c>
      <c r="I26" s="45">
        <f>89*53</f>
        <v>4717</v>
      </c>
    </row>
    <row r="27" spans="1:9" s="45" customFormat="1" ht="15" hidden="1" customHeight="1">
      <c r="A27" s="124"/>
      <c r="B27" s="771">
        <f>+B26+0.1</f>
        <v>1.2000000000000002</v>
      </c>
      <c r="C27" s="102" t="s">
        <v>940</v>
      </c>
      <c r="D27" s="820" t="s">
        <v>56</v>
      </c>
      <c r="E27" s="773">
        <v>964</v>
      </c>
      <c r="F27" s="587">
        <v>1360</v>
      </c>
      <c r="G27" s="774">
        <f t="shared" ref="G27:G29" si="1">+F27*E27</f>
        <v>1311040</v>
      </c>
    </row>
    <row r="28" spans="1:9" s="45" customFormat="1" ht="15" hidden="1" customHeight="1">
      <c r="A28" s="124"/>
      <c r="B28" s="771">
        <f t="shared" ref="B28:B29" si="2">+B27+0.1</f>
        <v>1.3000000000000003</v>
      </c>
      <c r="C28" s="593" t="s">
        <v>974</v>
      </c>
      <c r="D28" s="827" t="s">
        <v>22</v>
      </c>
      <c r="E28" s="594">
        <v>1</v>
      </c>
      <c r="F28" s="575">
        <v>1637330</v>
      </c>
      <c r="G28" s="774">
        <f t="shared" si="1"/>
        <v>1637330</v>
      </c>
    </row>
    <row r="29" spans="1:9" s="45" customFormat="1" ht="15" hidden="1" customHeight="1" thickBot="1">
      <c r="A29" s="124"/>
      <c r="B29" s="771">
        <f t="shared" si="2"/>
        <v>1.4000000000000004</v>
      </c>
      <c r="C29" s="102" t="s">
        <v>1001</v>
      </c>
      <c r="D29" s="772" t="s">
        <v>56</v>
      </c>
      <c r="E29" s="780">
        <v>40</v>
      </c>
      <c r="F29" s="587">
        <v>30610</v>
      </c>
      <c r="G29" s="774">
        <f t="shared" si="1"/>
        <v>1224400</v>
      </c>
    </row>
    <row r="30" spans="1:9" s="45" customFormat="1" ht="15" hidden="1" customHeight="1" thickBot="1">
      <c r="A30" s="124"/>
      <c r="B30" s="869"/>
      <c r="C30" s="1884" t="s">
        <v>982</v>
      </c>
      <c r="D30" s="1884"/>
      <c r="E30" s="1884"/>
      <c r="F30" s="1884"/>
      <c r="G30" s="870">
        <f>SUM(G26:G29)</f>
        <v>5445250</v>
      </c>
    </row>
    <row r="31" spans="1:9" s="45" customFormat="1" ht="15" hidden="1" customHeight="1" thickBot="1">
      <c r="A31" s="124"/>
      <c r="B31" s="823"/>
      <c r="C31" s="824"/>
      <c r="D31" s="821"/>
      <c r="E31" s="825"/>
      <c r="F31" s="43"/>
      <c r="G31" s="826"/>
    </row>
    <row r="32" spans="1:9" s="45" customFormat="1" ht="15" hidden="1" customHeight="1">
      <c r="A32" s="124"/>
      <c r="B32" s="74">
        <v>2</v>
      </c>
      <c r="C32" s="75" t="s">
        <v>85</v>
      </c>
      <c r="D32" s="76"/>
      <c r="E32" s="76"/>
      <c r="F32" s="76"/>
      <c r="G32" s="126"/>
    </row>
    <row r="33" spans="1:10" s="45" customFormat="1" ht="15" hidden="1" customHeight="1">
      <c r="A33" s="124"/>
      <c r="B33" s="85"/>
      <c r="C33" s="86"/>
      <c r="D33" s="87"/>
      <c r="E33" s="88"/>
      <c r="F33" s="89"/>
      <c r="G33" s="90"/>
    </row>
    <row r="34" spans="1:10" s="45" customFormat="1" ht="15" hidden="1" customHeight="1">
      <c r="A34" s="124"/>
      <c r="B34" s="771"/>
      <c r="C34" s="102" t="s">
        <v>943</v>
      </c>
      <c r="D34" s="772" t="s">
        <v>139</v>
      </c>
      <c r="E34" s="1310">
        <f>390*0.3</f>
        <v>117</v>
      </c>
      <c r="F34" s="587">
        <v>2640</v>
      </c>
      <c r="G34" s="774">
        <f>+E34*F34</f>
        <v>308880</v>
      </c>
    </row>
    <row r="35" spans="1:10" s="45" customFormat="1" ht="17.25" hidden="1" customHeight="1">
      <c r="A35" s="124"/>
      <c r="B35" s="592">
        <v>2.1</v>
      </c>
      <c r="C35" s="822" t="s">
        <v>1520</v>
      </c>
      <c r="D35" s="827" t="s">
        <v>51</v>
      </c>
      <c r="E35" s="594">
        <v>30</v>
      </c>
      <c r="F35" s="575">
        <v>248000</v>
      </c>
      <c r="G35" s="774">
        <f>+F35*E35</f>
        <v>7440000</v>
      </c>
    </row>
    <row r="36" spans="1:10" s="45" customFormat="1" ht="15" hidden="1" customHeight="1">
      <c r="A36" s="124"/>
      <c r="B36" s="592">
        <f>+B35+0.1</f>
        <v>2.2000000000000002</v>
      </c>
      <c r="C36" s="593" t="s">
        <v>87</v>
      </c>
      <c r="D36" s="827" t="s">
        <v>43</v>
      </c>
      <c r="E36" s="594">
        <f>(104+104+57+57+70)*1.5</f>
        <v>588</v>
      </c>
      <c r="F36" s="575">
        <v>20403</v>
      </c>
      <c r="G36" s="774">
        <f t="shared" ref="G36:G44" si="3">+F36*E36</f>
        <v>11996964</v>
      </c>
    </row>
    <row r="37" spans="1:10" s="45" customFormat="1" ht="15" hidden="1" customHeight="1">
      <c r="A37" s="124"/>
      <c r="B37" s="592">
        <f t="shared" ref="B37:B43" si="4">+B36+0.1</f>
        <v>2.3000000000000003</v>
      </c>
      <c r="C37" s="593" t="s">
        <v>88</v>
      </c>
      <c r="D37" s="827" t="s">
        <v>483</v>
      </c>
      <c r="E37" s="594">
        <v>490</v>
      </c>
      <c r="F37" s="575">
        <v>25950</v>
      </c>
      <c r="G37" s="774">
        <f t="shared" si="3"/>
        <v>12715500</v>
      </c>
      <c r="I37" s="45">
        <f>35+35</f>
        <v>70</v>
      </c>
      <c r="J37" s="45">
        <f>+I37*1.5</f>
        <v>105</v>
      </c>
    </row>
    <row r="38" spans="1:10" s="45" customFormat="1" ht="15" hidden="1" customHeight="1">
      <c r="A38" s="124"/>
      <c r="B38" s="592">
        <f t="shared" si="4"/>
        <v>2.4000000000000004</v>
      </c>
      <c r="C38" s="593" t="s">
        <v>89</v>
      </c>
      <c r="D38" s="827" t="s">
        <v>483</v>
      </c>
      <c r="E38" s="594">
        <f>20*2.5</f>
        <v>50</v>
      </c>
      <c r="F38" s="575">
        <v>20743</v>
      </c>
      <c r="G38" s="774">
        <f t="shared" si="3"/>
        <v>1037150</v>
      </c>
      <c r="I38" s="45">
        <f>+I37/2</f>
        <v>35</v>
      </c>
    </row>
    <row r="39" spans="1:10" s="45" customFormat="1" ht="15" hidden="1" customHeight="1">
      <c r="A39" s="124"/>
      <c r="B39" s="592">
        <f t="shared" si="4"/>
        <v>2.5000000000000004</v>
      </c>
      <c r="C39" s="593" t="s">
        <v>90</v>
      </c>
      <c r="D39" s="827" t="s">
        <v>483</v>
      </c>
      <c r="E39" s="594">
        <v>392</v>
      </c>
      <c r="F39" s="575">
        <v>1930</v>
      </c>
      <c r="G39" s="774">
        <f t="shared" si="3"/>
        <v>756560</v>
      </c>
    </row>
    <row r="40" spans="1:10" s="45" customFormat="1" ht="28.5" hidden="1" customHeight="1">
      <c r="A40" s="124"/>
      <c r="B40" s="592">
        <f t="shared" si="4"/>
        <v>2.6000000000000005</v>
      </c>
      <c r="C40" s="1276" t="s">
        <v>91</v>
      </c>
      <c r="D40" s="827" t="s">
        <v>1574</v>
      </c>
      <c r="E40" s="594">
        <v>2</v>
      </c>
      <c r="F40" s="575">
        <v>687290</v>
      </c>
      <c r="G40" s="774">
        <f t="shared" si="3"/>
        <v>1374580</v>
      </c>
      <c r="I40" s="594">
        <f>(104+104+57+57+70)</f>
        <v>392</v>
      </c>
      <c r="J40" s="45">
        <f>+I40*0.3*0.25</f>
        <v>29.4</v>
      </c>
    </row>
    <row r="41" spans="1:10" s="45" customFormat="1" ht="15" hidden="1" customHeight="1">
      <c r="A41" s="124"/>
      <c r="B41" s="592">
        <f t="shared" si="4"/>
        <v>2.7000000000000006</v>
      </c>
      <c r="C41" s="593" t="s">
        <v>92</v>
      </c>
      <c r="D41" s="827" t="s">
        <v>977</v>
      </c>
      <c r="E41" s="594">
        <v>1</v>
      </c>
      <c r="F41" s="575">
        <v>614676</v>
      </c>
      <c r="G41" s="774">
        <f t="shared" si="3"/>
        <v>614676</v>
      </c>
      <c r="I41" s="45">
        <f>+I40/2</f>
        <v>196</v>
      </c>
    </row>
    <row r="42" spans="1:10" s="45" customFormat="1" ht="15" hidden="1" customHeight="1">
      <c r="A42" s="124"/>
      <c r="B42" s="592">
        <f t="shared" si="4"/>
        <v>2.8000000000000007</v>
      </c>
      <c r="C42" s="593" t="s">
        <v>1523</v>
      </c>
      <c r="D42" s="827" t="s">
        <v>43</v>
      </c>
      <c r="E42" s="594">
        <f>392*0.5</f>
        <v>196</v>
      </c>
      <c r="F42" s="575">
        <v>44520</v>
      </c>
      <c r="G42" s="774">
        <f t="shared" si="3"/>
        <v>8725920</v>
      </c>
      <c r="I42" s="45">
        <f>+I41*2.5</f>
        <v>490</v>
      </c>
    </row>
    <row r="43" spans="1:10" s="45" customFormat="1" ht="15" hidden="1" customHeight="1">
      <c r="A43" s="124"/>
      <c r="B43" s="592">
        <f t="shared" si="4"/>
        <v>2.9000000000000008</v>
      </c>
      <c r="C43" s="593" t="s">
        <v>1521</v>
      </c>
      <c r="D43" s="827" t="s">
        <v>51</v>
      </c>
      <c r="E43" s="594">
        <f>3.2+1.5</f>
        <v>4.7</v>
      </c>
      <c r="F43" s="575">
        <v>663760</v>
      </c>
      <c r="G43" s="774">
        <f t="shared" si="3"/>
        <v>3119672</v>
      </c>
    </row>
    <row r="44" spans="1:10" s="45" customFormat="1" ht="15" hidden="1" customHeight="1">
      <c r="A44" s="124"/>
      <c r="B44" s="884">
        <v>2.1</v>
      </c>
      <c r="C44" s="593" t="s">
        <v>1522</v>
      </c>
      <c r="D44" s="827" t="s">
        <v>51</v>
      </c>
      <c r="E44" s="594">
        <f>14+3</f>
        <v>17</v>
      </c>
      <c r="F44" s="575">
        <v>316330</v>
      </c>
      <c r="G44" s="774">
        <f t="shared" si="3"/>
        <v>5377610</v>
      </c>
      <c r="I44" s="45">
        <f>392*0.3*0.25</f>
        <v>29.4</v>
      </c>
    </row>
    <row r="45" spans="1:10" s="45" customFormat="1" ht="15" hidden="1" customHeight="1" thickBot="1">
      <c r="A45" s="124"/>
      <c r="B45" s="871"/>
      <c r="C45" s="1884" t="s">
        <v>983</v>
      </c>
      <c r="D45" s="1884"/>
      <c r="E45" s="1884"/>
      <c r="F45" s="1884"/>
      <c r="G45" s="1004">
        <f>SUM(G34:G44)</f>
        <v>53467512</v>
      </c>
    </row>
    <row r="46" spans="1:10" s="45" customFormat="1" ht="15" hidden="1" customHeight="1">
      <c r="A46" s="124"/>
      <c r="B46" s="823"/>
      <c r="C46" s="824"/>
      <c r="D46" s="821"/>
      <c r="E46" s="825"/>
      <c r="F46" s="43"/>
      <c r="G46" s="826"/>
    </row>
    <row r="47" spans="1:10" s="45" customFormat="1" ht="16.5" hidden="1" customHeight="1" thickBot="1">
      <c r="A47" s="124"/>
      <c r="B47" s="67"/>
      <c r="C47" s="102"/>
      <c r="D47" s="69"/>
      <c r="E47" s="70"/>
      <c r="F47" s="67"/>
      <c r="G47" s="125"/>
    </row>
    <row r="48" spans="1:10" s="45" customFormat="1" hidden="1">
      <c r="A48" s="73" t="s">
        <v>38</v>
      </c>
      <c r="B48" s="74">
        <v>3</v>
      </c>
      <c r="C48" s="75" t="s">
        <v>956</v>
      </c>
      <c r="D48" s="76"/>
      <c r="E48" s="76"/>
      <c r="F48" s="76"/>
      <c r="G48" s="126"/>
    </row>
    <row r="49" spans="1:7" s="45" customFormat="1" ht="15" hidden="1" customHeight="1">
      <c r="A49" s="84" t="s">
        <v>40</v>
      </c>
      <c r="B49" s="85"/>
      <c r="C49" s="86"/>
      <c r="D49" s="87"/>
      <c r="E49" s="88"/>
      <c r="F49" s="89"/>
      <c r="G49" s="90"/>
    </row>
    <row r="50" spans="1:7" s="45" customFormat="1" hidden="1">
      <c r="A50" s="586"/>
      <c r="B50" s="771"/>
      <c r="C50" s="788" t="s">
        <v>947</v>
      </c>
      <c r="D50" s="772"/>
      <c r="E50" s="773"/>
      <c r="F50" s="587"/>
      <c r="G50" s="774"/>
    </row>
    <row r="51" spans="1:7" s="45" customFormat="1" hidden="1">
      <c r="A51" s="586"/>
      <c r="B51" s="771">
        <v>3.1</v>
      </c>
      <c r="C51" s="102" t="s">
        <v>943</v>
      </c>
      <c r="D51" s="772" t="s">
        <v>139</v>
      </c>
      <c r="E51" s="1310">
        <f>191+24.875</f>
        <v>215.875</v>
      </c>
      <c r="F51" s="587">
        <v>2640</v>
      </c>
      <c r="G51" s="774">
        <f>+E51*F51</f>
        <v>569910</v>
      </c>
    </row>
    <row r="52" spans="1:7" s="45" customFormat="1" hidden="1">
      <c r="A52" s="586"/>
      <c r="B52" s="771">
        <f t="shared" ref="B52:B57" si="5">+B51+0.1</f>
        <v>3.2</v>
      </c>
      <c r="C52" s="102" t="s">
        <v>1101</v>
      </c>
      <c r="D52" s="772" t="s">
        <v>139</v>
      </c>
      <c r="E52" s="780">
        <v>20</v>
      </c>
      <c r="F52" s="587">
        <v>5190</v>
      </c>
      <c r="G52" s="774">
        <f t="shared" ref="G52:G57" si="6">+E52*F52</f>
        <v>103800</v>
      </c>
    </row>
    <row r="53" spans="1:7" s="45" customFormat="1" hidden="1">
      <c r="A53" s="586"/>
      <c r="B53" s="771">
        <f t="shared" si="5"/>
        <v>3.3000000000000003</v>
      </c>
      <c r="C53" s="102" t="s">
        <v>941</v>
      </c>
      <c r="D53" s="777" t="s">
        <v>139</v>
      </c>
      <c r="E53" s="780">
        <v>11</v>
      </c>
      <c r="F53" s="1317">
        <v>10530</v>
      </c>
      <c r="G53" s="774">
        <f t="shared" si="6"/>
        <v>115830</v>
      </c>
    </row>
    <row r="54" spans="1:7" s="45" customFormat="1" hidden="1">
      <c r="A54" s="586"/>
      <c r="B54" s="771">
        <f t="shared" si="5"/>
        <v>3.4000000000000004</v>
      </c>
      <c r="C54" s="102" t="s">
        <v>497</v>
      </c>
      <c r="D54" s="777" t="s">
        <v>56</v>
      </c>
      <c r="E54" s="780">
        <v>99</v>
      </c>
      <c r="F54" s="587">
        <v>17220</v>
      </c>
      <c r="G54" s="774">
        <f t="shared" si="6"/>
        <v>1704780</v>
      </c>
    </row>
    <row r="55" spans="1:7" s="45" customFormat="1" hidden="1">
      <c r="A55" s="586"/>
      <c r="B55" s="771">
        <f t="shared" si="5"/>
        <v>3.5000000000000004</v>
      </c>
      <c r="C55" s="782" t="s">
        <v>979</v>
      </c>
      <c r="D55" s="772" t="s">
        <v>139</v>
      </c>
      <c r="E55" s="780">
        <v>29</v>
      </c>
      <c r="F55" s="791">
        <v>609700</v>
      </c>
      <c r="G55" s="774">
        <f t="shared" si="6"/>
        <v>17681300</v>
      </c>
    </row>
    <row r="56" spans="1:7" s="45" customFormat="1" hidden="1">
      <c r="A56" s="586"/>
      <c r="B56" s="771">
        <f t="shared" si="5"/>
        <v>3.6000000000000005</v>
      </c>
      <c r="C56" s="102" t="s">
        <v>976</v>
      </c>
      <c r="D56" s="772" t="s">
        <v>139</v>
      </c>
      <c r="E56" s="780">
        <v>43</v>
      </c>
      <c r="F56" s="587">
        <v>650208</v>
      </c>
      <c r="G56" s="774">
        <f t="shared" si="6"/>
        <v>27958944</v>
      </c>
    </row>
    <row r="57" spans="1:7" s="45" customFormat="1" hidden="1">
      <c r="A57" s="586"/>
      <c r="B57" s="771">
        <f t="shared" si="5"/>
        <v>3.7000000000000006</v>
      </c>
      <c r="C57" s="102" t="s">
        <v>980</v>
      </c>
      <c r="D57" s="772" t="s">
        <v>139</v>
      </c>
      <c r="E57" s="780">
        <v>3</v>
      </c>
      <c r="F57" s="587">
        <v>630777</v>
      </c>
      <c r="G57" s="774">
        <f t="shared" si="6"/>
        <v>1892331</v>
      </c>
    </row>
    <row r="58" spans="1:7" s="45" customFormat="1" hidden="1">
      <c r="A58" s="586"/>
      <c r="B58" s="838"/>
      <c r="C58" s="215"/>
      <c r="D58" s="216"/>
      <c r="E58" s="829"/>
      <c r="F58" s="95"/>
      <c r="G58" s="836"/>
    </row>
    <row r="59" spans="1:7" s="45" customFormat="1" ht="15.75" hidden="1" thickBot="1">
      <c r="A59" s="586"/>
      <c r="B59" s="113"/>
      <c r="C59" s="114"/>
      <c r="D59" s="115"/>
      <c r="E59" s="116"/>
      <c r="F59" s="789" t="s">
        <v>968</v>
      </c>
      <c r="G59" s="118">
        <f>SUM(G51:G58)</f>
        <v>50026895</v>
      </c>
    </row>
    <row r="60" spans="1:7" s="45" customFormat="1" hidden="1">
      <c r="A60" s="586"/>
      <c r="B60" s="771"/>
      <c r="C60" s="102"/>
      <c r="D60" s="772"/>
      <c r="E60" s="780"/>
      <c r="F60" s="587"/>
      <c r="G60" s="774"/>
    </row>
    <row r="61" spans="1:7" s="45" customFormat="1" hidden="1">
      <c r="A61" s="586"/>
      <c r="B61" s="771"/>
      <c r="C61" s="787" t="s">
        <v>948</v>
      </c>
      <c r="D61" s="772"/>
      <c r="E61" s="780"/>
      <c r="F61" s="587"/>
      <c r="G61" s="774">
        <f>+E61*F62</f>
        <v>0</v>
      </c>
    </row>
    <row r="62" spans="1:7" s="45" customFormat="1" hidden="1">
      <c r="A62" s="586"/>
      <c r="B62" s="771">
        <v>3.8</v>
      </c>
      <c r="C62" s="102" t="s">
        <v>522</v>
      </c>
      <c r="D62" s="772" t="s">
        <v>142</v>
      </c>
      <c r="E62" s="780">
        <v>2400</v>
      </c>
      <c r="F62" s="773">
        <v>3250</v>
      </c>
      <c r="G62" s="774">
        <f t="shared" ref="G62:G85" si="7">+E62*F62</f>
        <v>7800000</v>
      </c>
    </row>
    <row r="63" spans="1:7" s="45" customFormat="1" hidden="1">
      <c r="A63" s="586"/>
      <c r="B63" s="779">
        <v>3.1</v>
      </c>
      <c r="C63" s="102" t="s">
        <v>942</v>
      </c>
      <c r="D63" s="777" t="s">
        <v>56</v>
      </c>
      <c r="E63" s="780">
        <v>81</v>
      </c>
      <c r="F63" s="773">
        <v>4500</v>
      </c>
      <c r="G63" s="774">
        <f t="shared" si="7"/>
        <v>364500</v>
      </c>
    </row>
    <row r="64" spans="1:7" s="45" customFormat="1" hidden="1">
      <c r="A64" s="586"/>
      <c r="B64" s="779">
        <f>+B63+0.01</f>
        <v>3.11</v>
      </c>
      <c r="C64" s="102" t="s">
        <v>945</v>
      </c>
      <c r="D64" s="772" t="s">
        <v>139</v>
      </c>
      <c r="E64" s="780">
        <v>12</v>
      </c>
      <c r="F64" s="778">
        <v>75330</v>
      </c>
      <c r="G64" s="774">
        <f t="shared" si="7"/>
        <v>903960</v>
      </c>
    </row>
    <row r="65" spans="1:10" s="45" customFormat="1" hidden="1">
      <c r="A65" s="586"/>
      <c r="B65" s="779">
        <f t="shared" ref="B65:B75" si="8">+B64+0.01</f>
        <v>3.1199999999999997</v>
      </c>
      <c r="C65" s="102" t="s">
        <v>946</v>
      </c>
      <c r="D65" s="772" t="s">
        <v>540</v>
      </c>
      <c r="E65" s="780">
        <v>60</v>
      </c>
      <c r="F65" s="587">
        <v>29330</v>
      </c>
      <c r="G65" s="774">
        <f t="shared" si="7"/>
        <v>1759800</v>
      </c>
    </row>
    <row r="66" spans="1:10" s="45" customFormat="1" hidden="1">
      <c r="A66" s="586"/>
      <c r="B66" s="779">
        <f t="shared" si="8"/>
        <v>3.1299999999999994</v>
      </c>
      <c r="C66" s="102" t="s">
        <v>949</v>
      </c>
      <c r="D66" s="772" t="s">
        <v>540</v>
      </c>
      <c r="E66" s="773">
        <v>21</v>
      </c>
      <c r="F66" s="587">
        <v>48740</v>
      </c>
      <c r="G66" s="774">
        <f t="shared" si="7"/>
        <v>1023540</v>
      </c>
    </row>
    <row r="67" spans="1:10" s="45" customFormat="1" hidden="1">
      <c r="A67" s="586"/>
      <c r="B67" s="779">
        <f t="shared" si="8"/>
        <v>3.1399999999999992</v>
      </c>
      <c r="C67" s="782" t="s">
        <v>950</v>
      </c>
      <c r="D67" s="772" t="s">
        <v>540</v>
      </c>
      <c r="E67" s="773">
        <v>87</v>
      </c>
      <c r="F67" s="587">
        <v>18670</v>
      </c>
      <c r="G67" s="774">
        <f t="shared" si="7"/>
        <v>1624290</v>
      </c>
    </row>
    <row r="68" spans="1:10" s="45" customFormat="1" ht="26.25" hidden="1" customHeight="1">
      <c r="A68" s="586"/>
      <c r="B68" s="779">
        <f t="shared" si="8"/>
        <v>3.149999999999999</v>
      </c>
      <c r="C68" s="988" t="s">
        <v>937</v>
      </c>
      <c r="D68" s="820" t="s">
        <v>22</v>
      </c>
      <c r="E68" s="969">
        <v>170</v>
      </c>
      <c r="F68" s="858">
        <v>42200</v>
      </c>
      <c r="G68" s="774">
        <f t="shared" si="7"/>
        <v>7174000</v>
      </c>
    </row>
    <row r="69" spans="1:10" s="45" customFormat="1" hidden="1">
      <c r="A69" s="586"/>
      <c r="B69" s="987">
        <f t="shared" si="8"/>
        <v>3.1599999999999988</v>
      </c>
      <c r="C69" s="988" t="s">
        <v>1560</v>
      </c>
      <c r="D69" s="820" t="s">
        <v>22</v>
      </c>
      <c r="E69" s="969">
        <v>10</v>
      </c>
      <c r="F69" s="858">
        <v>612360</v>
      </c>
      <c r="G69" s="990">
        <f t="shared" si="7"/>
        <v>6123600</v>
      </c>
    </row>
    <row r="70" spans="1:10" s="45" customFormat="1" hidden="1">
      <c r="A70" s="586"/>
      <c r="B70" s="987">
        <f t="shared" si="8"/>
        <v>3.1699999999999986</v>
      </c>
      <c r="C70" s="988" t="s">
        <v>1563</v>
      </c>
      <c r="D70" s="820" t="s">
        <v>22</v>
      </c>
      <c r="E70" s="969">
        <v>2</v>
      </c>
      <c r="F70" s="1318">
        <v>612360</v>
      </c>
      <c r="G70" s="990">
        <f t="shared" si="7"/>
        <v>1224720</v>
      </c>
    </row>
    <row r="71" spans="1:10" s="45" customFormat="1" hidden="1">
      <c r="A71" s="586"/>
      <c r="B71" s="987">
        <f t="shared" si="8"/>
        <v>3.1799999999999984</v>
      </c>
      <c r="C71" s="988" t="s">
        <v>1559</v>
      </c>
      <c r="D71" s="820" t="s">
        <v>22</v>
      </c>
      <c r="E71" s="969">
        <v>6</v>
      </c>
      <c r="F71" s="1318">
        <v>1070400</v>
      </c>
      <c r="G71" s="990">
        <f t="shared" si="7"/>
        <v>6422400</v>
      </c>
    </row>
    <row r="72" spans="1:10" s="45" customFormat="1" hidden="1">
      <c r="A72" s="586"/>
      <c r="B72" s="987">
        <f t="shared" si="8"/>
        <v>3.1899999999999982</v>
      </c>
      <c r="C72" s="988" t="s">
        <v>1472</v>
      </c>
      <c r="D72" s="820" t="s">
        <v>500</v>
      </c>
      <c r="E72" s="851">
        <v>9</v>
      </c>
      <c r="F72" s="863">
        <v>89900</v>
      </c>
      <c r="G72" s="990">
        <f t="shared" si="7"/>
        <v>809100</v>
      </c>
      <c r="I72" s="45">
        <f>16*0.0254</f>
        <v>0.40639999999999998</v>
      </c>
    </row>
    <row r="73" spans="1:10" s="45" customFormat="1" hidden="1">
      <c r="A73" s="586"/>
      <c r="B73" s="987">
        <f t="shared" si="8"/>
        <v>3.199999999999998</v>
      </c>
      <c r="C73" s="988" t="s">
        <v>1473</v>
      </c>
      <c r="D73" s="820" t="s">
        <v>500</v>
      </c>
      <c r="E73" s="969">
        <v>22</v>
      </c>
      <c r="F73" s="863">
        <v>59620</v>
      </c>
      <c r="G73" s="990">
        <f t="shared" si="7"/>
        <v>1311640</v>
      </c>
    </row>
    <row r="74" spans="1:10" s="45" customFormat="1" ht="15.75" hidden="1" customHeight="1">
      <c r="A74" s="586"/>
      <c r="B74" s="987">
        <f t="shared" si="8"/>
        <v>3.2099999999999977</v>
      </c>
      <c r="C74" s="988" t="s">
        <v>509</v>
      </c>
      <c r="D74" s="820" t="s">
        <v>56</v>
      </c>
      <c r="E74" s="969">
        <v>77</v>
      </c>
      <c r="F74" s="858">
        <v>150170</v>
      </c>
      <c r="G74" s="990">
        <f t="shared" si="7"/>
        <v>11563090</v>
      </c>
    </row>
    <row r="75" spans="1:10" s="45" customFormat="1" ht="63.75" hidden="1" customHeight="1">
      <c r="A75" s="586"/>
      <c r="B75" s="987">
        <f t="shared" si="8"/>
        <v>3.2199999999999975</v>
      </c>
      <c r="C75" s="1044" t="s">
        <v>1474</v>
      </c>
      <c r="D75" s="820"/>
      <c r="E75" s="969"/>
      <c r="F75" s="858"/>
      <c r="G75" s="990"/>
    </row>
    <row r="76" spans="1:10" s="45" customFormat="1" ht="18.75" hidden="1" customHeight="1">
      <c r="A76" s="586"/>
      <c r="B76" s="1309" t="s">
        <v>1032</v>
      </c>
      <c r="C76" s="988" t="s">
        <v>1553</v>
      </c>
      <c r="D76" s="820" t="s">
        <v>22</v>
      </c>
      <c r="E76" s="969">
        <v>2</v>
      </c>
      <c r="F76" s="1318">
        <f>6309408*1.16*1.1</f>
        <v>8050804.608</v>
      </c>
      <c r="G76" s="990">
        <f t="shared" si="7"/>
        <v>16101609.216</v>
      </c>
      <c r="I76" s="863">
        <v>8876580</v>
      </c>
      <c r="J76" s="860" t="s">
        <v>954</v>
      </c>
    </row>
    <row r="77" spans="1:10" s="45" customFormat="1" ht="18.75" hidden="1" customHeight="1">
      <c r="A77" s="586"/>
      <c r="B77" s="1309" t="s">
        <v>1033</v>
      </c>
      <c r="C77" s="988" t="s">
        <v>1554</v>
      </c>
      <c r="D77" s="820" t="s">
        <v>22</v>
      </c>
      <c r="E77" s="969">
        <v>2</v>
      </c>
      <c r="F77" s="1318">
        <f>6747540*1.16*1.1</f>
        <v>8609861.040000001</v>
      </c>
      <c r="G77" s="990">
        <f t="shared" si="7"/>
        <v>17219722.080000002</v>
      </c>
      <c r="I77" s="863">
        <v>8919935</v>
      </c>
      <c r="J77" s="860" t="s">
        <v>955</v>
      </c>
    </row>
    <row r="78" spans="1:10" s="45" customFormat="1" ht="18.75" hidden="1" customHeight="1">
      <c r="A78" s="586"/>
      <c r="B78" s="1309" t="s">
        <v>1034</v>
      </c>
      <c r="C78" s="988" t="s">
        <v>1557</v>
      </c>
      <c r="D78" s="820" t="s">
        <v>22</v>
      </c>
      <c r="E78" s="969">
        <v>2</v>
      </c>
      <c r="F78" s="1318">
        <f>6747540*1.16*1.1</f>
        <v>8609861.040000001</v>
      </c>
      <c r="G78" s="990">
        <f t="shared" si="7"/>
        <v>17219722.080000002</v>
      </c>
      <c r="I78" s="1319"/>
      <c r="J78" s="1320"/>
    </row>
    <row r="79" spans="1:10" s="45" customFormat="1" hidden="1">
      <c r="A79" s="586"/>
      <c r="B79" s="857" t="s">
        <v>1035</v>
      </c>
      <c r="C79" s="988" t="s">
        <v>511</v>
      </c>
      <c r="D79" s="820" t="s">
        <v>22</v>
      </c>
      <c r="E79" s="969">
        <v>6</v>
      </c>
      <c r="F79" s="858">
        <v>4053852</v>
      </c>
      <c r="G79" s="774">
        <f t="shared" si="7"/>
        <v>24323112</v>
      </c>
    </row>
    <row r="80" spans="1:10" s="45" customFormat="1" hidden="1">
      <c r="A80" s="586"/>
      <c r="B80" s="779">
        <v>3.23</v>
      </c>
      <c r="C80" s="102" t="s">
        <v>503</v>
      </c>
      <c r="D80" s="772" t="s">
        <v>22</v>
      </c>
      <c r="E80" s="773">
        <v>3</v>
      </c>
      <c r="F80" s="858">
        <v>890000</v>
      </c>
      <c r="G80" s="774">
        <f t="shared" si="7"/>
        <v>2670000</v>
      </c>
    </row>
    <row r="81" spans="1:7" s="45" customFormat="1" hidden="1">
      <c r="A81" s="586"/>
      <c r="B81" s="779">
        <v>3.24</v>
      </c>
      <c r="C81" s="102" t="s">
        <v>504</v>
      </c>
      <c r="D81" s="772" t="s">
        <v>22</v>
      </c>
      <c r="E81" s="773">
        <v>1</v>
      </c>
      <c r="F81" s="858">
        <v>182000</v>
      </c>
      <c r="G81" s="774">
        <f t="shared" si="7"/>
        <v>182000</v>
      </c>
    </row>
    <row r="82" spans="1:7" s="45" customFormat="1" hidden="1">
      <c r="A82" s="586"/>
      <c r="B82" s="779">
        <v>3.25</v>
      </c>
      <c r="C82" s="102" t="s">
        <v>505</v>
      </c>
      <c r="D82" s="772" t="s">
        <v>22</v>
      </c>
      <c r="E82" s="773">
        <v>1</v>
      </c>
      <c r="F82" s="858">
        <v>127500</v>
      </c>
      <c r="G82" s="774">
        <f t="shared" si="7"/>
        <v>127500</v>
      </c>
    </row>
    <row r="83" spans="1:7" s="45" customFormat="1" ht="318.75" hidden="1" customHeight="1">
      <c r="A83" s="586"/>
      <c r="B83" s="779">
        <v>3.23</v>
      </c>
      <c r="C83" s="102" t="s">
        <v>1555</v>
      </c>
      <c r="D83" s="772" t="s">
        <v>22</v>
      </c>
      <c r="E83" s="773">
        <v>1</v>
      </c>
      <c r="F83" s="858">
        <v>127500</v>
      </c>
      <c r="G83" s="774">
        <f t="shared" si="7"/>
        <v>127500</v>
      </c>
    </row>
    <row r="84" spans="1:7" s="45" customFormat="1" ht="22.5" hidden="1" customHeight="1">
      <c r="A84" s="586"/>
      <c r="B84" s="779">
        <v>3.23</v>
      </c>
      <c r="C84" s="102" t="s">
        <v>1556</v>
      </c>
      <c r="D84" s="772" t="s">
        <v>22</v>
      </c>
      <c r="E84" s="773">
        <v>1</v>
      </c>
      <c r="F84" s="858">
        <v>127500</v>
      </c>
      <c r="G84" s="774">
        <f t="shared" si="7"/>
        <v>127500</v>
      </c>
    </row>
    <row r="85" spans="1:7" s="45" customFormat="1" hidden="1">
      <c r="A85" s="586"/>
      <c r="B85" s="779">
        <v>3.26</v>
      </c>
      <c r="C85" s="102" t="s">
        <v>1558</v>
      </c>
      <c r="D85" s="772" t="s">
        <v>22</v>
      </c>
      <c r="E85" s="773">
        <v>6</v>
      </c>
      <c r="F85" s="1318">
        <v>127500</v>
      </c>
      <c r="G85" s="774">
        <f t="shared" si="7"/>
        <v>765000</v>
      </c>
    </row>
    <row r="86" spans="1:7" s="45" customFormat="1" ht="15.75" hidden="1" thickBot="1">
      <c r="A86" s="586"/>
      <c r="B86" s="771"/>
      <c r="C86" s="114"/>
      <c r="D86" s="115"/>
      <c r="E86" s="116"/>
      <c r="F86" s="117" t="s">
        <v>957</v>
      </c>
      <c r="G86" s="118">
        <f>SUM(G61:G85)</f>
        <v>126968305.376</v>
      </c>
    </row>
    <row r="87" spans="1:7" s="45" customFormat="1" hidden="1">
      <c r="A87" s="586"/>
      <c r="B87" s="771"/>
      <c r="C87" s="102"/>
      <c r="D87" s="772"/>
      <c r="E87" s="773"/>
      <c r="F87" s="587"/>
      <c r="G87" s="774"/>
    </row>
    <row r="88" spans="1:7" s="45" customFormat="1" ht="15.75" hidden="1" thickBot="1">
      <c r="A88" s="586"/>
      <c r="B88" s="771"/>
      <c r="C88" s="871"/>
      <c r="D88" s="873"/>
      <c r="E88" s="874"/>
      <c r="F88" s="1331" t="s">
        <v>958</v>
      </c>
      <c r="G88" s="1004">
        <f>+G59+G86</f>
        <v>176995200.37599999</v>
      </c>
    </row>
    <row r="89" spans="1:7" s="45" customFormat="1" ht="15.75" hidden="1" thickBot="1">
      <c r="A89" s="586"/>
      <c r="B89" s="823"/>
      <c r="C89" s="824"/>
      <c r="D89" s="821"/>
      <c r="E89" s="825"/>
      <c r="F89" s="43"/>
      <c r="G89" s="826"/>
    </row>
    <row r="90" spans="1:7" s="45" customFormat="1" hidden="1">
      <c r="A90" s="586"/>
      <c r="B90" s="74">
        <v>4</v>
      </c>
      <c r="C90" s="75" t="s">
        <v>475</v>
      </c>
      <c r="D90" s="76"/>
      <c r="E90" s="76"/>
      <c r="F90" s="76"/>
      <c r="G90" s="126"/>
    </row>
    <row r="91" spans="1:7" s="45" customFormat="1" hidden="1">
      <c r="A91" s="586"/>
      <c r="B91" s="771"/>
      <c r="C91" s="788" t="s">
        <v>947</v>
      </c>
      <c r="D91" s="772"/>
      <c r="E91" s="773"/>
      <c r="F91" s="587"/>
      <c r="G91" s="774"/>
    </row>
    <row r="92" spans="1:7" s="45" customFormat="1" hidden="1">
      <c r="A92" s="586"/>
      <c r="B92" s="771">
        <v>4.0999999999999996</v>
      </c>
      <c r="C92" s="102" t="s">
        <v>943</v>
      </c>
      <c r="D92" s="772" t="s">
        <v>139</v>
      </c>
      <c r="E92" s="587">
        <v>225</v>
      </c>
      <c r="F92" s="587">
        <f>+F51</f>
        <v>2640</v>
      </c>
      <c r="G92" s="774">
        <f t="shared" ref="G92:G98" si="9">+E92*F92</f>
        <v>594000</v>
      </c>
    </row>
    <row r="93" spans="1:7" s="45" customFormat="1" hidden="1">
      <c r="A93" s="586"/>
      <c r="B93" s="771">
        <f>+B92+0.1</f>
        <v>4.1999999999999993</v>
      </c>
      <c r="C93" s="102" t="s">
        <v>1101</v>
      </c>
      <c r="D93" s="772" t="s">
        <v>139</v>
      </c>
      <c r="E93" s="780">
        <v>27</v>
      </c>
      <c r="F93" s="587">
        <v>5190</v>
      </c>
      <c r="G93" s="774">
        <f t="shared" si="9"/>
        <v>140130</v>
      </c>
    </row>
    <row r="94" spans="1:7" s="45" customFormat="1" hidden="1">
      <c r="A94" s="586"/>
      <c r="B94" s="771">
        <f>+B93+0.1</f>
        <v>4.2999999999999989</v>
      </c>
      <c r="C94" s="102" t="s">
        <v>941</v>
      </c>
      <c r="D94" s="777" t="s">
        <v>139</v>
      </c>
      <c r="E94" s="587">
        <v>15</v>
      </c>
      <c r="F94" s="587">
        <f>+F53</f>
        <v>10530</v>
      </c>
      <c r="G94" s="774">
        <f t="shared" si="9"/>
        <v>157950</v>
      </c>
    </row>
    <row r="95" spans="1:7" s="45" customFormat="1" hidden="1">
      <c r="A95" s="586"/>
      <c r="B95" s="771">
        <f t="shared" ref="B95:B97" si="10">+B94+0.1</f>
        <v>4.3999999999999986</v>
      </c>
      <c r="C95" s="102" t="s">
        <v>497</v>
      </c>
      <c r="D95" s="777" t="s">
        <v>56</v>
      </c>
      <c r="E95" s="587">
        <v>48</v>
      </c>
      <c r="F95" s="587">
        <v>17220</v>
      </c>
      <c r="G95" s="774">
        <f t="shared" si="9"/>
        <v>826560</v>
      </c>
    </row>
    <row r="96" spans="1:7" s="45" customFormat="1" hidden="1">
      <c r="A96" s="586"/>
      <c r="B96" s="771">
        <f t="shared" si="10"/>
        <v>4.4999999999999982</v>
      </c>
      <c r="C96" s="782" t="s">
        <v>979</v>
      </c>
      <c r="D96" s="772" t="s">
        <v>139</v>
      </c>
      <c r="E96" s="587">
        <v>14</v>
      </c>
      <c r="F96" s="587">
        <f>+F55</f>
        <v>609700</v>
      </c>
      <c r="G96" s="774">
        <f t="shared" si="9"/>
        <v>8535800</v>
      </c>
    </row>
    <row r="97" spans="1:7" s="45" customFormat="1" hidden="1">
      <c r="A97" s="586"/>
      <c r="B97" s="771">
        <f t="shared" si="10"/>
        <v>4.5999999999999979</v>
      </c>
      <c r="C97" s="102" t="s">
        <v>976</v>
      </c>
      <c r="D97" s="772" t="s">
        <v>139</v>
      </c>
      <c r="E97" s="587">
        <v>65</v>
      </c>
      <c r="F97" s="587">
        <f>+F56</f>
        <v>650208</v>
      </c>
      <c r="G97" s="774">
        <f t="shared" si="9"/>
        <v>42263520</v>
      </c>
    </row>
    <row r="98" spans="1:7" s="45" customFormat="1" hidden="1">
      <c r="A98" s="586"/>
      <c r="B98" s="771">
        <f>+B97+0.1</f>
        <v>4.6999999999999975</v>
      </c>
      <c r="C98" s="102" t="s">
        <v>939</v>
      </c>
      <c r="D98" s="772" t="s">
        <v>139</v>
      </c>
      <c r="E98" s="587">
        <v>3</v>
      </c>
      <c r="F98" s="587">
        <f>+F57</f>
        <v>630777</v>
      </c>
      <c r="G98" s="774">
        <f t="shared" si="9"/>
        <v>1892331</v>
      </c>
    </row>
    <row r="99" spans="1:7" s="45" customFormat="1" hidden="1">
      <c r="A99" s="586"/>
      <c r="B99" s="823"/>
      <c r="C99" s="215"/>
      <c r="D99" s="216"/>
      <c r="E99" s="95"/>
      <c r="F99" s="95"/>
      <c r="G99" s="774"/>
    </row>
    <row r="100" spans="1:7" s="45" customFormat="1" ht="15.75" hidden="1" thickBot="1">
      <c r="A100" s="586"/>
      <c r="B100" s="114"/>
      <c r="C100" s="114"/>
      <c r="D100" s="115"/>
      <c r="E100" s="116"/>
      <c r="F100" s="117" t="s">
        <v>966</v>
      </c>
      <c r="G100" s="118">
        <f>SUM(G92:G99)</f>
        <v>54410291</v>
      </c>
    </row>
    <row r="101" spans="1:7" s="45" customFormat="1" hidden="1">
      <c r="A101" s="586"/>
      <c r="B101" s="771"/>
      <c r="C101" s="102"/>
      <c r="D101" s="772"/>
      <c r="E101" s="773"/>
      <c r="F101" s="587"/>
      <c r="G101" s="774"/>
    </row>
    <row r="102" spans="1:7" s="45" customFormat="1" hidden="1">
      <c r="A102" s="586"/>
      <c r="B102" s="771"/>
      <c r="C102" s="787" t="s">
        <v>948</v>
      </c>
      <c r="D102" s="772"/>
      <c r="E102" s="773"/>
      <c r="F102" s="587"/>
      <c r="G102" s="774"/>
    </row>
    <row r="103" spans="1:7" s="45" customFormat="1" ht="78.75" hidden="1" customHeight="1">
      <c r="A103" s="586"/>
      <c r="B103" s="844">
        <v>4.8</v>
      </c>
      <c r="C103" s="102" t="s">
        <v>1025</v>
      </c>
      <c r="D103" s="772"/>
      <c r="E103" s="780"/>
      <c r="F103" s="587"/>
      <c r="G103" s="774"/>
    </row>
    <row r="104" spans="1:7" s="45" customFormat="1" hidden="1">
      <c r="A104" s="586"/>
      <c r="B104" s="779">
        <f>+B103+0.1</f>
        <v>4.8999999999999995</v>
      </c>
      <c r="C104" s="102" t="s">
        <v>1561</v>
      </c>
      <c r="D104" s="777" t="s">
        <v>22</v>
      </c>
      <c r="E104" s="587">
        <v>2</v>
      </c>
      <c r="F104" s="1321">
        <f>12010560*1.16*1.1</f>
        <v>15325474.560000001</v>
      </c>
      <c r="G104" s="774">
        <f t="shared" ref="G104:G127" si="11">+E104*F104</f>
        <v>30650949.120000001</v>
      </c>
    </row>
    <row r="105" spans="1:7" s="45" customFormat="1" hidden="1">
      <c r="A105" s="586"/>
      <c r="B105" s="779">
        <v>4.0999999999999996</v>
      </c>
      <c r="C105" s="102" t="s">
        <v>1562</v>
      </c>
      <c r="D105" s="777" t="s">
        <v>22</v>
      </c>
      <c r="E105" s="587">
        <v>2</v>
      </c>
      <c r="F105" s="1321">
        <f>4746800*1.16*1.1</f>
        <v>6056916.8000000007</v>
      </c>
      <c r="G105" s="774">
        <f t="shared" si="11"/>
        <v>12113833.600000001</v>
      </c>
    </row>
    <row r="106" spans="1:7" s="45" customFormat="1" hidden="1">
      <c r="A106" s="586"/>
      <c r="B106" s="1322">
        <f>+B105+0.01</f>
        <v>4.1099999999999994</v>
      </c>
      <c r="C106" s="1323" t="s">
        <v>963</v>
      </c>
      <c r="D106" s="1324" t="s">
        <v>22</v>
      </c>
      <c r="E106" s="1325">
        <v>2</v>
      </c>
      <c r="F106" s="1325">
        <f>5865300*1.16*1.1</f>
        <v>7484122.7999999998</v>
      </c>
      <c r="G106" s="1326">
        <f t="shared" si="11"/>
        <v>14968245.6</v>
      </c>
    </row>
    <row r="107" spans="1:7" s="45" customFormat="1" ht="25.5" hidden="1">
      <c r="A107" s="586"/>
      <c r="B107" s="779">
        <f t="shared" ref="B107:B127" si="12">+B106+0.01</f>
        <v>4.1199999999999992</v>
      </c>
      <c r="C107" s="102" t="s">
        <v>1019</v>
      </c>
      <c r="D107" s="777" t="s">
        <v>512</v>
      </c>
      <c r="E107" s="587">
        <v>2</v>
      </c>
      <c r="F107" s="587">
        <v>931480</v>
      </c>
      <c r="G107" s="774">
        <f t="shared" si="11"/>
        <v>1862960</v>
      </c>
    </row>
    <row r="108" spans="1:7" s="45" customFormat="1" ht="20.25" hidden="1" customHeight="1">
      <c r="A108" s="586"/>
      <c r="B108" s="779">
        <f t="shared" si="12"/>
        <v>4.129999999999999</v>
      </c>
      <c r="C108" s="1323" t="s">
        <v>1020</v>
      </c>
      <c r="D108" s="1327" t="s">
        <v>22</v>
      </c>
      <c r="E108" s="1325">
        <v>4</v>
      </c>
      <c r="F108" s="1325">
        <v>174812</v>
      </c>
      <c r="G108" s="1326">
        <f t="shared" si="11"/>
        <v>699248</v>
      </c>
    </row>
    <row r="109" spans="1:7" s="45" customFormat="1" ht="20.25" hidden="1" customHeight="1">
      <c r="A109" s="586"/>
      <c r="B109" s="987">
        <f t="shared" si="12"/>
        <v>4.1399999999999988</v>
      </c>
      <c r="C109" s="988" t="s">
        <v>1438</v>
      </c>
      <c r="D109" s="989" t="s">
        <v>512</v>
      </c>
      <c r="E109" s="858">
        <v>2</v>
      </c>
      <c r="F109" s="858">
        <v>536430</v>
      </c>
      <c r="G109" s="990">
        <f t="shared" si="11"/>
        <v>1072860</v>
      </c>
    </row>
    <row r="110" spans="1:7" s="45" customFormat="1" ht="20.25" hidden="1" customHeight="1">
      <c r="A110" s="586"/>
      <c r="B110" s="987">
        <f t="shared" si="12"/>
        <v>4.1499999999999986</v>
      </c>
      <c r="C110" s="988" t="s">
        <v>1439</v>
      </c>
      <c r="D110" s="989" t="s">
        <v>512</v>
      </c>
      <c r="E110" s="858">
        <v>2</v>
      </c>
      <c r="F110" s="858">
        <v>4053852</v>
      </c>
      <c r="G110" s="990">
        <f t="shared" si="11"/>
        <v>8107704</v>
      </c>
    </row>
    <row r="111" spans="1:7" s="45" customFormat="1" hidden="1">
      <c r="A111" s="586"/>
      <c r="B111" s="987">
        <f t="shared" si="12"/>
        <v>4.1599999999999984</v>
      </c>
      <c r="C111" s="988" t="s">
        <v>522</v>
      </c>
      <c r="D111" s="820" t="s">
        <v>142</v>
      </c>
      <c r="E111" s="858">
        <v>4000</v>
      </c>
      <c r="F111" s="858">
        <v>3250</v>
      </c>
      <c r="G111" s="990">
        <f t="shared" si="11"/>
        <v>13000000</v>
      </c>
    </row>
    <row r="112" spans="1:7" s="45" customFormat="1" hidden="1">
      <c r="A112" s="586"/>
      <c r="B112" s="987">
        <f t="shared" si="12"/>
        <v>4.1699999999999982</v>
      </c>
      <c r="C112" s="988" t="s">
        <v>942</v>
      </c>
      <c r="D112" s="989" t="s">
        <v>56</v>
      </c>
      <c r="E112" s="858">
        <v>37</v>
      </c>
      <c r="F112" s="858">
        <v>4500</v>
      </c>
      <c r="G112" s="990">
        <f t="shared" si="11"/>
        <v>166500</v>
      </c>
    </row>
    <row r="113" spans="1:7" s="45" customFormat="1" hidden="1">
      <c r="A113" s="586"/>
      <c r="B113" s="987">
        <f t="shared" si="12"/>
        <v>4.1799999999999979</v>
      </c>
      <c r="C113" s="988" t="s">
        <v>945</v>
      </c>
      <c r="D113" s="820" t="s">
        <v>139</v>
      </c>
      <c r="E113" s="858">
        <v>7</v>
      </c>
      <c r="F113" s="858">
        <f>+F64</f>
        <v>75330</v>
      </c>
      <c r="G113" s="990">
        <f t="shared" si="11"/>
        <v>527310</v>
      </c>
    </row>
    <row r="114" spans="1:7" s="45" customFormat="1" hidden="1">
      <c r="A114" s="586"/>
      <c r="B114" s="779">
        <f t="shared" si="12"/>
        <v>4.1899999999999977</v>
      </c>
      <c r="C114" s="102" t="s">
        <v>946</v>
      </c>
      <c r="D114" s="772" t="s">
        <v>540</v>
      </c>
      <c r="E114" s="587">
        <v>30</v>
      </c>
      <c r="F114" s="587">
        <v>29330</v>
      </c>
      <c r="G114" s="774">
        <f t="shared" si="11"/>
        <v>879900</v>
      </c>
    </row>
    <row r="115" spans="1:7" s="45" customFormat="1" hidden="1">
      <c r="A115" s="586"/>
      <c r="B115" s="779">
        <f t="shared" si="12"/>
        <v>4.1999999999999975</v>
      </c>
      <c r="C115" s="782" t="s">
        <v>950</v>
      </c>
      <c r="D115" s="772" t="s">
        <v>540</v>
      </c>
      <c r="E115" s="587">
        <v>56</v>
      </c>
      <c r="F115" s="587">
        <v>18670</v>
      </c>
      <c r="G115" s="774">
        <f t="shared" si="11"/>
        <v>1045520</v>
      </c>
    </row>
    <row r="116" spans="1:7" s="45" customFormat="1" ht="24.75" hidden="1" customHeight="1">
      <c r="A116" s="586"/>
      <c r="B116" s="779">
        <f t="shared" si="12"/>
        <v>4.2099999999999973</v>
      </c>
      <c r="C116" s="782" t="s">
        <v>964</v>
      </c>
      <c r="D116" s="772" t="s">
        <v>22</v>
      </c>
      <c r="E116" s="587">
        <v>138</v>
      </c>
      <c r="F116" s="587">
        <v>49700</v>
      </c>
      <c r="G116" s="774">
        <f t="shared" si="11"/>
        <v>6858600</v>
      </c>
    </row>
    <row r="117" spans="1:7" s="45" customFormat="1" ht="15" hidden="1" customHeight="1">
      <c r="A117" s="586"/>
      <c r="B117" s="779">
        <f t="shared" si="12"/>
        <v>4.2199999999999971</v>
      </c>
      <c r="C117" s="102" t="s">
        <v>509</v>
      </c>
      <c r="D117" s="772" t="s">
        <v>56</v>
      </c>
      <c r="E117" s="587">
        <v>36</v>
      </c>
      <c r="F117" s="587">
        <v>150170</v>
      </c>
      <c r="G117" s="774">
        <f t="shared" si="11"/>
        <v>5406120</v>
      </c>
    </row>
    <row r="118" spans="1:7" s="45" customFormat="1" ht="25.5" hidden="1">
      <c r="A118" s="586"/>
      <c r="B118" s="779">
        <f t="shared" si="12"/>
        <v>4.2299999999999969</v>
      </c>
      <c r="C118" s="102" t="s">
        <v>935</v>
      </c>
      <c r="D118" s="777" t="s">
        <v>22</v>
      </c>
      <c r="E118" s="587">
        <v>42</v>
      </c>
      <c r="F118" s="587">
        <v>59200</v>
      </c>
      <c r="G118" s="774">
        <f t="shared" si="11"/>
        <v>2486400</v>
      </c>
    </row>
    <row r="119" spans="1:7" s="45" customFormat="1" ht="25.5" hidden="1">
      <c r="A119" s="586"/>
      <c r="B119" s="779">
        <f t="shared" si="12"/>
        <v>4.2399999999999967</v>
      </c>
      <c r="C119" s="102" t="s">
        <v>1018</v>
      </c>
      <c r="D119" s="777" t="s">
        <v>512</v>
      </c>
      <c r="E119" s="587">
        <v>30</v>
      </c>
      <c r="F119" s="587">
        <v>30550</v>
      </c>
      <c r="G119" s="774">
        <f t="shared" si="11"/>
        <v>916500</v>
      </c>
    </row>
    <row r="120" spans="1:7" s="45" customFormat="1" hidden="1">
      <c r="A120" s="586"/>
      <c r="B120" s="779">
        <f t="shared" si="12"/>
        <v>4.2499999999999964</v>
      </c>
      <c r="C120" s="102" t="s">
        <v>543</v>
      </c>
      <c r="D120" s="777" t="s">
        <v>512</v>
      </c>
      <c r="E120" s="587">
        <v>32</v>
      </c>
      <c r="F120" s="587">
        <v>21450</v>
      </c>
      <c r="G120" s="774">
        <f t="shared" si="11"/>
        <v>686400</v>
      </c>
    </row>
    <row r="121" spans="1:7" s="45" customFormat="1" hidden="1">
      <c r="A121" s="586"/>
      <c r="B121" s="779">
        <f t="shared" si="12"/>
        <v>4.2599999999999962</v>
      </c>
      <c r="C121" s="102" t="s">
        <v>545</v>
      </c>
      <c r="D121" s="777" t="s">
        <v>500</v>
      </c>
      <c r="E121" s="587">
        <v>6</v>
      </c>
      <c r="F121" s="587">
        <v>18028</v>
      </c>
      <c r="G121" s="774">
        <f t="shared" si="11"/>
        <v>108168</v>
      </c>
    </row>
    <row r="122" spans="1:7" s="45" customFormat="1" hidden="1">
      <c r="A122" s="586"/>
      <c r="B122" s="779">
        <f t="shared" si="12"/>
        <v>4.269999999999996</v>
      </c>
      <c r="C122" s="102" t="s">
        <v>965</v>
      </c>
      <c r="D122" s="772" t="s">
        <v>512</v>
      </c>
      <c r="E122" s="587">
        <v>32</v>
      </c>
      <c r="F122" s="587">
        <v>3720</v>
      </c>
      <c r="G122" s="774">
        <f t="shared" si="11"/>
        <v>119040</v>
      </c>
    </row>
    <row r="123" spans="1:7" s="45" customFormat="1" hidden="1">
      <c r="A123" s="586"/>
      <c r="B123" s="779">
        <f t="shared" si="12"/>
        <v>4.2799999999999958</v>
      </c>
      <c r="C123" s="102" t="s">
        <v>547</v>
      </c>
      <c r="D123" s="777" t="s">
        <v>22</v>
      </c>
      <c r="E123" s="587">
        <v>1</v>
      </c>
      <c r="F123" s="858">
        <v>115000</v>
      </c>
      <c r="G123" s="774">
        <f t="shared" si="11"/>
        <v>115000</v>
      </c>
    </row>
    <row r="124" spans="1:7" s="45" customFormat="1" hidden="1">
      <c r="A124" s="586"/>
      <c r="B124" s="779">
        <f t="shared" si="12"/>
        <v>4.2899999999999956</v>
      </c>
      <c r="C124" s="102" t="s">
        <v>548</v>
      </c>
      <c r="D124" s="777" t="s">
        <v>22</v>
      </c>
      <c r="E124" s="587">
        <v>4</v>
      </c>
      <c r="F124" s="858">
        <v>469000</v>
      </c>
      <c r="G124" s="774">
        <f t="shared" si="11"/>
        <v>1876000</v>
      </c>
    </row>
    <row r="125" spans="1:7" s="45" customFormat="1" hidden="1">
      <c r="A125" s="586"/>
      <c r="B125" s="779">
        <f t="shared" si="12"/>
        <v>4.2999999999999954</v>
      </c>
      <c r="C125" s="988" t="s">
        <v>513</v>
      </c>
      <c r="D125" s="989" t="s">
        <v>22</v>
      </c>
      <c r="E125" s="858">
        <v>676</v>
      </c>
      <c r="F125" s="858">
        <v>53000</v>
      </c>
      <c r="G125" s="774">
        <f t="shared" si="11"/>
        <v>35828000</v>
      </c>
    </row>
    <row r="126" spans="1:7" s="45" customFormat="1" hidden="1">
      <c r="A126" s="586"/>
      <c r="B126" s="779">
        <f t="shared" si="12"/>
        <v>4.3099999999999952</v>
      </c>
      <c r="C126" s="102" t="s">
        <v>514</v>
      </c>
      <c r="D126" s="777" t="s">
        <v>22</v>
      </c>
      <c r="E126" s="587">
        <v>676</v>
      </c>
      <c r="F126" s="858">
        <v>14047</v>
      </c>
      <c r="G126" s="774">
        <f t="shared" si="11"/>
        <v>9495772</v>
      </c>
    </row>
    <row r="127" spans="1:7" s="45" customFormat="1" hidden="1">
      <c r="A127" s="586"/>
      <c r="B127" s="779">
        <f t="shared" si="12"/>
        <v>4.319999999999995</v>
      </c>
      <c r="C127" s="102" t="s">
        <v>515</v>
      </c>
      <c r="D127" s="772" t="s">
        <v>22</v>
      </c>
      <c r="E127" s="587">
        <v>1372</v>
      </c>
      <c r="F127" s="858">
        <v>2923</v>
      </c>
      <c r="G127" s="774">
        <f t="shared" si="11"/>
        <v>4010356</v>
      </c>
    </row>
    <row r="128" spans="1:7" s="45" customFormat="1" ht="15.75" hidden="1" thickBot="1">
      <c r="A128" s="586"/>
      <c r="B128" s="114"/>
      <c r="C128" s="114"/>
      <c r="D128" s="115"/>
      <c r="E128" s="116"/>
      <c r="F128" s="117" t="s">
        <v>959</v>
      </c>
      <c r="G128" s="1152">
        <f>SUM(G103:G127)</f>
        <v>153001386.31999999</v>
      </c>
    </row>
    <row r="129" spans="1:7" s="45" customFormat="1" hidden="1">
      <c r="A129" s="586"/>
      <c r="B129" s="771"/>
      <c r="C129" s="102"/>
      <c r="D129" s="772"/>
      <c r="E129" s="773"/>
      <c r="F129" s="587"/>
      <c r="G129" s="774"/>
    </row>
    <row r="130" spans="1:7" s="45" customFormat="1" ht="15.75" hidden="1" thickBot="1">
      <c r="A130" s="586"/>
      <c r="B130" s="871"/>
      <c r="C130" s="871"/>
      <c r="D130" s="873"/>
      <c r="E130" s="874"/>
      <c r="F130" s="1331" t="s">
        <v>960</v>
      </c>
      <c r="G130" s="1004">
        <f>+G128+G100</f>
        <v>207411677.31999999</v>
      </c>
    </row>
    <row r="131" spans="1:7" s="45" customFormat="1" ht="15.75" hidden="1" thickBot="1">
      <c r="A131" s="586"/>
      <c r="B131" s="771"/>
      <c r="C131" s="102"/>
      <c r="D131" s="772"/>
      <c r="E131" s="773"/>
      <c r="F131" s="587"/>
      <c r="G131" s="774"/>
    </row>
    <row r="132" spans="1:7" s="45" customFormat="1" hidden="1">
      <c r="A132" s="586"/>
      <c r="B132" s="74">
        <v>5</v>
      </c>
      <c r="C132" s="75" t="s">
        <v>476</v>
      </c>
      <c r="D132" s="76"/>
      <c r="E132" s="76"/>
      <c r="F132" s="76"/>
      <c r="G132" s="126"/>
    </row>
    <row r="133" spans="1:7" s="45" customFormat="1" hidden="1">
      <c r="A133" s="586"/>
      <c r="B133" s="771"/>
      <c r="C133" s="788" t="s">
        <v>947</v>
      </c>
      <c r="D133" s="772"/>
      <c r="E133" s="773"/>
      <c r="F133" s="587"/>
      <c r="G133" s="774"/>
    </row>
    <row r="134" spans="1:7" s="45" customFormat="1" hidden="1">
      <c r="A134" s="586"/>
      <c r="B134" s="771">
        <v>5.0999999999999996</v>
      </c>
      <c r="C134" s="102" t="s">
        <v>943</v>
      </c>
      <c r="D134" s="772" t="s">
        <v>139</v>
      </c>
      <c r="E134" s="587">
        <v>635</v>
      </c>
      <c r="F134" s="587">
        <f>+F51</f>
        <v>2640</v>
      </c>
      <c r="G134" s="774">
        <f t="shared" ref="G134:G141" si="13">+E134*F134</f>
        <v>1676400</v>
      </c>
    </row>
    <row r="135" spans="1:7" s="45" customFormat="1" hidden="1">
      <c r="A135" s="586"/>
      <c r="B135" s="771">
        <f>+B134+0.1</f>
        <v>5.1999999999999993</v>
      </c>
      <c r="C135" s="102" t="s">
        <v>1101</v>
      </c>
      <c r="D135" s="772" t="s">
        <v>139</v>
      </c>
      <c r="E135" s="587">
        <v>337</v>
      </c>
      <c r="F135" s="587">
        <f t="shared" ref="F135:F137" si="14">+F52</f>
        <v>5190</v>
      </c>
      <c r="G135" s="774">
        <f t="shared" si="13"/>
        <v>1749030</v>
      </c>
    </row>
    <row r="136" spans="1:7" s="45" customFormat="1" hidden="1">
      <c r="A136" s="586"/>
      <c r="B136" s="986">
        <f t="shared" ref="B136:B141" si="15">+B135+0.1</f>
        <v>5.2999999999999989</v>
      </c>
      <c r="C136" s="988" t="s">
        <v>941</v>
      </c>
      <c r="D136" s="989" t="s">
        <v>139</v>
      </c>
      <c r="E136" s="858">
        <v>50</v>
      </c>
      <c r="F136" s="587">
        <f t="shared" si="14"/>
        <v>10530</v>
      </c>
      <c r="G136" s="774">
        <f t="shared" si="13"/>
        <v>526500</v>
      </c>
    </row>
    <row r="137" spans="1:7" s="45" customFormat="1" hidden="1">
      <c r="A137" s="586"/>
      <c r="B137" s="771">
        <f t="shared" si="15"/>
        <v>5.3999999999999986</v>
      </c>
      <c r="C137" s="102" t="s">
        <v>497</v>
      </c>
      <c r="D137" s="777" t="s">
        <v>56</v>
      </c>
      <c r="E137" s="587">
        <v>88</v>
      </c>
      <c r="F137" s="587">
        <f t="shared" si="14"/>
        <v>17220</v>
      </c>
      <c r="G137" s="774">
        <f t="shared" si="13"/>
        <v>1515360</v>
      </c>
    </row>
    <row r="138" spans="1:7" s="45" customFormat="1" hidden="1">
      <c r="A138" s="586"/>
      <c r="B138" s="771">
        <f t="shared" si="15"/>
        <v>5.4999999999999982</v>
      </c>
      <c r="C138" s="782" t="s">
        <v>979</v>
      </c>
      <c r="D138" s="772" t="s">
        <v>139</v>
      </c>
      <c r="E138" s="587">
        <v>26</v>
      </c>
      <c r="F138" s="587">
        <f>+F96</f>
        <v>609700</v>
      </c>
      <c r="G138" s="774">
        <f t="shared" si="13"/>
        <v>15852200</v>
      </c>
    </row>
    <row r="139" spans="1:7" s="45" customFormat="1" hidden="1">
      <c r="A139" s="586"/>
      <c r="B139" s="771">
        <f t="shared" si="15"/>
        <v>5.5999999999999979</v>
      </c>
      <c r="C139" s="102" t="s">
        <v>976</v>
      </c>
      <c r="D139" s="772" t="s">
        <v>139</v>
      </c>
      <c r="E139" s="587">
        <v>174</v>
      </c>
      <c r="F139" s="587">
        <f>+F97</f>
        <v>650208</v>
      </c>
      <c r="G139" s="774">
        <f t="shared" si="13"/>
        <v>113136192</v>
      </c>
    </row>
    <row r="140" spans="1:7" s="45" customFormat="1" hidden="1">
      <c r="A140" s="586"/>
      <c r="B140" s="771">
        <f t="shared" si="15"/>
        <v>5.6999999999999975</v>
      </c>
      <c r="C140" s="102" t="s">
        <v>944</v>
      </c>
      <c r="D140" s="772" t="s">
        <v>139</v>
      </c>
      <c r="E140" s="587">
        <v>16</v>
      </c>
      <c r="F140" s="587">
        <f>+F56</f>
        <v>650208</v>
      </c>
      <c r="G140" s="774">
        <f t="shared" si="13"/>
        <v>10403328</v>
      </c>
    </row>
    <row r="141" spans="1:7" s="45" customFormat="1" hidden="1">
      <c r="A141" s="586"/>
      <c r="B141" s="771">
        <f t="shared" si="15"/>
        <v>5.7999999999999972</v>
      </c>
      <c r="C141" s="102" t="s">
        <v>939</v>
      </c>
      <c r="D141" s="772" t="s">
        <v>139</v>
      </c>
      <c r="E141" s="587">
        <v>17</v>
      </c>
      <c r="F141" s="587">
        <f>+F98</f>
        <v>630777</v>
      </c>
      <c r="G141" s="774">
        <f t="shared" si="13"/>
        <v>10723209</v>
      </c>
    </row>
    <row r="142" spans="1:7" s="45" customFormat="1" hidden="1">
      <c r="A142" s="586"/>
      <c r="B142" s="771"/>
      <c r="C142" s="215"/>
      <c r="D142" s="216"/>
      <c r="E142" s="95"/>
      <c r="F142" s="95"/>
      <c r="G142" s="774"/>
    </row>
    <row r="143" spans="1:7" s="45" customFormat="1" ht="15.75" hidden="1" thickBot="1">
      <c r="A143" s="586"/>
      <c r="B143" s="114"/>
      <c r="C143" s="114"/>
      <c r="D143" s="115"/>
      <c r="E143" s="116"/>
      <c r="F143" s="117" t="s">
        <v>967</v>
      </c>
      <c r="G143" s="118">
        <f>SUM(G134:G142)</f>
        <v>155582219</v>
      </c>
    </row>
    <row r="144" spans="1:7" s="45" customFormat="1" hidden="1">
      <c r="A144" s="586"/>
      <c r="B144" s="771"/>
      <c r="C144" s="102"/>
      <c r="D144" s="772"/>
      <c r="E144" s="773"/>
      <c r="F144" s="587"/>
      <c r="G144" s="774">
        <f>+E144*F209</f>
        <v>0</v>
      </c>
    </row>
    <row r="145" spans="1:10" s="45" customFormat="1" hidden="1">
      <c r="A145" s="586"/>
      <c r="B145" s="771"/>
      <c r="C145" s="787" t="s">
        <v>948</v>
      </c>
      <c r="D145" s="772"/>
      <c r="E145" s="773"/>
      <c r="F145" s="587"/>
      <c r="G145" s="774"/>
    </row>
    <row r="146" spans="1:10" s="45" customFormat="1" ht="105.75" hidden="1" customHeight="1">
      <c r="A146" s="586"/>
      <c r="B146" s="771">
        <v>5.9</v>
      </c>
      <c r="C146" s="1248" t="s">
        <v>1008</v>
      </c>
      <c r="D146" s="772"/>
      <c r="E146" s="1059"/>
      <c r="F146" s="587"/>
      <c r="G146" s="774">
        <f>E146*F146</f>
        <v>0</v>
      </c>
    </row>
    <row r="147" spans="1:10" s="45" customFormat="1" hidden="1">
      <c r="A147" s="586"/>
      <c r="B147" s="986" t="s">
        <v>988</v>
      </c>
      <c r="C147" s="988" t="s">
        <v>1564</v>
      </c>
      <c r="D147" s="820" t="s">
        <v>22</v>
      </c>
      <c r="E147" s="969">
        <v>4</v>
      </c>
      <c r="F147" s="858">
        <f>4868200*1.16*1.1</f>
        <v>6211823.2000000002</v>
      </c>
      <c r="G147" s="990">
        <f t="shared" ref="G147:G167" si="16">+E147*F147</f>
        <v>24847292.800000001</v>
      </c>
      <c r="I147" s="988"/>
    </row>
    <row r="148" spans="1:10" s="45" customFormat="1" ht="15" hidden="1" customHeight="1">
      <c r="A148" s="586"/>
      <c r="B148" s="986" t="s">
        <v>989</v>
      </c>
      <c r="C148" s="988" t="s">
        <v>1565</v>
      </c>
      <c r="D148" s="989" t="s">
        <v>22</v>
      </c>
      <c r="E148" s="969">
        <v>4</v>
      </c>
      <c r="F148" s="858">
        <f>20255150*1.1*1.16</f>
        <v>25845571.399999999</v>
      </c>
      <c r="G148" s="990">
        <f t="shared" si="16"/>
        <v>103382285.59999999</v>
      </c>
      <c r="I148" s="988"/>
      <c r="J148" s="45">
        <f>0.8+0.55</f>
        <v>1.35</v>
      </c>
    </row>
    <row r="149" spans="1:10" s="45" customFormat="1" hidden="1">
      <c r="A149" s="586"/>
      <c r="B149" s="771"/>
      <c r="C149" s="102" t="s">
        <v>1566</v>
      </c>
      <c r="D149" s="777" t="s">
        <v>22</v>
      </c>
      <c r="E149" s="1059">
        <v>1</v>
      </c>
      <c r="F149" s="587">
        <f>9151250*1.16*1.1</f>
        <v>11676995.000000002</v>
      </c>
      <c r="G149" s="774">
        <f t="shared" si="16"/>
        <v>11676995.000000002</v>
      </c>
      <c r="I149" s="102"/>
      <c r="J149" s="45">
        <f>+J148/2</f>
        <v>0.67500000000000004</v>
      </c>
    </row>
    <row r="150" spans="1:10" s="45" customFormat="1" hidden="1">
      <c r="A150" s="586"/>
      <c r="B150" s="771" t="s">
        <v>990</v>
      </c>
      <c r="C150" s="102" t="s">
        <v>1567</v>
      </c>
      <c r="D150" s="772" t="s">
        <v>22</v>
      </c>
      <c r="E150" s="1059">
        <v>4</v>
      </c>
      <c r="F150" s="587">
        <f>11735610*1.16*1.1</f>
        <v>14974638.360000001</v>
      </c>
      <c r="G150" s="774">
        <f t="shared" si="16"/>
        <v>59898553.440000005</v>
      </c>
      <c r="I150" s="102"/>
    </row>
    <row r="151" spans="1:10" s="45" customFormat="1" hidden="1">
      <c r="A151" s="586"/>
      <c r="B151" s="771" t="s">
        <v>991</v>
      </c>
      <c r="C151" s="102" t="s">
        <v>1568</v>
      </c>
      <c r="D151" s="772" t="s">
        <v>22</v>
      </c>
      <c r="E151" s="1059">
        <v>1</v>
      </c>
      <c r="F151" s="587">
        <f>5277400*1.16*1.1</f>
        <v>6733962.4000000004</v>
      </c>
      <c r="G151" s="774">
        <f t="shared" si="16"/>
        <v>6733962.4000000004</v>
      </c>
      <c r="I151" s="102"/>
    </row>
    <row r="152" spans="1:10" s="45" customFormat="1" hidden="1">
      <c r="A152" s="586"/>
      <c r="B152" s="771" t="s">
        <v>992</v>
      </c>
      <c r="C152" s="988" t="s">
        <v>925</v>
      </c>
      <c r="D152" s="989" t="s">
        <v>22</v>
      </c>
      <c r="E152" s="969">
        <v>4</v>
      </c>
      <c r="F152" s="858">
        <v>468292</v>
      </c>
      <c r="G152" s="774">
        <f t="shared" si="16"/>
        <v>1873168</v>
      </c>
      <c r="I152" s="988"/>
    </row>
    <row r="153" spans="1:10" s="45" customFormat="1" hidden="1">
      <c r="A153" s="586"/>
      <c r="B153" s="779">
        <v>5.0999999999999996</v>
      </c>
      <c r="C153" s="1062" t="s">
        <v>1570</v>
      </c>
      <c r="D153" s="1086" t="s">
        <v>22</v>
      </c>
      <c r="E153" s="1059">
        <v>1</v>
      </c>
      <c r="F153" s="1047">
        <v>323400</v>
      </c>
      <c r="G153" s="774">
        <f t="shared" si="16"/>
        <v>323400</v>
      </c>
      <c r="I153" s="1062"/>
    </row>
    <row r="154" spans="1:10" s="45" customFormat="1" hidden="1">
      <c r="A154" s="586"/>
      <c r="B154" s="779">
        <f t="shared" ref="B154:B167" si="17">+B153+0.01</f>
        <v>5.1099999999999994</v>
      </c>
      <c r="C154" s="1062" t="s">
        <v>1571</v>
      </c>
      <c r="D154" s="1087" t="s">
        <v>512</v>
      </c>
      <c r="E154" s="1059">
        <v>4</v>
      </c>
      <c r="F154" s="1047">
        <v>521884</v>
      </c>
      <c r="G154" s="774">
        <f t="shared" si="16"/>
        <v>2087536</v>
      </c>
      <c r="I154" s="1062"/>
    </row>
    <row r="155" spans="1:10" s="45" customFormat="1" hidden="1">
      <c r="A155" s="586"/>
      <c r="B155" s="987">
        <f t="shared" si="17"/>
        <v>5.1199999999999992</v>
      </c>
      <c r="C155" s="1062" t="s">
        <v>1573</v>
      </c>
      <c r="D155" s="1086" t="s">
        <v>512</v>
      </c>
      <c r="E155" s="1059">
        <v>1</v>
      </c>
      <c r="F155" s="1047">
        <v>1087152</v>
      </c>
      <c r="G155" s="774">
        <f t="shared" si="16"/>
        <v>1087152</v>
      </c>
      <c r="I155" s="1062"/>
    </row>
    <row r="156" spans="1:10" s="45" customFormat="1" hidden="1">
      <c r="A156" s="586"/>
      <c r="B156" s="987"/>
      <c r="C156" s="1062" t="s">
        <v>1569</v>
      </c>
      <c r="D156" s="1086" t="s">
        <v>512</v>
      </c>
      <c r="E156" s="1059">
        <v>1</v>
      </c>
      <c r="F156" s="1047">
        <v>1087152</v>
      </c>
      <c r="G156" s="774">
        <f t="shared" si="16"/>
        <v>1087152</v>
      </c>
      <c r="I156" s="1062"/>
    </row>
    <row r="157" spans="1:10" s="45" customFormat="1" hidden="1">
      <c r="A157" s="586"/>
      <c r="B157" s="779">
        <f>+B155+0.01</f>
        <v>5.129999999999999</v>
      </c>
      <c r="C157" s="1062" t="s">
        <v>1572</v>
      </c>
      <c r="D157" s="1087" t="s">
        <v>22</v>
      </c>
      <c r="E157" s="1059">
        <v>4</v>
      </c>
      <c r="F157" s="1047">
        <v>174812</v>
      </c>
      <c r="G157" s="774">
        <f t="shared" si="16"/>
        <v>699248</v>
      </c>
      <c r="I157" s="1062"/>
    </row>
    <row r="158" spans="1:10" s="45" customFormat="1" hidden="1">
      <c r="A158" s="586"/>
      <c r="B158" s="779">
        <f t="shared" si="17"/>
        <v>5.1399999999999988</v>
      </c>
      <c r="C158" s="102" t="s">
        <v>921</v>
      </c>
      <c r="D158" s="777" t="s">
        <v>512</v>
      </c>
      <c r="E158" s="1059">
        <v>4</v>
      </c>
      <c r="F158" s="858">
        <v>524784</v>
      </c>
      <c r="G158" s="774">
        <f t="shared" si="16"/>
        <v>2099136</v>
      </c>
      <c r="I158" s="1062"/>
    </row>
    <row r="159" spans="1:10" s="45" customFormat="1" hidden="1">
      <c r="A159" s="586"/>
      <c r="B159" s="779">
        <f t="shared" si="17"/>
        <v>5.1499999999999986</v>
      </c>
      <c r="C159" s="102" t="s">
        <v>922</v>
      </c>
      <c r="D159" s="772" t="s">
        <v>512</v>
      </c>
      <c r="E159" s="1059">
        <v>4</v>
      </c>
      <c r="F159" s="858">
        <v>469000</v>
      </c>
      <c r="G159" s="774">
        <f t="shared" si="16"/>
        <v>1876000</v>
      </c>
    </row>
    <row r="160" spans="1:10" s="45" customFormat="1" ht="25.5" hidden="1">
      <c r="A160" s="586"/>
      <c r="B160" s="779">
        <f t="shared" si="17"/>
        <v>5.1599999999999984</v>
      </c>
      <c r="C160" s="102" t="s">
        <v>1018</v>
      </c>
      <c r="D160" s="772" t="s">
        <v>22</v>
      </c>
      <c r="E160" s="1059">
        <v>30</v>
      </c>
      <c r="F160" s="858">
        <v>30550</v>
      </c>
      <c r="G160" s="774">
        <f t="shared" si="16"/>
        <v>916500</v>
      </c>
    </row>
    <row r="161" spans="1:10" s="45" customFormat="1" hidden="1">
      <c r="A161" s="586"/>
      <c r="B161" s="779">
        <f t="shared" si="17"/>
        <v>5.1699999999999982</v>
      </c>
      <c r="C161" s="102" t="s">
        <v>522</v>
      </c>
      <c r="D161" s="772" t="s">
        <v>142</v>
      </c>
      <c r="E161" s="587">
        <v>8700</v>
      </c>
      <c r="F161" s="587">
        <v>3250</v>
      </c>
      <c r="G161" s="774">
        <f t="shared" si="16"/>
        <v>28275000</v>
      </c>
    </row>
    <row r="162" spans="1:10" s="45" customFormat="1" hidden="1">
      <c r="A162" s="586"/>
      <c r="B162" s="779">
        <f t="shared" si="17"/>
        <v>5.1799999999999979</v>
      </c>
      <c r="C162" s="102" t="s">
        <v>509</v>
      </c>
      <c r="D162" s="777" t="s">
        <v>56</v>
      </c>
      <c r="E162" s="1059">
        <v>45</v>
      </c>
      <c r="F162" s="587">
        <v>150170</v>
      </c>
      <c r="G162" s="774">
        <f t="shared" si="16"/>
        <v>6757650</v>
      </c>
    </row>
    <row r="163" spans="1:10" s="45" customFormat="1" hidden="1">
      <c r="A163" s="586"/>
      <c r="B163" s="779">
        <f t="shared" si="17"/>
        <v>5.1899999999999977</v>
      </c>
      <c r="C163" s="102" t="s">
        <v>508</v>
      </c>
      <c r="D163" s="777" t="s">
        <v>500</v>
      </c>
      <c r="E163" s="1059">
        <v>97</v>
      </c>
      <c r="F163" s="587">
        <v>18670</v>
      </c>
      <c r="G163" s="774">
        <f t="shared" si="16"/>
        <v>1810990</v>
      </c>
    </row>
    <row r="164" spans="1:10" s="45" customFormat="1" ht="96.75" hidden="1" customHeight="1">
      <c r="A164" s="586"/>
      <c r="B164" s="779">
        <f t="shared" si="17"/>
        <v>5.1999999999999975</v>
      </c>
      <c r="C164" s="102" t="s">
        <v>1481</v>
      </c>
      <c r="D164" s="847" t="s">
        <v>22</v>
      </c>
      <c r="E164" s="1079">
        <v>19</v>
      </c>
      <c r="F164" s="848">
        <v>298652</v>
      </c>
      <c r="G164" s="774">
        <f t="shared" si="16"/>
        <v>5674388</v>
      </c>
    </row>
    <row r="165" spans="1:10" s="45" customFormat="1" ht="25.5" hidden="1">
      <c r="A165" s="586"/>
      <c r="B165" s="779">
        <f t="shared" si="17"/>
        <v>5.2099999999999973</v>
      </c>
      <c r="C165" s="102" t="s">
        <v>930</v>
      </c>
      <c r="D165" s="772" t="s">
        <v>139</v>
      </c>
      <c r="E165" s="1059">
        <v>14.16</v>
      </c>
      <c r="F165" s="858">
        <v>572686</v>
      </c>
      <c r="G165" s="774">
        <f t="shared" si="16"/>
        <v>8109233.7599999998</v>
      </c>
    </row>
    <row r="166" spans="1:10" s="45" customFormat="1" ht="25.5" hidden="1">
      <c r="A166" s="586"/>
      <c r="B166" s="779">
        <f t="shared" si="17"/>
        <v>5.2199999999999971</v>
      </c>
      <c r="C166" s="102" t="s">
        <v>931</v>
      </c>
      <c r="D166" s="777" t="s">
        <v>139</v>
      </c>
      <c r="E166" s="1059">
        <v>9.44</v>
      </c>
      <c r="F166" s="858">
        <f>105259*1.06</f>
        <v>111574.54000000001</v>
      </c>
      <c r="G166" s="774">
        <f t="shared" si="16"/>
        <v>1053263.6576</v>
      </c>
    </row>
    <row r="167" spans="1:10" s="45" customFormat="1" hidden="1">
      <c r="A167" s="586"/>
      <c r="B167" s="779">
        <f t="shared" si="17"/>
        <v>5.2299999999999969</v>
      </c>
      <c r="C167" s="102" t="s">
        <v>932</v>
      </c>
      <c r="D167" s="777" t="s">
        <v>139</v>
      </c>
      <c r="E167" s="1059">
        <v>14.71</v>
      </c>
      <c r="F167" s="1080">
        <v>95240</v>
      </c>
      <c r="G167" s="774">
        <f t="shared" si="16"/>
        <v>1400980.4000000001</v>
      </c>
      <c r="I167" s="1080">
        <f>63050*1.06*1.06*1.06*1.06*1.06</f>
        <v>84375.122667680014</v>
      </c>
    </row>
    <row r="168" spans="1:10" s="45" customFormat="1" hidden="1">
      <c r="A168" s="138">
        <v>200314</v>
      </c>
      <c r="B168" s="771"/>
      <c r="C168" s="102"/>
      <c r="D168" s="777"/>
      <c r="E168" s="780"/>
      <c r="F168" s="776"/>
      <c r="G168" s="774"/>
    </row>
    <row r="169" spans="1:10" s="45" customFormat="1" ht="15.75" hidden="1" thickBot="1">
      <c r="A169" s="143">
        <v>140404</v>
      </c>
      <c r="B169" s="114"/>
      <c r="C169" s="114"/>
      <c r="D169" s="115"/>
      <c r="E169" s="116"/>
      <c r="F169" s="117" t="s">
        <v>987</v>
      </c>
      <c r="G169" s="1152">
        <f>SUM(G146:G168)</f>
        <v>271669887.05759996</v>
      </c>
    </row>
    <row r="170" spans="1:10" s="45" customFormat="1" hidden="1">
      <c r="A170" s="105"/>
      <c r="B170" s="139"/>
      <c r="C170" s="140"/>
      <c r="D170" s="23"/>
      <c r="E170" s="107"/>
      <c r="F170" s="25"/>
      <c r="G170" s="795"/>
      <c r="I170" s="45">
        <f>1/0.1</f>
        <v>10</v>
      </c>
      <c r="J170" s="45">
        <f>+I170*60970</f>
        <v>609700</v>
      </c>
    </row>
    <row r="171" spans="1:10" s="45" customFormat="1" ht="23.1" hidden="1" customHeight="1" thickBot="1">
      <c r="A171" s="124"/>
      <c r="B171" s="876"/>
      <c r="C171" s="871"/>
      <c r="D171" s="873"/>
      <c r="E171" s="874"/>
      <c r="F171" s="1331" t="s">
        <v>972</v>
      </c>
      <c r="G171" s="1152">
        <f>+G169+G143</f>
        <v>427252106.05759996</v>
      </c>
    </row>
    <row r="172" spans="1:10" s="45" customFormat="1" ht="15" hidden="1" customHeight="1">
      <c r="A172" s="84" t="s">
        <v>40</v>
      </c>
      <c r="B172" s="74"/>
      <c r="C172" s="75" t="s">
        <v>477</v>
      </c>
      <c r="D172" s="811"/>
      <c r="E172" s="812"/>
      <c r="F172" s="813"/>
      <c r="G172" s="814"/>
    </row>
    <row r="173" spans="1:10" s="45" customFormat="1" ht="15.75" hidden="1" thickBot="1">
      <c r="A173" s="127">
        <v>301305</v>
      </c>
      <c r="B173" s="85"/>
      <c r="C173" s="86"/>
      <c r="D173" s="815"/>
      <c r="E173" s="816"/>
      <c r="F173" s="817"/>
      <c r="G173" s="818"/>
    </row>
    <row r="174" spans="1:10" s="45" customFormat="1" hidden="1">
      <c r="A174" s="584"/>
      <c r="B174" s="74">
        <v>6</v>
      </c>
      <c r="C174" s="75" t="s">
        <v>534</v>
      </c>
      <c r="D174" s="76"/>
      <c r="E174" s="76"/>
      <c r="F174" s="76"/>
      <c r="G174" s="126"/>
    </row>
    <row r="175" spans="1:10" s="45" customFormat="1" hidden="1">
      <c r="A175" s="584"/>
      <c r="B175" s="986"/>
      <c r="C175" s="1308" t="s">
        <v>947</v>
      </c>
      <c r="D175" s="820"/>
      <c r="E175" s="969"/>
      <c r="F175" s="858"/>
      <c r="G175" s="990"/>
    </row>
    <row r="176" spans="1:10" s="45" customFormat="1" hidden="1">
      <c r="A176" s="584"/>
      <c r="B176" s="986">
        <v>6.1</v>
      </c>
      <c r="C176" s="988" t="s">
        <v>943</v>
      </c>
      <c r="D176" s="820" t="s">
        <v>139</v>
      </c>
      <c r="E176" s="969">
        <v>440</v>
      </c>
      <c r="F176" s="587">
        <v>2640</v>
      </c>
      <c r="G176" s="990">
        <f>+F176*E176</f>
        <v>1161600</v>
      </c>
    </row>
    <row r="177" spans="1:10" s="45" customFormat="1" hidden="1">
      <c r="A177" s="584"/>
      <c r="B177" s="986">
        <f>+B176+0.1</f>
        <v>6.1999999999999993</v>
      </c>
      <c r="C177" s="988" t="s">
        <v>1101</v>
      </c>
      <c r="D177" s="820" t="s">
        <v>139</v>
      </c>
      <c r="E177" s="969">
        <v>268</v>
      </c>
      <c r="F177" s="858">
        <v>5190</v>
      </c>
      <c r="G177" s="990">
        <f t="shared" ref="G177:G185" si="18">+F177*E177</f>
        <v>1390920</v>
      </c>
    </row>
    <row r="178" spans="1:10" s="45" customFormat="1" hidden="1">
      <c r="A178" s="584"/>
      <c r="B178" s="986">
        <f t="shared" ref="B178:B185" si="19">+B177+0.1</f>
        <v>6.2999999999999989</v>
      </c>
      <c r="C178" s="988" t="s">
        <v>941</v>
      </c>
      <c r="D178" s="989" t="s">
        <v>139</v>
      </c>
      <c r="E178" s="969">
        <v>20</v>
      </c>
      <c r="F178" s="858">
        <v>10530</v>
      </c>
      <c r="G178" s="990">
        <f t="shared" si="18"/>
        <v>210600</v>
      </c>
    </row>
    <row r="179" spans="1:10" s="45" customFormat="1" hidden="1">
      <c r="A179" s="584"/>
      <c r="B179" s="986">
        <f t="shared" si="19"/>
        <v>6.3999999999999986</v>
      </c>
      <c r="C179" s="988" t="s">
        <v>497</v>
      </c>
      <c r="D179" s="989" t="s">
        <v>56</v>
      </c>
      <c r="E179" s="969">
        <v>57</v>
      </c>
      <c r="F179" s="858">
        <f>+F54</f>
        <v>17220</v>
      </c>
      <c r="G179" s="990">
        <f t="shared" si="18"/>
        <v>981540</v>
      </c>
    </row>
    <row r="180" spans="1:10" s="45" customFormat="1" hidden="1">
      <c r="A180" s="584"/>
      <c r="B180" s="986">
        <f t="shared" si="19"/>
        <v>6.4999999999999982</v>
      </c>
      <c r="C180" s="988" t="s">
        <v>1000</v>
      </c>
      <c r="D180" s="820" t="s">
        <v>139</v>
      </c>
      <c r="E180" s="969">
        <v>15</v>
      </c>
      <c r="F180" s="858">
        <f>+F55</f>
        <v>609700</v>
      </c>
      <c r="G180" s="990">
        <f t="shared" si="18"/>
        <v>9145500</v>
      </c>
    </row>
    <row r="181" spans="1:10" s="45" customFormat="1" hidden="1">
      <c r="A181" s="584"/>
      <c r="B181" s="986">
        <f>+B180+0.1</f>
        <v>6.5999999999999979</v>
      </c>
      <c r="C181" s="988" t="s">
        <v>976</v>
      </c>
      <c r="D181" s="820" t="s">
        <v>139</v>
      </c>
      <c r="E181" s="969">
        <f>42+10</f>
        <v>52</v>
      </c>
      <c r="F181" s="858">
        <f>+F56</f>
        <v>650208</v>
      </c>
      <c r="G181" s="990">
        <f t="shared" si="18"/>
        <v>33810816</v>
      </c>
    </row>
    <row r="182" spans="1:10" s="45" customFormat="1" hidden="1">
      <c r="A182" s="584"/>
      <c r="B182" s="986">
        <f>+B180+0.1</f>
        <v>6.5999999999999979</v>
      </c>
      <c r="C182" s="988" t="s">
        <v>939</v>
      </c>
      <c r="D182" s="820" t="s">
        <v>139</v>
      </c>
      <c r="E182" s="858">
        <v>8</v>
      </c>
      <c r="F182" s="858">
        <f>+F57</f>
        <v>630777</v>
      </c>
      <c r="G182" s="990">
        <f t="shared" si="18"/>
        <v>5046216</v>
      </c>
    </row>
    <row r="183" spans="1:10" s="45" customFormat="1" hidden="1">
      <c r="A183" s="584"/>
      <c r="B183" s="986">
        <f t="shared" si="19"/>
        <v>6.6999999999999975</v>
      </c>
      <c r="C183" s="988" t="s">
        <v>1002</v>
      </c>
      <c r="D183" s="820" t="s">
        <v>139</v>
      </c>
      <c r="E183" s="969">
        <v>1.3</v>
      </c>
      <c r="F183" s="858">
        <v>609700</v>
      </c>
      <c r="G183" s="990">
        <f t="shared" si="18"/>
        <v>792610</v>
      </c>
    </row>
    <row r="184" spans="1:10" s="45" customFormat="1" hidden="1">
      <c r="A184" s="584"/>
      <c r="B184" s="986">
        <f t="shared" si="19"/>
        <v>6.7999999999999972</v>
      </c>
      <c r="C184" s="988" t="s">
        <v>1003</v>
      </c>
      <c r="D184" s="820" t="s">
        <v>139</v>
      </c>
      <c r="E184" s="969">
        <v>1</v>
      </c>
      <c r="F184" s="858">
        <v>609700</v>
      </c>
      <c r="G184" s="990">
        <f t="shared" si="18"/>
        <v>609700</v>
      </c>
      <c r="I184" s="45">
        <f>1/0.15</f>
        <v>6.666666666666667</v>
      </c>
      <c r="J184" s="45">
        <f>+I184*84690</f>
        <v>564600</v>
      </c>
    </row>
    <row r="185" spans="1:10" s="45" customFormat="1" hidden="1">
      <c r="A185" s="584"/>
      <c r="B185" s="986">
        <f t="shared" si="19"/>
        <v>6.8999999999999968</v>
      </c>
      <c r="C185" s="988" t="s">
        <v>1004</v>
      </c>
      <c r="D185" s="989" t="s">
        <v>139</v>
      </c>
      <c r="E185" s="969">
        <v>0.7</v>
      </c>
      <c r="F185" s="1328">
        <f>+F181</f>
        <v>650208</v>
      </c>
      <c r="G185" s="990">
        <f t="shared" si="18"/>
        <v>455145.6</v>
      </c>
    </row>
    <row r="186" spans="1:10" s="45" customFormat="1" hidden="1">
      <c r="A186" s="584"/>
      <c r="B186" s="771"/>
      <c r="C186" s="102"/>
      <c r="D186" s="777"/>
      <c r="E186" s="780"/>
      <c r="F186" s="776"/>
      <c r="G186" s="774"/>
    </row>
    <row r="187" spans="1:10" s="45" customFormat="1" ht="15.75" hidden="1" thickBot="1">
      <c r="A187" s="584"/>
      <c r="B187" s="114"/>
      <c r="C187" s="114"/>
      <c r="D187" s="115"/>
      <c r="E187" s="116"/>
      <c r="F187" s="117" t="s">
        <v>969</v>
      </c>
      <c r="G187" s="137">
        <f>SUM(G176:G186)</f>
        <v>53604647.600000001</v>
      </c>
    </row>
    <row r="188" spans="1:10" s="45" customFormat="1" hidden="1">
      <c r="A188" s="584"/>
      <c r="B188" s="771"/>
      <c r="C188" s="102"/>
      <c r="D188" s="777"/>
      <c r="E188" s="780"/>
      <c r="F188" s="776"/>
      <c r="G188" s="795"/>
    </row>
    <row r="189" spans="1:10" s="45" customFormat="1" hidden="1">
      <c r="A189" s="586"/>
      <c r="B189" s="771"/>
      <c r="C189" s="787" t="s">
        <v>948</v>
      </c>
      <c r="D189" s="772"/>
      <c r="E189" s="773"/>
      <c r="F189" s="587"/>
      <c r="G189" s="774"/>
    </row>
    <row r="190" spans="1:10" s="45" customFormat="1" hidden="1">
      <c r="A190" s="584"/>
      <c r="B190" s="987">
        <v>6.1</v>
      </c>
      <c r="C190" s="988" t="s">
        <v>942</v>
      </c>
      <c r="D190" s="989" t="s">
        <v>56</v>
      </c>
      <c r="E190" s="969">
        <v>40</v>
      </c>
      <c r="F190" s="879">
        <v>4500</v>
      </c>
      <c r="G190" s="990">
        <f t="shared" ref="G190:G204" si="20">+E190*F190</f>
        <v>180000</v>
      </c>
    </row>
    <row r="191" spans="1:10" s="45" customFormat="1" hidden="1">
      <c r="A191" s="584"/>
      <c r="B191" s="987">
        <v>6.11</v>
      </c>
      <c r="C191" s="988" t="s">
        <v>945</v>
      </c>
      <c r="D191" s="989" t="s">
        <v>139</v>
      </c>
      <c r="E191" s="969">
        <v>4</v>
      </c>
      <c r="F191" s="879">
        <f>+F64</f>
        <v>75330</v>
      </c>
      <c r="G191" s="990">
        <f t="shared" si="20"/>
        <v>301320</v>
      </c>
    </row>
    <row r="192" spans="1:10" s="45" customFormat="1" hidden="1">
      <c r="A192" s="584"/>
      <c r="B192" s="987">
        <f>+B191+0.01</f>
        <v>6.12</v>
      </c>
      <c r="C192" s="988" t="s">
        <v>946</v>
      </c>
      <c r="D192" s="989" t="s">
        <v>540</v>
      </c>
      <c r="E192" s="969">
        <v>20</v>
      </c>
      <c r="F192" s="879">
        <v>29330</v>
      </c>
      <c r="G192" s="990">
        <f t="shared" si="20"/>
        <v>586600</v>
      </c>
    </row>
    <row r="193" spans="1:7" s="45" customFormat="1" hidden="1">
      <c r="A193" s="584"/>
      <c r="B193" s="987">
        <f t="shared" ref="B193:B204" si="21">+B192+0.01</f>
        <v>6.13</v>
      </c>
      <c r="C193" s="988" t="s">
        <v>522</v>
      </c>
      <c r="D193" s="989" t="s">
        <v>142</v>
      </c>
      <c r="E193" s="969">
        <f>2200+294</f>
        <v>2494</v>
      </c>
      <c r="F193" s="858">
        <v>3250</v>
      </c>
      <c r="G193" s="990">
        <f t="shared" si="20"/>
        <v>8105500</v>
      </c>
    </row>
    <row r="194" spans="1:7" s="45" customFormat="1" hidden="1">
      <c r="A194" s="584"/>
      <c r="B194" s="987">
        <f t="shared" si="21"/>
        <v>6.14</v>
      </c>
      <c r="C194" s="988" t="s">
        <v>508</v>
      </c>
      <c r="D194" s="989" t="s">
        <v>500</v>
      </c>
      <c r="E194" s="969">
        <v>31</v>
      </c>
      <c r="F194" s="858">
        <v>18670</v>
      </c>
      <c r="G194" s="990">
        <f t="shared" si="20"/>
        <v>578770</v>
      </c>
    </row>
    <row r="195" spans="1:7" s="45" customFormat="1" hidden="1">
      <c r="A195" s="584"/>
      <c r="B195" s="987">
        <f t="shared" si="21"/>
        <v>6.1499999999999995</v>
      </c>
      <c r="C195" s="988" t="s">
        <v>904</v>
      </c>
      <c r="D195" s="989" t="s">
        <v>22</v>
      </c>
      <c r="E195" s="988">
        <v>8</v>
      </c>
      <c r="F195" s="858">
        <v>10670</v>
      </c>
      <c r="G195" s="990">
        <f t="shared" si="20"/>
        <v>85360</v>
      </c>
    </row>
    <row r="196" spans="1:7" s="45" customFormat="1" hidden="1">
      <c r="A196" s="584"/>
      <c r="B196" s="987">
        <f t="shared" si="21"/>
        <v>6.1599999999999993</v>
      </c>
      <c r="C196" s="988" t="s">
        <v>996</v>
      </c>
      <c r="D196" s="989" t="s">
        <v>540</v>
      </c>
      <c r="E196" s="988">
        <v>2</v>
      </c>
      <c r="F196" s="858">
        <v>21516</v>
      </c>
      <c r="G196" s="990">
        <f t="shared" si="20"/>
        <v>43032</v>
      </c>
    </row>
    <row r="197" spans="1:7" s="45" customFormat="1" hidden="1">
      <c r="A197" s="584"/>
      <c r="B197" s="987">
        <f t="shared" si="21"/>
        <v>6.169999999999999</v>
      </c>
      <c r="C197" s="988" t="s">
        <v>895</v>
      </c>
      <c r="D197" s="989" t="s">
        <v>22</v>
      </c>
      <c r="E197" s="988">
        <v>4</v>
      </c>
      <c r="F197" s="858">
        <v>10810</v>
      </c>
      <c r="G197" s="990">
        <f t="shared" si="20"/>
        <v>43240</v>
      </c>
    </row>
    <row r="198" spans="1:7" s="45" customFormat="1" hidden="1">
      <c r="A198" s="584"/>
      <c r="B198" s="987">
        <f t="shared" si="21"/>
        <v>6.1799999999999988</v>
      </c>
      <c r="C198" s="988" t="s">
        <v>1026</v>
      </c>
      <c r="D198" s="989" t="s">
        <v>22</v>
      </c>
      <c r="E198" s="988">
        <v>2</v>
      </c>
      <c r="F198" s="858">
        <v>1621796</v>
      </c>
      <c r="G198" s="990">
        <f t="shared" si="20"/>
        <v>3243592</v>
      </c>
    </row>
    <row r="199" spans="1:7" s="45" customFormat="1" ht="25.5" hidden="1">
      <c r="A199" s="584"/>
      <c r="B199" s="987">
        <f t="shared" si="21"/>
        <v>6.1899999999999986</v>
      </c>
      <c r="C199" s="988" t="s">
        <v>1027</v>
      </c>
      <c r="D199" s="989" t="s">
        <v>22</v>
      </c>
      <c r="E199" s="988">
        <v>2</v>
      </c>
      <c r="F199" s="858">
        <v>521884</v>
      </c>
      <c r="G199" s="990">
        <f t="shared" si="20"/>
        <v>1043768</v>
      </c>
    </row>
    <row r="200" spans="1:7" s="45" customFormat="1" hidden="1">
      <c r="A200" s="584"/>
      <c r="B200" s="987">
        <f t="shared" si="21"/>
        <v>6.1999999999999984</v>
      </c>
      <c r="C200" s="988" t="s">
        <v>1409</v>
      </c>
      <c r="D200" s="989" t="s">
        <v>540</v>
      </c>
      <c r="E200" s="988">
        <v>24</v>
      </c>
      <c r="F200" s="858">
        <v>48740</v>
      </c>
      <c r="G200" s="990">
        <f t="shared" si="20"/>
        <v>1169760</v>
      </c>
    </row>
    <row r="201" spans="1:7" s="45" customFormat="1" hidden="1">
      <c r="A201" s="584"/>
      <c r="B201" s="987">
        <f t="shared" si="21"/>
        <v>6.2099999999999982</v>
      </c>
      <c r="C201" s="988" t="s">
        <v>1410</v>
      </c>
      <c r="D201" s="989" t="s">
        <v>540</v>
      </c>
      <c r="E201" s="988">
        <v>7</v>
      </c>
      <c r="F201" s="858">
        <v>69240</v>
      </c>
      <c r="G201" s="990">
        <f t="shared" si="20"/>
        <v>484680</v>
      </c>
    </row>
    <row r="202" spans="1:7" s="45" customFormat="1" hidden="1">
      <c r="A202" s="584"/>
      <c r="B202" s="987">
        <f t="shared" si="21"/>
        <v>6.219999999999998</v>
      </c>
      <c r="C202" s="988" t="s">
        <v>1007</v>
      </c>
      <c r="D202" s="989" t="s">
        <v>512</v>
      </c>
      <c r="E202" s="988">
        <v>2</v>
      </c>
      <c r="F202" s="1329">
        <v>628300</v>
      </c>
      <c r="G202" s="990">
        <f t="shared" si="20"/>
        <v>1256600</v>
      </c>
    </row>
    <row r="203" spans="1:7" s="45" customFormat="1" hidden="1">
      <c r="A203" s="584"/>
      <c r="B203" s="987">
        <f t="shared" si="21"/>
        <v>6.2299999999999978</v>
      </c>
      <c r="C203" s="988" t="s">
        <v>1021</v>
      </c>
      <c r="D203" s="989" t="s">
        <v>22</v>
      </c>
      <c r="E203" s="988">
        <v>4</v>
      </c>
      <c r="F203" s="879">
        <v>469000</v>
      </c>
      <c r="G203" s="990">
        <f t="shared" si="20"/>
        <v>1876000</v>
      </c>
    </row>
    <row r="204" spans="1:7" s="45" customFormat="1" hidden="1">
      <c r="A204" s="584"/>
      <c r="B204" s="987">
        <f t="shared" si="21"/>
        <v>6.2399999999999975</v>
      </c>
      <c r="C204" s="988" t="s">
        <v>1022</v>
      </c>
      <c r="D204" s="989" t="s">
        <v>22</v>
      </c>
      <c r="E204" s="988">
        <v>1</v>
      </c>
      <c r="F204" s="879">
        <v>507000</v>
      </c>
      <c r="G204" s="990">
        <f t="shared" si="20"/>
        <v>507000</v>
      </c>
    </row>
    <row r="205" spans="1:7" s="45" customFormat="1" hidden="1">
      <c r="A205" s="138">
        <v>200314</v>
      </c>
      <c r="B205" s="779"/>
      <c r="C205" s="102"/>
      <c r="D205" s="777"/>
      <c r="E205" s="780"/>
      <c r="F205" s="776"/>
      <c r="G205" s="774"/>
    </row>
    <row r="206" spans="1:7" s="45" customFormat="1" ht="15.75" hidden="1" thickBot="1">
      <c r="A206" s="143">
        <v>140404</v>
      </c>
      <c r="B206" s="871"/>
      <c r="C206" s="871"/>
      <c r="D206" s="873"/>
      <c r="E206" s="874"/>
      <c r="F206" s="1331" t="s">
        <v>973</v>
      </c>
      <c r="G206" s="1004">
        <f>SUM(G190:G205)</f>
        <v>19505222</v>
      </c>
    </row>
    <row r="207" spans="1:7" s="45" customFormat="1" ht="15.75" hidden="1" thickBot="1">
      <c r="A207" s="584"/>
      <c r="B207" s="876"/>
      <c r="C207" s="871"/>
      <c r="D207" s="873"/>
      <c r="E207" s="874"/>
      <c r="F207" s="1331" t="s">
        <v>1519</v>
      </c>
      <c r="G207" s="1152">
        <f>+G206+G187</f>
        <v>73109869.599999994</v>
      </c>
    </row>
    <row r="208" spans="1:7" s="45" customFormat="1" ht="15.75" hidden="1" thickBot="1">
      <c r="A208" s="584"/>
      <c r="B208" s="771"/>
      <c r="C208" s="102"/>
      <c r="D208" s="777"/>
      <c r="E208" s="780"/>
      <c r="F208" s="776"/>
      <c r="G208" s="774"/>
    </row>
    <row r="209" spans="1:7" s="45" customFormat="1" ht="15.75" hidden="1" customHeight="1" thickBot="1">
      <c r="A209" s="84" t="s">
        <v>40</v>
      </c>
      <c r="B209" s="74"/>
      <c r="C209" s="75" t="s">
        <v>478</v>
      </c>
      <c r="D209" s="87"/>
      <c r="E209" s="88"/>
      <c r="F209" s="89"/>
      <c r="G209" s="90"/>
    </row>
    <row r="210" spans="1:7" s="45" customFormat="1" hidden="1">
      <c r="A210" s="586"/>
      <c r="B210" s="74">
        <v>7</v>
      </c>
      <c r="C210" s="75" t="s">
        <v>478</v>
      </c>
      <c r="D210" s="76"/>
      <c r="E210" s="76"/>
      <c r="F210" s="76"/>
      <c r="G210" s="126"/>
    </row>
    <row r="211" spans="1:7" s="45" customFormat="1" hidden="1">
      <c r="A211" s="586"/>
      <c r="B211" s="771"/>
      <c r="C211" s="788" t="s">
        <v>947</v>
      </c>
      <c r="D211" s="772"/>
      <c r="E211" s="773"/>
      <c r="F211" s="587"/>
      <c r="G211" s="774"/>
    </row>
    <row r="212" spans="1:7" s="45" customFormat="1" hidden="1">
      <c r="A212" s="586"/>
      <c r="B212" s="986">
        <v>7.1</v>
      </c>
      <c r="C212" s="988" t="s">
        <v>943</v>
      </c>
      <c r="D212" s="820" t="s">
        <v>139</v>
      </c>
      <c r="E212" s="858">
        <v>3215</v>
      </c>
      <c r="F212" s="858">
        <f>+F51</f>
        <v>2640</v>
      </c>
      <c r="G212" s="774">
        <f t="shared" ref="G212:G222" si="22">+E212*F212</f>
        <v>8487600</v>
      </c>
    </row>
    <row r="213" spans="1:7" s="45" customFormat="1" hidden="1">
      <c r="A213" s="586"/>
      <c r="B213" s="986">
        <f>+B212+0.1</f>
        <v>7.1999999999999993</v>
      </c>
      <c r="C213" s="988" t="s">
        <v>1101</v>
      </c>
      <c r="D213" s="820" t="s">
        <v>139</v>
      </c>
      <c r="E213" s="858">
        <f>+E212</f>
        <v>3215</v>
      </c>
      <c r="F213" s="858">
        <f>+F52</f>
        <v>5190</v>
      </c>
      <c r="G213" s="774">
        <f t="shared" si="22"/>
        <v>16685850</v>
      </c>
    </row>
    <row r="214" spans="1:7" s="45" customFormat="1" hidden="1">
      <c r="A214" s="586"/>
      <c r="B214" s="986">
        <f t="shared" ref="B214" si="23">+B213+0.1</f>
        <v>7.2999999999999989</v>
      </c>
      <c r="C214" s="988" t="s">
        <v>941</v>
      </c>
      <c r="D214" s="989" t="s">
        <v>139</v>
      </c>
      <c r="E214" s="969">
        <v>50</v>
      </c>
      <c r="F214" s="858">
        <f>+F53</f>
        <v>10530</v>
      </c>
      <c r="G214" s="774">
        <f t="shared" si="22"/>
        <v>526500</v>
      </c>
    </row>
    <row r="215" spans="1:7" s="45" customFormat="1" hidden="1">
      <c r="A215" s="586"/>
      <c r="B215" s="986">
        <f>+B213+0.1</f>
        <v>7.2999999999999989</v>
      </c>
      <c r="C215" s="988" t="s">
        <v>497</v>
      </c>
      <c r="D215" s="989" t="s">
        <v>56</v>
      </c>
      <c r="E215" s="858">
        <v>619</v>
      </c>
      <c r="F215" s="858">
        <f>+F54</f>
        <v>17220</v>
      </c>
      <c r="G215" s="774">
        <f t="shared" si="22"/>
        <v>10659180</v>
      </c>
    </row>
    <row r="216" spans="1:7" s="45" customFormat="1" hidden="1">
      <c r="A216" s="127">
        <v>290304</v>
      </c>
      <c r="B216" s="986">
        <f t="shared" ref="B216:B222" si="24">+B215+0.1</f>
        <v>7.3999999999999986</v>
      </c>
      <c r="C216" s="988" t="s">
        <v>981</v>
      </c>
      <c r="D216" s="820" t="s">
        <v>938</v>
      </c>
      <c r="E216" s="858">
        <v>181</v>
      </c>
      <c r="F216" s="858">
        <f>+F55</f>
        <v>609700</v>
      </c>
      <c r="G216" s="774">
        <f t="shared" si="22"/>
        <v>110355700</v>
      </c>
    </row>
    <row r="217" spans="1:7" s="45" customFormat="1" hidden="1">
      <c r="A217" s="584"/>
      <c r="B217" s="986">
        <f t="shared" si="24"/>
        <v>7.4999999999999982</v>
      </c>
      <c r="C217" s="988" t="s">
        <v>993</v>
      </c>
      <c r="D217" s="820" t="s">
        <v>56</v>
      </c>
      <c r="E217" s="858">
        <v>922</v>
      </c>
      <c r="F217" s="858">
        <v>30000</v>
      </c>
      <c r="G217" s="774">
        <f t="shared" si="22"/>
        <v>27660000</v>
      </c>
    </row>
    <row r="218" spans="1:7" s="45" customFormat="1" hidden="1">
      <c r="A218" s="143">
        <v>290430</v>
      </c>
      <c r="B218" s="771">
        <f t="shared" si="24"/>
        <v>7.5999999999999979</v>
      </c>
      <c r="C218" s="102" t="s">
        <v>976</v>
      </c>
      <c r="D218" s="772" t="s">
        <v>139</v>
      </c>
      <c r="E218" s="587">
        <v>122</v>
      </c>
      <c r="F218" s="837">
        <f>+F56</f>
        <v>650208</v>
      </c>
      <c r="G218" s="774">
        <f t="shared" si="22"/>
        <v>79325376</v>
      </c>
    </row>
    <row r="219" spans="1:7" s="45" customFormat="1" hidden="1">
      <c r="A219" s="584"/>
      <c r="B219" s="771">
        <f t="shared" si="24"/>
        <v>7.6999999999999975</v>
      </c>
      <c r="C219" s="102" t="s">
        <v>939</v>
      </c>
      <c r="D219" s="772" t="s">
        <v>139</v>
      </c>
      <c r="E219" s="587">
        <v>135</v>
      </c>
      <c r="F219" s="837">
        <f>+F57</f>
        <v>630777</v>
      </c>
      <c r="G219" s="774">
        <f t="shared" si="22"/>
        <v>85154895</v>
      </c>
    </row>
    <row r="220" spans="1:7" s="45" customFormat="1" hidden="1">
      <c r="A220" s="584"/>
      <c r="B220" s="771">
        <f t="shared" si="24"/>
        <v>7.7999999999999972</v>
      </c>
      <c r="C220" s="102" t="s">
        <v>985</v>
      </c>
      <c r="D220" s="772" t="s">
        <v>22</v>
      </c>
      <c r="E220" s="587">
        <v>2</v>
      </c>
      <c r="F220" s="587">
        <v>1011100</v>
      </c>
      <c r="G220" s="774">
        <f t="shared" si="22"/>
        <v>2022200</v>
      </c>
    </row>
    <row r="221" spans="1:7" s="45" customFormat="1" hidden="1">
      <c r="A221" s="584"/>
      <c r="B221" s="771">
        <f t="shared" si="24"/>
        <v>7.8999999999999968</v>
      </c>
      <c r="C221" s="102" t="s">
        <v>986</v>
      </c>
      <c r="D221" s="772" t="s">
        <v>22</v>
      </c>
      <c r="E221" s="587">
        <v>2</v>
      </c>
      <c r="F221" s="587">
        <v>2202372</v>
      </c>
      <c r="G221" s="774">
        <f t="shared" si="22"/>
        <v>4404744</v>
      </c>
    </row>
    <row r="222" spans="1:7" s="45" customFormat="1" hidden="1">
      <c r="A222" s="584"/>
      <c r="B222" s="771">
        <f t="shared" si="24"/>
        <v>7.9999999999999964</v>
      </c>
      <c r="C222" s="102" t="s">
        <v>994</v>
      </c>
      <c r="D222" s="777" t="s">
        <v>22</v>
      </c>
      <c r="E222" s="780">
        <v>2</v>
      </c>
      <c r="F222" s="587">
        <v>118070</v>
      </c>
      <c r="G222" s="774">
        <f t="shared" si="22"/>
        <v>236140</v>
      </c>
    </row>
    <row r="223" spans="1:7" s="45" customFormat="1" hidden="1">
      <c r="A223" s="105"/>
      <c r="B223" s="139"/>
      <c r="C223" s="140"/>
      <c r="D223" s="23"/>
      <c r="E223" s="107"/>
      <c r="F223" s="25"/>
      <c r="G223" s="795"/>
    </row>
    <row r="224" spans="1:7" s="45" customFormat="1" ht="15.75" hidden="1" thickBot="1">
      <c r="A224" s="112" t="s">
        <v>46</v>
      </c>
      <c r="B224" s="113"/>
      <c r="C224" s="114"/>
      <c r="D224" s="115"/>
      <c r="E224" s="116"/>
      <c r="F224" s="117" t="s">
        <v>479</v>
      </c>
      <c r="G224" s="118">
        <f>SUM(G212:G223)</f>
        <v>345518185</v>
      </c>
    </row>
    <row r="225" spans="1:7" s="45" customFormat="1" ht="15" hidden="1" customHeight="1">
      <c r="A225" s="84" t="s">
        <v>40</v>
      </c>
      <c r="B225" s="987"/>
      <c r="C225" s="988"/>
      <c r="D225" s="989"/>
      <c r="E225" s="969"/>
      <c r="F225" s="879">
        <v>38550</v>
      </c>
      <c r="G225" s="774">
        <f t="shared" ref="G225" si="25">E225*F225</f>
        <v>0</v>
      </c>
    </row>
    <row r="226" spans="1:7" s="45" customFormat="1" hidden="1">
      <c r="A226" s="586"/>
      <c r="B226" s="986"/>
      <c r="C226" s="988"/>
      <c r="D226" s="989"/>
      <c r="E226" s="969"/>
      <c r="F226" s="858"/>
      <c r="G226" s="774"/>
    </row>
    <row r="227" spans="1:7" s="45" customFormat="1" hidden="1">
      <c r="A227" s="586"/>
      <c r="B227" s="986">
        <v>7.12</v>
      </c>
      <c r="C227" s="988" t="s">
        <v>522</v>
      </c>
      <c r="D227" s="989" t="s">
        <v>142</v>
      </c>
      <c r="E227" s="969">
        <v>11700</v>
      </c>
      <c r="F227" s="858">
        <v>3250</v>
      </c>
      <c r="G227" s="774">
        <f t="shared" ref="G227:G252" si="26">+E227*F227</f>
        <v>38025000</v>
      </c>
    </row>
    <row r="228" spans="1:7" s="45" customFormat="1" hidden="1">
      <c r="A228" s="586"/>
      <c r="B228" s="986">
        <f>+B227+0.01</f>
        <v>7.13</v>
      </c>
      <c r="C228" s="988" t="s">
        <v>508</v>
      </c>
      <c r="D228" s="989" t="s">
        <v>500</v>
      </c>
      <c r="E228" s="969">
        <v>124</v>
      </c>
      <c r="F228" s="858">
        <v>18670</v>
      </c>
      <c r="G228" s="774">
        <f t="shared" si="26"/>
        <v>2315080</v>
      </c>
    </row>
    <row r="229" spans="1:7" s="45" customFormat="1" hidden="1">
      <c r="A229" s="586"/>
      <c r="B229" s="986">
        <f t="shared" ref="B229:B252" si="27">+B228+0.01</f>
        <v>7.14</v>
      </c>
      <c r="C229" s="988" t="s">
        <v>942</v>
      </c>
      <c r="D229" s="989" t="s">
        <v>56</v>
      </c>
      <c r="E229" s="969">
        <v>183</v>
      </c>
      <c r="F229" s="858">
        <v>4500</v>
      </c>
      <c r="G229" s="774">
        <f t="shared" si="26"/>
        <v>823500</v>
      </c>
    </row>
    <row r="230" spans="1:7" s="45" customFormat="1" hidden="1">
      <c r="A230" s="586"/>
      <c r="B230" s="986">
        <f t="shared" si="27"/>
        <v>7.1499999999999995</v>
      </c>
      <c r="C230" s="988" t="s">
        <v>984</v>
      </c>
      <c r="D230" s="989" t="s">
        <v>139</v>
      </c>
      <c r="E230" s="969">
        <v>20</v>
      </c>
      <c r="F230" s="858">
        <f>+F64</f>
        <v>75330</v>
      </c>
      <c r="G230" s="774">
        <f t="shared" si="26"/>
        <v>1506600</v>
      </c>
    </row>
    <row r="231" spans="1:7" s="45" customFormat="1" hidden="1">
      <c r="A231" s="586"/>
      <c r="B231" s="986">
        <f t="shared" si="27"/>
        <v>7.1599999999999993</v>
      </c>
      <c r="C231" s="988" t="s">
        <v>946</v>
      </c>
      <c r="D231" s="989" t="s">
        <v>540</v>
      </c>
      <c r="E231" s="969">
        <v>147</v>
      </c>
      <c r="F231" s="858">
        <v>29330</v>
      </c>
      <c r="G231" s="774">
        <f t="shared" si="26"/>
        <v>4311510</v>
      </c>
    </row>
    <row r="232" spans="1:7" s="45" customFormat="1" hidden="1">
      <c r="A232" s="586"/>
      <c r="B232" s="986">
        <f t="shared" si="27"/>
        <v>7.169999999999999</v>
      </c>
      <c r="C232" s="988" t="s">
        <v>1428</v>
      </c>
      <c r="D232" s="989" t="s">
        <v>22</v>
      </c>
      <c r="E232" s="969">
        <v>1</v>
      </c>
      <c r="F232" s="858">
        <v>21450</v>
      </c>
      <c r="G232" s="774">
        <f t="shared" si="26"/>
        <v>21450</v>
      </c>
    </row>
    <row r="233" spans="1:7" s="45" customFormat="1" hidden="1">
      <c r="A233" s="586"/>
      <c r="B233" s="986">
        <f t="shared" si="27"/>
        <v>7.1799999999999988</v>
      </c>
      <c r="C233" s="988" t="s">
        <v>999</v>
      </c>
      <c r="D233" s="820" t="s">
        <v>22</v>
      </c>
      <c r="E233" s="858">
        <v>2</v>
      </c>
      <c r="F233" s="858">
        <v>612360</v>
      </c>
      <c r="G233" s="774">
        <f t="shared" si="26"/>
        <v>1224720</v>
      </c>
    </row>
    <row r="234" spans="1:7" s="45" customFormat="1" hidden="1">
      <c r="A234" s="586"/>
      <c r="B234" s="986">
        <f t="shared" si="27"/>
        <v>7.1899999999999986</v>
      </c>
      <c r="C234" s="988" t="s">
        <v>995</v>
      </c>
      <c r="D234" s="989" t="s">
        <v>22</v>
      </c>
      <c r="E234" s="858">
        <v>2</v>
      </c>
      <c r="F234" s="858">
        <v>521884</v>
      </c>
      <c r="G234" s="774">
        <f t="shared" si="26"/>
        <v>1043768</v>
      </c>
    </row>
    <row r="235" spans="1:7" s="45" customFormat="1" hidden="1">
      <c r="A235" s="586"/>
      <c r="B235" s="986">
        <f t="shared" si="27"/>
        <v>7.1999999999999984</v>
      </c>
      <c r="C235" s="988" t="s">
        <v>1422</v>
      </c>
      <c r="D235" s="989" t="s">
        <v>22</v>
      </c>
      <c r="E235" s="858">
        <v>2</v>
      </c>
      <c r="F235" s="858">
        <v>323400</v>
      </c>
      <c r="G235" s="774">
        <f t="shared" si="26"/>
        <v>646800</v>
      </c>
    </row>
    <row r="236" spans="1:7" s="45" customFormat="1" hidden="1">
      <c r="A236" s="586"/>
      <c r="B236" s="986">
        <f t="shared" si="27"/>
        <v>7.2099999999999982</v>
      </c>
      <c r="C236" s="988" t="s">
        <v>884</v>
      </c>
      <c r="D236" s="820" t="s">
        <v>22</v>
      </c>
      <c r="E236" s="858">
        <v>2</v>
      </c>
      <c r="F236" s="858">
        <v>1021960</v>
      </c>
      <c r="G236" s="774">
        <f t="shared" si="26"/>
        <v>2043920</v>
      </c>
    </row>
    <row r="237" spans="1:7" s="45" customFormat="1" hidden="1">
      <c r="A237" s="586"/>
      <c r="B237" s="986">
        <f t="shared" si="27"/>
        <v>7.219999999999998</v>
      </c>
      <c r="C237" s="988" t="s">
        <v>1030</v>
      </c>
      <c r="D237" s="989" t="s">
        <v>22</v>
      </c>
      <c r="E237" s="858">
        <v>2</v>
      </c>
      <c r="F237" s="858">
        <v>3242316</v>
      </c>
      <c r="G237" s="774">
        <f t="shared" si="26"/>
        <v>6484632</v>
      </c>
    </row>
    <row r="238" spans="1:7" s="45" customFormat="1" hidden="1">
      <c r="A238" s="586"/>
      <c r="B238" s="986">
        <f t="shared" si="27"/>
        <v>7.2299999999999978</v>
      </c>
      <c r="C238" s="1028" t="s">
        <v>881</v>
      </c>
      <c r="D238" s="989" t="s">
        <v>22</v>
      </c>
      <c r="E238" s="858">
        <v>2</v>
      </c>
      <c r="F238" s="858">
        <v>1621796</v>
      </c>
      <c r="G238" s="774">
        <f t="shared" si="26"/>
        <v>3243592</v>
      </c>
    </row>
    <row r="239" spans="1:7" s="45" customFormat="1" hidden="1">
      <c r="A239" s="586"/>
      <c r="B239" s="986">
        <f t="shared" si="27"/>
        <v>7.2399999999999975</v>
      </c>
      <c r="C239" s="1028" t="s">
        <v>1029</v>
      </c>
      <c r="D239" s="989" t="s">
        <v>22</v>
      </c>
      <c r="E239" s="858">
        <v>2</v>
      </c>
      <c r="F239" s="858">
        <v>1096084</v>
      </c>
      <c r="G239" s="774">
        <f t="shared" si="26"/>
        <v>2192168</v>
      </c>
    </row>
    <row r="240" spans="1:7" s="45" customFormat="1" hidden="1">
      <c r="A240" s="586"/>
      <c r="B240" s="986">
        <f t="shared" si="27"/>
        <v>7.2499999999999973</v>
      </c>
      <c r="C240" s="988" t="s">
        <v>904</v>
      </c>
      <c r="D240" s="989" t="s">
        <v>22</v>
      </c>
      <c r="E240" s="988">
        <v>2</v>
      </c>
      <c r="F240" s="1328">
        <v>10670</v>
      </c>
      <c r="G240" s="774">
        <f t="shared" si="26"/>
        <v>21340</v>
      </c>
    </row>
    <row r="241" spans="1:7" s="45" customFormat="1" hidden="1">
      <c r="A241" s="586"/>
      <c r="B241" s="986">
        <f t="shared" si="27"/>
        <v>7.2599999999999971</v>
      </c>
      <c r="C241" s="988" t="s">
        <v>1423</v>
      </c>
      <c r="D241" s="989" t="s">
        <v>22</v>
      </c>
      <c r="E241" s="988">
        <v>2</v>
      </c>
      <c r="F241" s="1328">
        <v>182000</v>
      </c>
      <c r="G241" s="774">
        <f t="shared" si="26"/>
        <v>364000</v>
      </c>
    </row>
    <row r="242" spans="1:7" s="45" customFormat="1" hidden="1">
      <c r="A242" s="586"/>
      <c r="B242" s="986">
        <f t="shared" si="27"/>
        <v>7.2699999999999969</v>
      </c>
      <c r="C242" s="988" t="s">
        <v>996</v>
      </c>
      <c r="D242" s="820" t="s">
        <v>500</v>
      </c>
      <c r="E242" s="858">
        <v>16</v>
      </c>
      <c r="F242" s="1328">
        <v>21516</v>
      </c>
      <c r="G242" s="774">
        <f t="shared" si="26"/>
        <v>344256</v>
      </c>
    </row>
    <row r="243" spans="1:7" s="45" customFormat="1" hidden="1">
      <c r="A243" s="586"/>
      <c r="B243" s="986">
        <f t="shared" si="27"/>
        <v>7.2799999999999967</v>
      </c>
      <c r="C243" s="988" t="s">
        <v>1425</v>
      </c>
      <c r="D243" s="989" t="s">
        <v>22</v>
      </c>
      <c r="E243" s="988">
        <v>31</v>
      </c>
      <c r="F243" s="1328">
        <v>10670</v>
      </c>
      <c r="G243" s="774">
        <f t="shared" si="26"/>
        <v>330770</v>
      </c>
    </row>
    <row r="244" spans="1:7" s="45" customFormat="1" hidden="1">
      <c r="A244" s="586"/>
      <c r="B244" s="986">
        <f t="shared" si="27"/>
        <v>7.2899999999999965</v>
      </c>
      <c r="C244" s="988" t="s">
        <v>1429</v>
      </c>
      <c r="D244" s="989" t="s">
        <v>22</v>
      </c>
      <c r="E244" s="988">
        <v>3</v>
      </c>
      <c r="F244" s="1328">
        <v>113600</v>
      </c>
      <c r="G244" s="774">
        <f t="shared" si="26"/>
        <v>340800</v>
      </c>
    </row>
    <row r="245" spans="1:7" s="45" customFormat="1" hidden="1">
      <c r="A245" s="586"/>
      <c r="B245" s="986">
        <f t="shared" si="27"/>
        <v>7.2999999999999963</v>
      </c>
      <c r="C245" s="988" t="s">
        <v>1430</v>
      </c>
      <c r="D245" s="989" t="s">
        <v>22</v>
      </c>
      <c r="E245" s="988">
        <v>3</v>
      </c>
      <c r="F245" s="1328">
        <v>85700</v>
      </c>
      <c r="G245" s="774">
        <f t="shared" si="26"/>
        <v>257100</v>
      </c>
    </row>
    <row r="246" spans="1:7" s="45" customFormat="1" hidden="1">
      <c r="A246" s="586"/>
      <c r="B246" s="986">
        <f t="shared" si="27"/>
        <v>7.3099999999999961</v>
      </c>
      <c r="C246" s="988" t="s">
        <v>1426</v>
      </c>
      <c r="D246" s="989" t="s">
        <v>22</v>
      </c>
      <c r="E246" s="988">
        <v>1</v>
      </c>
      <c r="F246" s="1328">
        <v>115000</v>
      </c>
      <c r="G246" s="774">
        <f t="shared" si="26"/>
        <v>115000</v>
      </c>
    </row>
    <row r="247" spans="1:7" s="45" customFormat="1" hidden="1">
      <c r="A247" s="586"/>
      <c r="B247" s="986">
        <f t="shared" si="27"/>
        <v>7.3199999999999958</v>
      </c>
      <c r="C247" s="988" t="s">
        <v>1431</v>
      </c>
      <c r="D247" s="989" t="s">
        <v>500</v>
      </c>
      <c r="E247" s="988">
        <v>76</v>
      </c>
      <c r="F247" s="1328">
        <v>48740</v>
      </c>
      <c r="G247" s="774">
        <f t="shared" si="26"/>
        <v>3704240</v>
      </c>
    </row>
    <row r="248" spans="1:7" s="45" customFormat="1" hidden="1">
      <c r="A248" s="586"/>
      <c r="B248" s="986">
        <f t="shared" si="27"/>
        <v>7.3299999999999956</v>
      </c>
      <c r="C248" s="988" t="s">
        <v>1424</v>
      </c>
      <c r="D248" s="989" t="s">
        <v>56</v>
      </c>
      <c r="E248" s="988">
        <v>0.3</v>
      </c>
      <c r="F248" s="1328">
        <v>6000</v>
      </c>
      <c r="G248" s="774">
        <f t="shared" si="26"/>
        <v>1800</v>
      </c>
    </row>
    <row r="249" spans="1:7" s="45" customFormat="1" ht="25.5" hidden="1">
      <c r="A249" s="586"/>
      <c r="B249" s="986">
        <f t="shared" si="27"/>
        <v>7.3399999999999954</v>
      </c>
      <c r="C249" s="988" t="s">
        <v>1018</v>
      </c>
      <c r="D249" s="820" t="s">
        <v>22</v>
      </c>
      <c r="E249" s="969">
        <v>42</v>
      </c>
      <c r="F249" s="858">
        <v>30550</v>
      </c>
      <c r="G249" s="774">
        <f t="shared" si="26"/>
        <v>1283100</v>
      </c>
    </row>
    <row r="250" spans="1:7" s="45" customFormat="1" hidden="1">
      <c r="A250" s="586"/>
      <c r="B250" s="771">
        <f t="shared" si="27"/>
        <v>7.3499999999999952</v>
      </c>
      <c r="C250" s="102" t="s">
        <v>1432</v>
      </c>
      <c r="D250" s="772" t="s">
        <v>22</v>
      </c>
      <c r="E250" s="780">
        <v>4</v>
      </c>
      <c r="F250" s="858">
        <v>580000</v>
      </c>
      <c r="G250" s="774">
        <f t="shared" si="26"/>
        <v>2320000</v>
      </c>
    </row>
    <row r="251" spans="1:7" s="45" customFormat="1" ht="25.5" hidden="1">
      <c r="A251" s="586"/>
      <c r="B251" s="771">
        <f t="shared" si="27"/>
        <v>7.359999999999995</v>
      </c>
      <c r="C251" s="860" t="s">
        <v>1433</v>
      </c>
      <c r="D251" s="772" t="s">
        <v>22</v>
      </c>
      <c r="E251" s="780">
        <v>4</v>
      </c>
      <c r="F251" s="858">
        <v>620000</v>
      </c>
      <c r="G251" s="774">
        <f t="shared" si="26"/>
        <v>2480000</v>
      </c>
    </row>
    <row r="252" spans="1:7" s="45" customFormat="1" hidden="1">
      <c r="A252" s="586"/>
      <c r="B252" s="771">
        <f t="shared" si="27"/>
        <v>7.3699999999999948</v>
      </c>
      <c r="C252" s="102" t="s">
        <v>1427</v>
      </c>
      <c r="D252" s="772" t="s">
        <v>22</v>
      </c>
      <c r="E252" s="780">
        <v>2</v>
      </c>
      <c r="F252" s="858">
        <v>4950000</v>
      </c>
      <c r="G252" s="774">
        <f t="shared" si="26"/>
        <v>9900000</v>
      </c>
    </row>
    <row r="253" spans="1:7" s="45" customFormat="1" hidden="1">
      <c r="A253" s="586"/>
      <c r="B253" s="771"/>
      <c r="D253" s="772"/>
      <c r="E253" s="780"/>
      <c r="F253" s="25"/>
      <c r="G253" s="774"/>
    </row>
    <row r="254" spans="1:7" s="45" customFormat="1" ht="15.75" hidden="1" thickBot="1">
      <c r="A254" s="586"/>
      <c r="B254" s="114"/>
      <c r="C254" s="114"/>
      <c r="D254" s="115"/>
      <c r="E254" s="116"/>
      <c r="F254" s="117" t="s">
        <v>970</v>
      </c>
      <c r="G254" s="118">
        <f>SUM(G227:G253)</f>
        <v>85345146</v>
      </c>
    </row>
    <row r="255" spans="1:7" s="45" customFormat="1" hidden="1">
      <c r="A255" s="586"/>
      <c r="B255" s="771"/>
      <c r="C255" s="102"/>
      <c r="D255" s="772"/>
      <c r="E255" s="780"/>
      <c r="F255" s="587"/>
      <c r="G255" s="774"/>
    </row>
    <row r="256" spans="1:7" s="45" customFormat="1" ht="15.75" hidden="1" thickBot="1">
      <c r="A256" s="127" t="s">
        <v>82</v>
      </c>
      <c r="B256" s="871"/>
      <c r="C256" s="871"/>
      <c r="D256" s="873"/>
      <c r="E256" s="874"/>
      <c r="F256" s="1331" t="s">
        <v>971</v>
      </c>
      <c r="G256" s="1004">
        <f>+G254+G224</f>
        <v>430863331</v>
      </c>
    </row>
    <row r="257" spans="1:7" s="45" customFormat="1" ht="15.75" hidden="1" thickBot="1">
      <c r="A257" s="143">
        <v>210134</v>
      </c>
      <c r="B257" s="139"/>
      <c r="C257" s="140"/>
      <c r="D257" s="141"/>
      <c r="E257" s="142"/>
      <c r="F257" s="25"/>
      <c r="G257" s="792">
        <f t="shared" ref="G257" si="28">+F257*E257</f>
        <v>0</v>
      </c>
    </row>
    <row r="258" spans="1:7" s="45" customFormat="1" hidden="1">
      <c r="A258" s="584"/>
      <c r="B258" s="74">
        <v>8</v>
      </c>
      <c r="C258" s="75" t="s">
        <v>1023</v>
      </c>
      <c r="D258" s="76"/>
      <c r="E258" s="76"/>
      <c r="F258" s="76"/>
      <c r="G258" s="126"/>
    </row>
    <row r="259" spans="1:7" s="45" customFormat="1" hidden="1">
      <c r="A259" s="584"/>
      <c r="B259" s="771"/>
      <c r="C259" s="788" t="s">
        <v>947</v>
      </c>
      <c r="D259" s="772"/>
      <c r="E259" s="773"/>
      <c r="F259" s="587"/>
      <c r="G259" s="774"/>
    </row>
    <row r="260" spans="1:7" s="45" customFormat="1" hidden="1">
      <c r="A260" s="584"/>
      <c r="B260" s="771">
        <v>8.1</v>
      </c>
      <c r="C260" s="102" t="s">
        <v>943</v>
      </c>
      <c r="D260" s="772" t="s">
        <v>139</v>
      </c>
      <c r="E260" s="587">
        <v>590</v>
      </c>
      <c r="F260" s="587">
        <f>+F51</f>
        <v>2640</v>
      </c>
      <c r="G260" s="774">
        <f t="shared" ref="G260:G264" si="29">+E260*F260</f>
        <v>1557600</v>
      </c>
    </row>
    <row r="261" spans="1:7" s="45" customFormat="1" hidden="1">
      <c r="A261" s="584"/>
      <c r="B261" s="771">
        <f>+B260+0.1</f>
        <v>8.1999999999999993</v>
      </c>
      <c r="C261" s="102" t="s">
        <v>1101</v>
      </c>
      <c r="D261" s="772" t="s">
        <v>139</v>
      </c>
      <c r="E261" s="587">
        <f>+E260</f>
        <v>590</v>
      </c>
      <c r="F261" s="587">
        <f>+F52</f>
        <v>5190</v>
      </c>
      <c r="G261" s="774">
        <f t="shared" si="29"/>
        <v>3062100</v>
      </c>
    </row>
    <row r="262" spans="1:7" s="45" customFormat="1" hidden="1">
      <c r="A262" s="584"/>
      <c r="B262" s="771">
        <f t="shared" ref="B262:B264" si="30">+B261+0.1</f>
        <v>8.2999999999999989</v>
      </c>
      <c r="C262" s="102" t="s">
        <v>497</v>
      </c>
      <c r="D262" s="777" t="s">
        <v>56</v>
      </c>
      <c r="E262" s="587">
        <v>163</v>
      </c>
      <c r="F262" s="587">
        <f>+F54</f>
        <v>17220</v>
      </c>
      <c r="G262" s="774">
        <f t="shared" si="29"/>
        <v>2806860</v>
      </c>
    </row>
    <row r="263" spans="1:7" s="45" customFormat="1" hidden="1">
      <c r="A263" s="584"/>
      <c r="B263" s="986">
        <f t="shared" si="30"/>
        <v>8.3999999999999986</v>
      </c>
      <c r="C263" s="782" t="s">
        <v>1003</v>
      </c>
      <c r="D263" s="790" t="s">
        <v>139</v>
      </c>
      <c r="E263" s="780">
        <v>44</v>
      </c>
      <c r="F263" s="587">
        <f>+F55</f>
        <v>609700</v>
      </c>
      <c r="G263" s="774">
        <f t="shared" si="29"/>
        <v>26826800</v>
      </c>
    </row>
    <row r="264" spans="1:7" s="45" customFormat="1" hidden="1">
      <c r="A264" s="584"/>
      <c r="B264" s="771">
        <f t="shared" si="30"/>
        <v>8.4999999999999982</v>
      </c>
      <c r="C264" s="102" t="s">
        <v>976</v>
      </c>
      <c r="D264" s="772" t="s">
        <v>139</v>
      </c>
      <c r="E264" s="587">
        <v>15</v>
      </c>
      <c r="F264" s="837">
        <v>614040</v>
      </c>
      <c r="G264" s="774">
        <f t="shared" si="29"/>
        <v>9210600</v>
      </c>
    </row>
    <row r="265" spans="1:7" s="45" customFormat="1" hidden="1">
      <c r="A265" s="584"/>
      <c r="B265" s="771"/>
      <c r="C265" s="102"/>
      <c r="D265" s="772"/>
      <c r="E265" s="587"/>
      <c r="F265" s="587"/>
      <c r="G265" s="774">
        <f>+E265*F265</f>
        <v>0</v>
      </c>
    </row>
    <row r="266" spans="1:7" s="45" customFormat="1" ht="15.75" hidden="1" thickBot="1">
      <c r="A266" s="584"/>
      <c r="B266" s="771"/>
      <c r="C266" s="114"/>
      <c r="D266" s="115"/>
      <c r="E266" s="116"/>
      <c r="F266" s="117" t="s">
        <v>1099</v>
      </c>
      <c r="G266" s="118">
        <f>SUM(G260:G265)</f>
        <v>43463960</v>
      </c>
    </row>
    <row r="267" spans="1:7" s="45" customFormat="1" hidden="1">
      <c r="A267" s="584"/>
      <c r="B267" s="771"/>
      <c r="C267" s="102"/>
      <c r="D267" s="772"/>
      <c r="E267" s="587"/>
      <c r="F267" s="587"/>
      <c r="G267" s="774"/>
    </row>
    <row r="268" spans="1:7" s="45" customFormat="1" hidden="1">
      <c r="A268" s="584"/>
      <c r="B268" s="771">
        <f>+B264+0.1</f>
        <v>8.5999999999999979</v>
      </c>
      <c r="C268" s="102" t="s">
        <v>522</v>
      </c>
      <c r="D268" s="777" t="s">
        <v>142</v>
      </c>
      <c r="E268" s="780">
        <v>5000</v>
      </c>
      <c r="F268" s="891">
        <v>3250</v>
      </c>
      <c r="G268" s="774">
        <f t="shared" ref="G268:G279" si="31">+E268*F268</f>
        <v>16250000</v>
      </c>
    </row>
    <row r="269" spans="1:7" s="45" customFormat="1" hidden="1">
      <c r="A269" s="584"/>
      <c r="B269" s="771">
        <f>+B268+0.1</f>
        <v>8.6999999999999975</v>
      </c>
      <c r="C269" s="102" t="s">
        <v>1411</v>
      </c>
      <c r="D269" s="777" t="s">
        <v>500</v>
      </c>
      <c r="E269" s="780">
        <v>90</v>
      </c>
      <c r="F269" s="891">
        <v>18670</v>
      </c>
      <c r="G269" s="774">
        <f t="shared" si="31"/>
        <v>1680300</v>
      </c>
    </row>
    <row r="270" spans="1:7" s="45" customFormat="1" hidden="1">
      <c r="A270" s="584"/>
      <c r="B270" s="771">
        <f>+B269+0.1</f>
        <v>8.7999999999999972</v>
      </c>
      <c r="C270" s="102" t="s">
        <v>942</v>
      </c>
      <c r="D270" s="777" t="s">
        <v>56</v>
      </c>
      <c r="E270" s="780">
        <v>92</v>
      </c>
      <c r="F270" s="891">
        <v>4500</v>
      </c>
      <c r="G270" s="774">
        <f t="shared" si="31"/>
        <v>414000</v>
      </c>
    </row>
    <row r="271" spans="1:7" s="45" customFormat="1" hidden="1">
      <c r="A271" s="584"/>
      <c r="B271" s="844">
        <v>8.9</v>
      </c>
      <c r="C271" s="102" t="s">
        <v>984</v>
      </c>
      <c r="D271" s="777" t="s">
        <v>139</v>
      </c>
      <c r="E271" s="780">
        <v>11</v>
      </c>
      <c r="F271" s="964">
        <f>+F64</f>
        <v>75330</v>
      </c>
      <c r="G271" s="774">
        <f t="shared" si="31"/>
        <v>828630</v>
      </c>
    </row>
    <row r="272" spans="1:7" s="45" customFormat="1" hidden="1">
      <c r="A272" s="584"/>
      <c r="B272" s="779">
        <v>8.1</v>
      </c>
      <c r="C272" s="102" t="s">
        <v>946</v>
      </c>
      <c r="D272" s="777" t="s">
        <v>540</v>
      </c>
      <c r="E272" s="780">
        <v>13</v>
      </c>
      <c r="F272" s="891">
        <v>29330</v>
      </c>
      <c r="G272" s="774">
        <f t="shared" si="31"/>
        <v>381290</v>
      </c>
    </row>
    <row r="273" spans="1:9" s="45" customFormat="1" ht="29.25" hidden="1" customHeight="1">
      <c r="A273" s="584"/>
      <c r="B273" s="779">
        <v>8.11</v>
      </c>
      <c r="C273" s="782" t="s">
        <v>1102</v>
      </c>
      <c r="D273" s="772" t="s">
        <v>22</v>
      </c>
      <c r="E273" s="587">
        <v>4</v>
      </c>
      <c r="F273" s="891">
        <v>1302286</v>
      </c>
      <c r="G273" s="774">
        <f t="shared" si="31"/>
        <v>5209144</v>
      </c>
      <c r="I273" s="891"/>
    </row>
    <row r="274" spans="1:9" s="45" customFormat="1" hidden="1">
      <c r="A274" s="584"/>
      <c r="B274" s="779">
        <v>8.1199999999999992</v>
      </c>
      <c r="C274" s="782" t="s">
        <v>1108</v>
      </c>
      <c r="D274" s="777" t="s">
        <v>22</v>
      </c>
      <c r="E274" s="587">
        <v>12</v>
      </c>
      <c r="F274" s="891">
        <v>40312</v>
      </c>
      <c r="G274" s="774">
        <f t="shared" si="31"/>
        <v>483744</v>
      </c>
    </row>
    <row r="275" spans="1:9" s="45" customFormat="1" hidden="1">
      <c r="A275" s="584"/>
      <c r="B275" s="779">
        <f>+B274+0.01</f>
        <v>8.129999999999999</v>
      </c>
      <c r="C275" s="102" t="s">
        <v>1107</v>
      </c>
      <c r="D275" s="790" t="s">
        <v>22</v>
      </c>
      <c r="E275" s="587">
        <v>28</v>
      </c>
      <c r="F275" s="891">
        <v>10810</v>
      </c>
      <c r="G275" s="774">
        <f t="shared" si="31"/>
        <v>302680</v>
      </c>
    </row>
    <row r="276" spans="1:9" s="45" customFormat="1" ht="16.5" hidden="1">
      <c r="A276" s="584"/>
      <c r="B276" s="779">
        <f t="shared" ref="B276:B279" si="32">+B275+0.01</f>
        <v>8.1399999999999988</v>
      </c>
      <c r="C276" s="102" t="s">
        <v>1103</v>
      </c>
      <c r="D276" s="772" t="s">
        <v>500</v>
      </c>
      <c r="E276" s="587">
        <v>86</v>
      </c>
      <c r="F276" s="893">
        <v>21516</v>
      </c>
      <c r="G276" s="774">
        <f t="shared" si="31"/>
        <v>1850376</v>
      </c>
    </row>
    <row r="277" spans="1:9" s="45" customFormat="1" hidden="1">
      <c r="A277" s="584"/>
      <c r="B277" s="779">
        <f t="shared" si="32"/>
        <v>8.1499999999999986</v>
      </c>
      <c r="C277" s="782" t="s">
        <v>1106</v>
      </c>
      <c r="D277" s="777" t="s">
        <v>139</v>
      </c>
      <c r="E277" s="587">
        <v>35</v>
      </c>
      <c r="F277" s="964">
        <v>63050</v>
      </c>
      <c r="G277" s="774">
        <f t="shared" si="31"/>
        <v>2206750</v>
      </c>
    </row>
    <row r="278" spans="1:9" s="45" customFormat="1" hidden="1">
      <c r="A278" s="584"/>
      <c r="B278" s="779">
        <f t="shared" si="32"/>
        <v>8.1599999999999984</v>
      </c>
      <c r="C278" s="782" t="s">
        <v>166</v>
      </c>
      <c r="D278" s="777" t="s">
        <v>139</v>
      </c>
      <c r="E278" s="587">
        <v>30</v>
      </c>
      <c r="F278" s="891">
        <v>63840</v>
      </c>
      <c r="G278" s="774">
        <f t="shared" si="31"/>
        <v>1915200</v>
      </c>
    </row>
    <row r="279" spans="1:9" s="45" customFormat="1" ht="16.5" hidden="1">
      <c r="A279" s="584"/>
      <c r="B279" s="779">
        <f t="shared" si="32"/>
        <v>8.1699999999999982</v>
      </c>
      <c r="C279" s="782" t="s">
        <v>1104</v>
      </c>
      <c r="D279" s="846" t="s">
        <v>22</v>
      </c>
      <c r="E279" s="782">
        <v>4</v>
      </c>
      <c r="F279" s="893">
        <v>158050</v>
      </c>
      <c r="G279" s="774">
        <f t="shared" si="31"/>
        <v>632200</v>
      </c>
    </row>
    <row r="280" spans="1:9" s="45" customFormat="1" ht="16.5" hidden="1">
      <c r="A280" s="584"/>
      <c r="B280" s="779"/>
      <c r="C280" s="782"/>
      <c r="D280" s="846"/>
      <c r="E280" s="782"/>
      <c r="F280" s="893"/>
      <c r="G280" s="774"/>
    </row>
    <row r="281" spans="1:9" s="45" customFormat="1" ht="15.75" hidden="1" thickBot="1">
      <c r="A281" s="584"/>
      <c r="B281" s="592"/>
      <c r="C281" s="114"/>
      <c r="D281" s="115"/>
      <c r="E281" s="116"/>
      <c r="F281" s="117" t="s">
        <v>1100</v>
      </c>
      <c r="G281" s="1109">
        <f>SUM(G268:G280)</f>
        <v>32154314</v>
      </c>
    </row>
    <row r="282" spans="1:9" s="45" customFormat="1" hidden="1">
      <c r="A282" s="584"/>
      <c r="B282" s="592"/>
      <c r="C282" s="140"/>
      <c r="D282" s="23"/>
      <c r="E282" s="107"/>
      <c r="F282" s="25"/>
      <c r="G282" s="1110"/>
    </row>
    <row r="283" spans="1:9" s="45" customFormat="1" ht="15.75" hidden="1" thickBot="1">
      <c r="A283" s="584"/>
      <c r="B283" s="1026"/>
      <c r="C283" s="871"/>
      <c r="D283" s="873"/>
      <c r="E283" s="874"/>
      <c r="F283" s="1331" t="s">
        <v>1024</v>
      </c>
      <c r="G283" s="1108">
        <f>+G281+G266</f>
        <v>75618274</v>
      </c>
    </row>
    <row r="284" spans="1:9" s="45" customFormat="1" ht="15.75" thickBot="1">
      <c r="A284" s="584"/>
      <c r="B284" s="592"/>
      <c r="C284" s="593"/>
      <c r="D284" s="827"/>
      <c r="E284" s="594"/>
      <c r="F284" s="575"/>
      <c r="G284" s="792"/>
    </row>
    <row r="285" spans="1:9" s="45" customFormat="1">
      <c r="A285" s="584"/>
      <c r="B285" s="592">
        <v>9</v>
      </c>
      <c r="C285" s="75" t="s">
        <v>1038</v>
      </c>
      <c r="D285" s="76"/>
      <c r="E285" s="76"/>
      <c r="F285" s="76"/>
      <c r="G285" s="126"/>
    </row>
    <row r="286" spans="1:9" s="45" customFormat="1">
      <c r="A286" s="584"/>
      <c r="B286" s="1026" t="s">
        <v>1590</v>
      </c>
      <c r="C286" s="988" t="s">
        <v>943</v>
      </c>
      <c r="D286" s="820" t="s">
        <v>139</v>
      </c>
      <c r="E286" s="858">
        <v>160</v>
      </c>
      <c r="F286" s="587">
        <v>2640</v>
      </c>
      <c r="G286" s="990">
        <f>+E286*F286</f>
        <v>422400</v>
      </c>
      <c r="H286" s="1026">
        <v>9.1</v>
      </c>
    </row>
    <row r="287" spans="1:9" s="45" customFormat="1">
      <c r="A287" s="584"/>
      <c r="B287" s="1026" t="s">
        <v>1589</v>
      </c>
      <c r="C287" s="988" t="s">
        <v>1582</v>
      </c>
      <c r="D287" s="820" t="s">
        <v>139</v>
      </c>
      <c r="E287" s="858">
        <v>60</v>
      </c>
      <c r="F287" s="587">
        <v>16270</v>
      </c>
      <c r="G287" s="990">
        <f>+E287*F287</f>
        <v>976200</v>
      </c>
      <c r="H287" s="1026"/>
    </row>
    <row r="288" spans="1:9" s="45" customFormat="1">
      <c r="A288" s="584"/>
      <c r="B288" s="1305">
        <v>9.1999999999999993</v>
      </c>
      <c r="C288" s="988" t="s">
        <v>1046</v>
      </c>
      <c r="D288" s="820"/>
      <c r="E288" s="858"/>
      <c r="F288" s="858"/>
      <c r="G288" s="990">
        <f t="shared" ref="G288:G347" si="33">+E288*F288</f>
        <v>0</v>
      </c>
      <c r="H288" s="1305">
        <v>9.1999999999999993</v>
      </c>
    </row>
    <row r="289" spans="1:8" s="45" customFormat="1">
      <c r="A289" s="584"/>
      <c r="B289" s="1026" t="s">
        <v>1048</v>
      </c>
      <c r="C289" s="1035" t="s">
        <v>1584</v>
      </c>
      <c r="D289" s="974" t="s">
        <v>56</v>
      </c>
      <c r="E289" s="967">
        <v>464</v>
      </c>
      <c r="F289" s="968">
        <v>47420</v>
      </c>
      <c r="G289" s="990">
        <f t="shared" si="33"/>
        <v>22002880</v>
      </c>
      <c r="H289" s="1026" t="s">
        <v>1048</v>
      </c>
    </row>
    <row r="290" spans="1:8" s="45" customFormat="1">
      <c r="A290" s="584"/>
      <c r="B290" s="1305">
        <v>9.3000000000000007</v>
      </c>
      <c r="C290" s="1035" t="s">
        <v>1047</v>
      </c>
      <c r="D290" s="974"/>
      <c r="E290" s="967"/>
      <c r="F290" s="968"/>
      <c r="G290" s="990">
        <f t="shared" si="33"/>
        <v>0</v>
      </c>
      <c r="H290" s="1305">
        <v>9.3000000000000007</v>
      </c>
    </row>
    <row r="291" spans="1:8" s="45" customFormat="1" ht="25.5">
      <c r="A291" s="584"/>
      <c r="B291" s="1026" t="s">
        <v>1049</v>
      </c>
      <c r="C291" s="1035" t="s">
        <v>1585</v>
      </c>
      <c r="D291" s="974" t="s">
        <v>139</v>
      </c>
      <c r="E291" s="967">
        <v>13</v>
      </c>
      <c r="F291" s="968">
        <v>312309</v>
      </c>
      <c r="G291" s="990">
        <f t="shared" si="33"/>
        <v>4060017</v>
      </c>
      <c r="H291" s="1026" t="s">
        <v>1049</v>
      </c>
    </row>
    <row r="292" spans="1:8" s="45" customFormat="1">
      <c r="A292" s="584"/>
      <c r="B292" s="1026" t="s">
        <v>1050</v>
      </c>
      <c r="C292" s="1035" t="s">
        <v>1415</v>
      </c>
      <c r="D292" s="974" t="s">
        <v>56</v>
      </c>
      <c r="E292" s="967">
        <v>39</v>
      </c>
      <c r="F292" s="858">
        <v>17220</v>
      </c>
      <c r="G292" s="990">
        <f t="shared" si="33"/>
        <v>671580</v>
      </c>
      <c r="H292" s="1026" t="s">
        <v>1050</v>
      </c>
    </row>
    <row r="293" spans="1:8" s="45" customFormat="1" ht="25.5">
      <c r="A293" s="584"/>
      <c r="B293" s="1026" t="s">
        <v>1051</v>
      </c>
      <c r="C293" s="1035" t="s">
        <v>1586</v>
      </c>
      <c r="D293" s="974" t="s">
        <v>500</v>
      </c>
      <c r="E293" s="967">
        <v>122</v>
      </c>
      <c r="F293" s="1179">
        <v>21960</v>
      </c>
      <c r="G293" s="990">
        <f t="shared" si="33"/>
        <v>2679120</v>
      </c>
      <c r="H293" s="1026" t="s">
        <v>1051</v>
      </c>
    </row>
    <row r="294" spans="1:8" s="45" customFormat="1">
      <c r="A294" s="584"/>
      <c r="B294" s="1026" t="s">
        <v>1052</v>
      </c>
      <c r="C294" s="1035" t="s">
        <v>1587</v>
      </c>
      <c r="D294" s="974" t="s">
        <v>139</v>
      </c>
      <c r="E294" s="967">
        <v>12</v>
      </c>
      <c r="F294" s="968">
        <v>656039</v>
      </c>
      <c r="G294" s="990">
        <f t="shared" si="33"/>
        <v>7872468</v>
      </c>
      <c r="H294" s="1026" t="s">
        <v>1051</v>
      </c>
    </row>
    <row r="295" spans="1:8" s="45" customFormat="1" ht="25.5">
      <c r="A295" s="584"/>
      <c r="B295" s="1026" t="s">
        <v>1053</v>
      </c>
      <c r="C295" s="593" t="s">
        <v>1588</v>
      </c>
      <c r="D295" s="827" t="s">
        <v>139</v>
      </c>
      <c r="E295" s="594">
        <v>5</v>
      </c>
      <c r="F295" s="575">
        <v>640640</v>
      </c>
      <c r="G295" s="774">
        <f t="shared" si="33"/>
        <v>3203200</v>
      </c>
      <c r="H295" s="1026" t="s">
        <v>1053</v>
      </c>
    </row>
    <row r="296" spans="1:8" s="45" customFormat="1" ht="25.5">
      <c r="A296" s="584"/>
      <c r="B296" s="1026" t="s">
        <v>1492</v>
      </c>
      <c r="C296" s="593" t="s">
        <v>1592</v>
      </c>
      <c r="D296" s="827" t="s">
        <v>139</v>
      </c>
      <c r="E296" s="594">
        <v>20</v>
      </c>
      <c r="F296" s="1179">
        <v>234830</v>
      </c>
      <c r="G296" s="774">
        <f t="shared" si="33"/>
        <v>4696600</v>
      </c>
    </row>
    <row r="297" spans="1:8" s="45" customFormat="1">
      <c r="A297" s="584"/>
      <c r="B297" s="1026" t="s">
        <v>1591</v>
      </c>
      <c r="C297" s="593" t="s">
        <v>1583</v>
      </c>
      <c r="D297" s="827" t="s">
        <v>139</v>
      </c>
      <c r="E297" s="594">
        <v>55</v>
      </c>
      <c r="F297" s="1179">
        <v>36890</v>
      </c>
      <c r="G297" s="774">
        <f t="shared" si="33"/>
        <v>2028950</v>
      </c>
    </row>
    <row r="298" spans="1:8" s="45" customFormat="1">
      <c r="A298" s="584"/>
      <c r="B298" s="592"/>
      <c r="C298" s="593"/>
      <c r="D298" s="827"/>
      <c r="E298" s="594"/>
      <c r="F298" s="575"/>
      <c r="G298" s="774"/>
    </row>
    <row r="299" spans="1:8" s="45" customFormat="1">
      <c r="A299" s="584"/>
      <c r="B299" s="592"/>
      <c r="C299" s="593"/>
      <c r="D299" s="827"/>
      <c r="E299" s="594"/>
      <c r="F299" s="575"/>
      <c r="G299" s="774"/>
    </row>
    <row r="300" spans="1:8" s="45" customFormat="1">
      <c r="A300" s="584"/>
      <c r="B300" s="592"/>
      <c r="C300" s="593" t="s">
        <v>1054</v>
      </c>
      <c r="D300" s="827"/>
      <c r="E300" s="594"/>
      <c r="F300" s="575"/>
      <c r="G300" s="774">
        <f t="shared" si="33"/>
        <v>0</v>
      </c>
    </row>
    <row r="301" spans="1:8" s="45" customFormat="1">
      <c r="A301" s="584"/>
      <c r="B301" s="1026" t="s">
        <v>1055</v>
      </c>
      <c r="C301" s="102" t="s">
        <v>522</v>
      </c>
      <c r="D301" s="777" t="s">
        <v>142</v>
      </c>
      <c r="E301" s="780">
        <v>3360</v>
      </c>
      <c r="F301" s="587">
        <v>3250</v>
      </c>
      <c r="G301" s="774">
        <f t="shared" si="33"/>
        <v>10920000</v>
      </c>
    </row>
    <row r="302" spans="1:8" s="45" customFormat="1">
      <c r="A302" s="584"/>
      <c r="B302" s="1026" t="s">
        <v>1056</v>
      </c>
      <c r="C302" s="102" t="s">
        <v>1044</v>
      </c>
      <c r="D302" s="777" t="s">
        <v>142</v>
      </c>
      <c r="E302" s="780">
        <v>2160</v>
      </c>
      <c r="F302" s="587">
        <v>3250</v>
      </c>
      <c r="G302" s="774">
        <f t="shared" si="33"/>
        <v>7020000</v>
      </c>
    </row>
    <row r="303" spans="1:8" s="45" customFormat="1">
      <c r="A303" s="584"/>
      <c r="B303" s="592">
        <v>9.5</v>
      </c>
      <c r="C303" s="1296" t="s">
        <v>64</v>
      </c>
      <c r="D303" s="1009"/>
      <c r="E303" s="1298"/>
      <c r="F303" s="1299"/>
      <c r="G303" s="1300">
        <f t="shared" si="33"/>
        <v>0</v>
      </c>
    </row>
    <row r="304" spans="1:8" s="45" customFormat="1" ht="25.5">
      <c r="A304" s="584"/>
      <c r="B304" s="1358" t="s">
        <v>1447</v>
      </c>
      <c r="C304" s="1297" t="s">
        <v>1530</v>
      </c>
      <c r="D304" s="1020"/>
      <c r="E304" s="1281"/>
      <c r="F304" s="1282"/>
      <c r="G304" s="1282"/>
    </row>
    <row r="305" spans="1:10" s="45" customFormat="1">
      <c r="A305" s="584"/>
      <c r="B305" s="1358" t="s">
        <v>1542</v>
      </c>
      <c r="C305" s="1297" t="s">
        <v>1531</v>
      </c>
      <c r="D305" s="1301" t="s">
        <v>483</v>
      </c>
      <c r="E305" s="1302">
        <v>15</v>
      </c>
      <c r="F305" s="1303">
        <v>26670</v>
      </c>
      <c r="G305" s="1282">
        <f>+ROUND(E305*F305,0)</f>
        <v>400050</v>
      </c>
    </row>
    <row r="306" spans="1:10" s="45" customFormat="1">
      <c r="A306" s="584"/>
      <c r="B306" s="1358" t="s">
        <v>1543</v>
      </c>
      <c r="C306" s="1297" t="s">
        <v>1532</v>
      </c>
      <c r="D306" s="1301" t="s">
        <v>483</v>
      </c>
      <c r="E306" s="1302">
        <f>5.1+11+11+10.6</f>
        <v>37.700000000000003</v>
      </c>
      <c r="F306" s="1303">
        <v>28610</v>
      </c>
      <c r="G306" s="1282">
        <f>+ROUND(E306*F306,0)</f>
        <v>1078597</v>
      </c>
    </row>
    <row r="307" spans="1:10" s="45" customFormat="1">
      <c r="A307" s="584"/>
      <c r="B307" s="1358" t="s">
        <v>1544</v>
      </c>
      <c r="C307" s="1297" t="s">
        <v>1533</v>
      </c>
      <c r="D307" s="1301" t="s">
        <v>483</v>
      </c>
      <c r="E307" s="1302">
        <f>6.2+6.2</f>
        <v>12.4</v>
      </c>
      <c r="F307" s="1303">
        <v>37320</v>
      </c>
      <c r="G307" s="1282">
        <f>+ROUND(E307*F307,0)</f>
        <v>462768</v>
      </c>
    </row>
    <row r="308" spans="1:10" s="45" customFormat="1">
      <c r="A308" s="584"/>
      <c r="B308" s="1358" t="s">
        <v>1545</v>
      </c>
      <c r="C308" s="1297" t="s">
        <v>1534</v>
      </c>
      <c r="D308" s="1301" t="s">
        <v>483</v>
      </c>
      <c r="E308" s="1302">
        <f>30+72+21.9+15</f>
        <v>138.9</v>
      </c>
      <c r="F308" s="1303">
        <v>52010</v>
      </c>
      <c r="G308" s="1282">
        <f>+ROUND(E308*F308,0)</f>
        <v>7224189</v>
      </c>
    </row>
    <row r="309" spans="1:10" s="45" customFormat="1">
      <c r="A309" s="584"/>
      <c r="B309" s="1358" t="s">
        <v>1546</v>
      </c>
      <c r="C309" s="1297" t="s">
        <v>1535</v>
      </c>
      <c r="D309" s="1301" t="s">
        <v>483</v>
      </c>
      <c r="E309" s="1302">
        <v>96</v>
      </c>
      <c r="F309" s="1303">
        <v>5100</v>
      </c>
      <c r="G309" s="1282">
        <f>+ROUND(E309*F309,0)</f>
        <v>489600</v>
      </c>
    </row>
    <row r="310" spans="1:10" s="45" customFormat="1">
      <c r="A310" s="584"/>
      <c r="B310" s="1358" t="s">
        <v>1448</v>
      </c>
      <c r="C310" s="1297" t="s">
        <v>1593</v>
      </c>
      <c r="D310" s="1301"/>
      <c r="E310" s="921"/>
      <c r="F310" s="921"/>
      <c r="G310" s="921"/>
    </row>
    <row r="311" spans="1:10" s="45" customFormat="1">
      <c r="A311" s="584"/>
      <c r="B311" s="1358" t="s">
        <v>1493</v>
      </c>
      <c r="C311" s="1297" t="s">
        <v>1536</v>
      </c>
      <c r="D311" s="1301" t="s">
        <v>483</v>
      </c>
      <c r="E311" s="1302">
        <v>13</v>
      </c>
      <c r="F311" s="1303">
        <v>28670</v>
      </c>
      <c r="G311" s="1282">
        <f>+E311*F311</f>
        <v>372710</v>
      </c>
    </row>
    <row r="312" spans="1:10" s="45" customFormat="1">
      <c r="A312" s="584"/>
      <c r="B312" s="1358" t="s">
        <v>1494</v>
      </c>
      <c r="C312" s="1297" t="s">
        <v>1537</v>
      </c>
      <c r="D312" s="1301" t="s">
        <v>43</v>
      </c>
      <c r="E312" s="1302">
        <v>192.5</v>
      </c>
      <c r="F312" s="1303">
        <v>26250</v>
      </c>
      <c r="G312" s="1282">
        <f t="shared" ref="G312:G316" si="34">+E312*F312</f>
        <v>5053125</v>
      </c>
    </row>
    <row r="313" spans="1:10" s="45" customFormat="1">
      <c r="A313" s="584"/>
      <c r="B313" s="1358" t="s">
        <v>1495</v>
      </c>
      <c r="C313" s="1297" t="s">
        <v>1538</v>
      </c>
      <c r="D313" s="1301" t="s">
        <v>1541</v>
      </c>
      <c r="E313" s="1302">
        <v>69</v>
      </c>
      <c r="F313" s="1303">
        <v>15000</v>
      </c>
      <c r="G313" s="1282">
        <f t="shared" si="34"/>
        <v>1035000</v>
      </c>
    </row>
    <row r="314" spans="1:10" s="45" customFormat="1">
      <c r="A314" s="584"/>
      <c r="B314" s="1358" t="s">
        <v>1496</v>
      </c>
      <c r="C314" s="1297" t="s">
        <v>1539</v>
      </c>
      <c r="D314" s="1301" t="s">
        <v>1541</v>
      </c>
      <c r="E314" s="1302">
        <v>308</v>
      </c>
      <c r="F314" s="1303">
        <v>24050</v>
      </c>
      <c r="G314" s="1282">
        <f t="shared" si="34"/>
        <v>7407400</v>
      </c>
    </row>
    <row r="315" spans="1:10" s="45" customFormat="1">
      <c r="A315" s="584"/>
      <c r="B315" s="1358" t="s">
        <v>1497</v>
      </c>
      <c r="C315" s="1297" t="s">
        <v>1540</v>
      </c>
      <c r="D315" s="1301" t="s">
        <v>1541</v>
      </c>
      <c r="E315" s="1302">
        <v>414</v>
      </c>
      <c r="F315" s="1303">
        <v>31970</v>
      </c>
      <c r="G315" s="1282">
        <f t="shared" si="34"/>
        <v>13235580</v>
      </c>
      <c r="J315">
        <v>307.541</v>
      </c>
    </row>
    <row r="316" spans="1:10" s="45" customFormat="1">
      <c r="A316" s="584"/>
      <c r="B316" s="592"/>
      <c r="C316" s="1355" t="s">
        <v>1594</v>
      </c>
      <c r="D316" s="1356" t="s">
        <v>56</v>
      </c>
      <c r="E316" s="1357">
        <v>142</v>
      </c>
      <c r="F316" s="1354">
        <v>35879</v>
      </c>
      <c r="G316" s="95">
        <f t="shared" si="34"/>
        <v>5094818</v>
      </c>
      <c r="J316" s="45">
        <f>+J315/12</f>
        <v>25.628416666666666</v>
      </c>
    </row>
    <row r="317" spans="1:10" s="45" customFormat="1">
      <c r="A317" s="584"/>
      <c r="B317" s="1305">
        <v>9.6</v>
      </c>
      <c r="C317" s="1035" t="s">
        <v>1446</v>
      </c>
      <c r="D317" s="974" t="s">
        <v>500</v>
      </c>
      <c r="E317" s="967">
        <v>57.4</v>
      </c>
      <c r="F317" s="968">
        <v>43880</v>
      </c>
      <c r="G317" s="990">
        <f t="shared" si="33"/>
        <v>2518712</v>
      </c>
      <c r="J317" s="45">
        <f>+J316*1.4</f>
        <v>35.879783333333329</v>
      </c>
    </row>
    <row r="318" spans="1:10" s="45" customFormat="1" ht="25.5">
      <c r="A318" s="584"/>
      <c r="B318" s="1026" t="s">
        <v>1072</v>
      </c>
      <c r="C318" s="1035" t="s">
        <v>1419</v>
      </c>
      <c r="D318" s="974" t="s">
        <v>500</v>
      </c>
      <c r="E318" s="967">
        <v>33.6</v>
      </c>
      <c r="F318" s="968">
        <v>34480</v>
      </c>
      <c r="G318" s="990">
        <f t="shared" ref="G318" si="35">+E318*F318</f>
        <v>1158528</v>
      </c>
    </row>
    <row r="319" spans="1:10" s="45" customFormat="1">
      <c r="A319" s="584"/>
      <c r="B319" s="1358" t="s">
        <v>1074</v>
      </c>
      <c r="C319" s="1035" t="s">
        <v>1596</v>
      </c>
      <c r="D319" s="974" t="s">
        <v>500</v>
      </c>
      <c r="E319" s="967">
        <v>36</v>
      </c>
      <c r="F319" s="968">
        <v>31990</v>
      </c>
      <c r="G319" s="990">
        <f t="shared" si="33"/>
        <v>1151640</v>
      </c>
      <c r="J319" s="45">
        <f>+J317*1000</f>
        <v>35879.783333333326</v>
      </c>
    </row>
    <row r="320" spans="1:10" s="45" customFormat="1">
      <c r="A320" s="584"/>
      <c r="B320" s="1358">
        <v>9.8000000000000007</v>
      </c>
      <c r="C320" s="1035" t="s">
        <v>1595</v>
      </c>
      <c r="D320" s="974" t="s">
        <v>56</v>
      </c>
      <c r="E320" s="967"/>
      <c r="F320" s="968">
        <v>36520</v>
      </c>
      <c r="G320" s="990">
        <f t="shared" si="33"/>
        <v>0</v>
      </c>
    </row>
    <row r="321" spans="1:7" s="45" customFormat="1">
      <c r="A321" s="584"/>
      <c r="B321" s="1305">
        <v>9.9</v>
      </c>
      <c r="C321" s="1035" t="s">
        <v>1060</v>
      </c>
      <c r="D321" s="974"/>
      <c r="E321" s="967"/>
      <c r="F321" s="968"/>
      <c r="G321" s="990">
        <f t="shared" si="33"/>
        <v>0</v>
      </c>
    </row>
    <row r="322" spans="1:7" s="45" customFormat="1" ht="25.5">
      <c r="A322" s="584"/>
      <c r="B322" s="1359" t="s">
        <v>1089</v>
      </c>
      <c r="C322" s="1035" t="s">
        <v>1061</v>
      </c>
      <c r="D322" s="974" t="s">
        <v>56</v>
      </c>
      <c r="E322" s="967">
        <v>36</v>
      </c>
      <c r="F322" s="968">
        <v>17130</v>
      </c>
      <c r="G322" s="990">
        <f t="shared" si="33"/>
        <v>616680</v>
      </c>
    </row>
    <row r="323" spans="1:7" s="45" customFormat="1">
      <c r="A323" s="584"/>
      <c r="B323" s="1359" t="s">
        <v>1090</v>
      </c>
      <c r="C323" s="1035" t="s">
        <v>1062</v>
      </c>
      <c r="D323" s="974" t="s">
        <v>56</v>
      </c>
      <c r="E323" s="967">
        <v>120</v>
      </c>
      <c r="F323" s="968">
        <v>34392</v>
      </c>
      <c r="G323" s="990">
        <f t="shared" si="33"/>
        <v>4127040</v>
      </c>
    </row>
    <row r="324" spans="1:7" s="45" customFormat="1" ht="25.5">
      <c r="A324" s="584"/>
      <c r="B324" s="1359" t="s">
        <v>1093</v>
      </c>
      <c r="C324" s="1035" t="s">
        <v>1063</v>
      </c>
      <c r="D324" s="974" t="s">
        <v>56</v>
      </c>
      <c r="E324" s="967">
        <v>11</v>
      </c>
      <c r="F324" s="968">
        <v>25070</v>
      </c>
      <c r="G324" s="990">
        <f t="shared" si="33"/>
        <v>275770</v>
      </c>
    </row>
    <row r="325" spans="1:7" s="45" customFormat="1" ht="25.5">
      <c r="A325" s="584"/>
      <c r="B325" s="1360" t="s">
        <v>1095</v>
      </c>
      <c r="C325" s="1035" t="s">
        <v>1597</v>
      </c>
      <c r="D325" s="974" t="s">
        <v>56</v>
      </c>
      <c r="E325" s="967">
        <v>59</v>
      </c>
      <c r="F325" s="968">
        <v>40890</v>
      </c>
      <c r="G325" s="990">
        <f t="shared" ref="G325" si="36">+E325*F325</f>
        <v>2412510</v>
      </c>
    </row>
    <row r="326" spans="1:7" s="45" customFormat="1">
      <c r="A326" s="584"/>
      <c r="B326" s="1306">
        <v>9.11</v>
      </c>
      <c r="C326" s="1035" t="s">
        <v>1064</v>
      </c>
      <c r="D326" s="974" t="s">
        <v>56</v>
      </c>
      <c r="E326" s="967">
        <v>102</v>
      </c>
      <c r="F326" s="968">
        <v>44727</v>
      </c>
      <c r="G326" s="990">
        <f t="shared" si="33"/>
        <v>4562154</v>
      </c>
    </row>
    <row r="327" spans="1:7" s="45" customFormat="1">
      <c r="A327" s="584"/>
      <c r="B327" s="1306">
        <v>9.1199999999999992</v>
      </c>
      <c r="C327" s="1035" t="s">
        <v>1065</v>
      </c>
      <c r="D327" s="974" t="s">
        <v>56</v>
      </c>
      <c r="E327" s="967">
        <v>8</v>
      </c>
      <c r="F327" s="968">
        <v>90513</v>
      </c>
      <c r="G327" s="990">
        <f t="shared" si="33"/>
        <v>724104</v>
      </c>
    </row>
    <row r="328" spans="1:7" s="45" customFormat="1">
      <c r="A328" s="584"/>
      <c r="B328" s="1306"/>
      <c r="C328" s="1035"/>
      <c r="D328" s="974"/>
      <c r="E328" s="967"/>
      <c r="F328" s="968"/>
      <c r="G328" s="990"/>
    </row>
    <row r="329" spans="1:7" s="45" customFormat="1">
      <c r="A329" s="584"/>
      <c r="B329" s="1306">
        <v>9.1300000000000008</v>
      </c>
      <c r="C329" s="1035" t="s">
        <v>1071</v>
      </c>
      <c r="D329" s="974"/>
      <c r="E329" s="967"/>
      <c r="F329" s="968"/>
      <c r="G329" s="990">
        <f t="shared" si="33"/>
        <v>0</v>
      </c>
    </row>
    <row r="330" spans="1:7" s="45" customFormat="1" ht="25.5">
      <c r="A330" s="584"/>
      <c r="B330" s="1306" t="s">
        <v>1454</v>
      </c>
      <c r="C330" s="1035" t="s">
        <v>1073</v>
      </c>
      <c r="D330" s="974" t="s">
        <v>22</v>
      </c>
      <c r="E330" s="967">
        <v>1</v>
      </c>
      <c r="F330" s="968">
        <v>618839</v>
      </c>
      <c r="G330" s="990">
        <f t="shared" si="33"/>
        <v>618839</v>
      </c>
    </row>
    <row r="331" spans="1:7" s="45" customFormat="1" ht="25.5">
      <c r="A331" s="584"/>
      <c r="B331" s="1306" t="s">
        <v>1455</v>
      </c>
      <c r="C331" s="1035" t="s">
        <v>1078</v>
      </c>
      <c r="D331" s="974" t="s">
        <v>56</v>
      </c>
      <c r="E331" s="967">
        <v>22</v>
      </c>
      <c r="F331" s="968">
        <v>138273</v>
      </c>
      <c r="G331" s="990">
        <f t="shared" si="33"/>
        <v>3042006</v>
      </c>
    </row>
    <row r="332" spans="1:7" s="45" customFormat="1">
      <c r="A332" s="584"/>
      <c r="B332" s="1306" t="s">
        <v>1456</v>
      </c>
      <c r="C332" s="1035" t="s">
        <v>1080</v>
      </c>
      <c r="D332" s="974" t="s">
        <v>500</v>
      </c>
      <c r="E332" s="967">
        <v>9</v>
      </c>
      <c r="F332" s="968">
        <v>144255</v>
      </c>
      <c r="G332" s="990">
        <f t="shared" si="33"/>
        <v>1298295</v>
      </c>
    </row>
    <row r="333" spans="1:7" s="45" customFormat="1">
      <c r="A333" s="584"/>
      <c r="B333" s="1306" t="s">
        <v>1457</v>
      </c>
      <c r="C333" s="1035" t="s">
        <v>1469</v>
      </c>
      <c r="D333" s="974" t="s">
        <v>22</v>
      </c>
      <c r="E333" s="967">
        <v>1</v>
      </c>
      <c r="F333" s="968">
        <v>856320</v>
      </c>
      <c r="G333" s="990">
        <f t="shared" si="33"/>
        <v>856320</v>
      </c>
    </row>
    <row r="334" spans="1:7" s="45" customFormat="1">
      <c r="A334" s="584"/>
      <c r="B334" s="1306" t="s">
        <v>1458</v>
      </c>
      <c r="C334" s="1035" t="s">
        <v>1470</v>
      </c>
      <c r="D334" s="974" t="s">
        <v>139</v>
      </c>
      <c r="E334" s="967">
        <v>0.7</v>
      </c>
      <c r="F334" s="968">
        <v>670050</v>
      </c>
      <c r="G334" s="990">
        <f t="shared" si="33"/>
        <v>469034.99999999994</v>
      </c>
    </row>
    <row r="335" spans="1:7" s="45" customFormat="1">
      <c r="A335" s="584"/>
      <c r="B335" s="1306" t="s">
        <v>1458</v>
      </c>
      <c r="C335" s="1035" t="s">
        <v>1081</v>
      </c>
      <c r="D335" s="974" t="s">
        <v>22</v>
      </c>
      <c r="E335" s="967">
        <v>4</v>
      </c>
      <c r="F335" s="968">
        <v>273344</v>
      </c>
      <c r="G335" s="990">
        <f t="shared" si="33"/>
        <v>1093376</v>
      </c>
    </row>
    <row r="336" spans="1:7" s="45" customFormat="1">
      <c r="A336" s="105"/>
      <c r="B336" s="1306">
        <v>9.14</v>
      </c>
      <c r="C336" s="1035" t="s">
        <v>1083</v>
      </c>
      <c r="D336" s="974"/>
      <c r="E336" s="967"/>
      <c r="F336" s="968"/>
      <c r="G336" s="990">
        <f t="shared" si="33"/>
        <v>0</v>
      </c>
    </row>
    <row r="337" spans="1:9" s="45" customFormat="1" ht="26.25" thickBot="1">
      <c r="A337" s="112" t="s">
        <v>46</v>
      </c>
      <c r="B337" s="1306" t="s">
        <v>1459</v>
      </c>
      <c r="C337" s="1035" t="s">
        <v>1084</v>
      </c>
      <c r="D337" s="974" t="s">
        <v>22</v>
      </c>
      <c r="E337" s="967">
        <v>7</v>
      </c>
      <c r="F337" s="968">
        <v>431569</v>
      </c>
      <c r="G337" s="990">
        <f t="shared" si="33"/>
        <v>3020983</v>
      </c>
    </row>
    <row r="338" spans="1:9" s="45" customFormat="1">
      <c r="A338" s="124"/>
      <c r="B338" s="1306">
        <v>9.15</v>
      </c>
      <c r="C338" s="1035" t="s">
        <v>1085</v>
      </c>
      <c r="D338" s="974"/>
      <c r="E338" s="967"/>
      <c r="F338" s="968"/>
      <c r="G338" s="990">
        <f t="shared" si="33"/>
        <v>0</v>
      </c>
    </row>
    <row r="339" spans="1:9" s="156" customFormat="1" ht="25.5">
      <c r="A339" s="144" t="s">
        <v>93</v>
      </c>
      <c r="B339" s="1306" t="s">
        <v>1460</v>
      </c>
      <c r="C339" s="977" t="s">
        <v>1086</v>
      </c>
      <c r="D339" s="974" t="s">
        <v>56</v>
      </c>
      <c r="E339" s="967"/>
      <c r="F339" s="968">
        <v>5550</v>
      </c>
      <c r="G339" s="990">
        <f t="shared" si="33"/>
        <v>0</v>
      </c>
    </row>
    <row r="340" spans="1:9" s="45" customFormat="1" ht="27" customHeight="1">
      <c r="A340" s="66"/>
      <c r="B340" s="1306" t="s">
        <v>1461</v>
      </c>
      <c r="C340" s="977" t="s">
        <v>1087</v>
      </c>
      <c r="D340" s="974" t="s">
        <v>56</v>
      </c>
      <c r="E340" s="967">
        <v>464</v>
      </c>
      <c r="F340" s="968">
        <v>10638</v>
      </c>
      <c r="G340" s="990">
        <f t="shared" si="33"/>
        <v>4936032</v>
      </c>
    </row>
    <row r="341" spans="1:9" s="45" customFormat="1">
      <c r="A341" s="169" t="s">
        <v>97</v>
      </c>
      <c r="B341" s="1306">
        <v>9.16</v>
      </c>
      <c r="C341" s="977" t="s">
        <v>1092</v>
      </c>
      <c r="D341" s="974"/>
      <c r="E341" s="967"/>
      <c r="F341" s="968"/>
      <c r="G341" s="990">
        <f t="shared" si="33"/>
        <v>0</v>
      </c>
    </row>
    <row r="342" spans="1:9" s="45" customFormat="1" ht="25.5">
      <c r="A342" s="169" t="s">
        <v>99</v>
      </c>
      <c r="B342" s="1306" t="s">
        <v>1468</v>
      </c>
      <c r="C342" s="977" t="s">
        <v>1094</v>
      </c>
      <c r="D342" s="974" t="s">
        <v>56</v>
      </c>
      <c r="E342" s="967"/>
      <c r="F342" s="968">
        <v>61850</v>
      </c>
      <c r="G342" s="990">
        <f t="shared" si="33"/>
        <v>0</v>
      </c>
    </row>
    <row r="343" spans="1:9" s="45" customFormat="1">
      <c r="A343" s="185" t="s">
        <v>101</v>
      </c>
      <c r="B343" s="1306" t="s">
        <v>1463</v>
      </c>
      <c r="C343" s="977" t="s">
        <v>1112</v>
      </c>
      <c r="D343" s="974" t="s">
        <v>56</v>
      </c>
      <c r="E343" s="967">
        <f>93+20</f>
        <v>113</v>
      </c>
      <c r="F343" s="968">
        <v>38048</v>
      </c>
      <c r="G343" s="990">
        <f t="shared" si="33"/>
        <v>4299424</v>
      </c>
    </row>
    <row r="344" spans="1:9" s="45" customFormat="1">
      <c r="A344" s="185"/>
      <c r="B344" s="1306" t="s">
        <v>1464</v>
      </c>
      <c r="C344" s="988" t="s">
        <v>984</v>
      </c>
      <c r="D344" s="989" t="s">
        <v>139</v>
      </c>
      <c r="E344" s="969">
        <f>+E343*0.2</f>
        <v>22.6</v>
      </c>
      <c r="F344" s="964">
        <v>63050</v>
      </c>
      <c r="G344" s="990">
        <f t="shared" si="33"/>
        <v>1424930</v>
      </c>
    </row>
    <row r="345" spans="1:9" s="45" customFormat="1" ht="18.75" customHeight="1">
      <c r="A345" s="185" t="s">
        <v>103</v>
      </c>
      <c r="B345" s="1306" t="s">
        <v>1465</v>
      </c>
      <c r="C345" s="977" t="s">
        <v>1097</v>
      </c>
      <c r="D345" s="974" t="s">
        <v>56</v>
      </c>
      <c r="E345" s="1307">
        <v>140.46672720579602</v>
      </c>
      <c r="F345" s="968">
        <v>7620</v>
      </c>
      <c r="G345" s="990">
        <f t="shared" si="33"/>
        <v>1070356.4613081657</v>
      </c>
      <c r="I345" s="45">
        <v>7620</v>
      </c>
    </row>
    <row r="346" spans="1:9" s="45" customFormat="1">
      <c r="A346" s="185"/>
      <c r="B346" s="884" t="s">
        <v>1466</v>
      </c>
      <c r="C346" s="887" t="s">
        <v>1109</v>
      </c>
      <c r="D346" s="827"/>
      <c r="E346" s="594"/>
      <c r="F346" s="575"/>
      <c r="G346" s="774">
        <f t="shared" si="33"/>
        <v>0</v>
      </c>
    </row>
    <row r="347" spans="1:9" s="45" customFormat="1" ht="51">
      <c r="A347" s="185"/>
      <c r="B347" s="884" t="s">
        <v>1467</v>
      </c>
      <c r="C347" s="897" t="s">
        <v>1111</v>
      </c>
      <c r="D347" s="827" t="s">
        <v>22</v>
      </c>
      <c r="E347" s="594">
        <v>1</v>
      </c>
      <c r="F347" s="575">
        <f>2739900*1.3</f>
        <v>3561870</v>
      </c>
      <c r="G347" s="774">
        <f t="shared" si="33"/>
        <v>3561870</v>
      </c>
    </row>
    <row r="348" spans="1:9" s="45" customFormat="1" ht="15.75" customHeight="1" thickBot="1">
      <c r="A348" s="185"/>
      <c r="B348" s="884"/>
      <c r="C348" s="871"/>
      <c r="D348" s="873"/>
      <c r="E348" s="874"/>
      <c r="F348" s="1331" t="s">
        <v>1098</v>
      </c>
      <c r="G348" s="1004">
        <f>SUM(G286:G347)</f>
        <v>151645856.46130815</v>
      </c>
    </row>
    <row r="349" spans="1:9" s="45" customFormat="1" ht="15.75" thickBot="1">
      <c r="A349" s="185"/>
      <c r="B349" s="884"/>
      <c r="C349" s="887"/>
      <c r="D349" s="827"/>
      <c r="E349" s="594"/>
      <c r="F349" s="575"/>
      <c r="G349" s="792">
        <f t="shared" ref="G349" si="37">+E349*F349</f>
        <v>0</v>
      </c>
    </row>
    <row r="350" spans="1:9" s="45" customFormat="1">
      <c r="A350" s="185"/>
      <c r="B350" s="884"/>
      <c r="C350" s="75" t="s">
        <v>1136</v>
      </c>
      <c r="D350" s="76"/>
      <c r="E350" s="76"/>
      <c r="F350" s="76"/>
      <c r="G350" s="126"/>
    </row>
    <row r="351" spans="1:9" s="45" customFormat="1">
      <c r="A351" s="185"/>
      <c r="B351" s="884"/>
      <c r="C351" s="911" t="s">
        <v>1137</v>
      </c>
      <c r="D351" s="905"/>
      <c r="E351" s="905"/>
      <c r="F351" s="905"/>
      <c r="G351" s="906"/>
    </row>
    <row r="352" spans="1:9" s="45" customFormat="1">
      <c r="A352" s="185"/>
      <c r="B352" s="1277"/>
      <c r="C352" s="1183" t="s">
        <v>1115</v>
      </c>
      <c r="D352" s="914" t="s">
        <v>1138</v>
      </c>
      <c r="E352" s="930">
        <v>4</v>
      </c>
      <c r="F352" s="915">
        <v>664280</v>
      </c>
      <c r="G352" s="1279">
        <f t="shared" ref="G352:G415" si="38">+E352*F352</f>
        <v>2657120</v>
      </c>
    </row>
    <row r="353" spans="1:7" s="45" customFormat="1" ht="30">
      <c r="A353" s="185"/>
      <c r="B353" s="1277"/>
      <c r="C353" s="907" t="s">
        <v>1116</v>
      </c>
      <c r="D353" s="912" t="s">
        <v>1138</v>
      </c>
      <c r="E353" s="931">
        <v>8</v>
      </c>
      <c r="F353" s="922">
        <v>250000</v>
      </c>
      <c r="G353" s="1279">
        <f t="shared" si="38"/>
        <v>2000000</v>
      </c>
    </row>
    <row r="354" spans="1:7" s="45" customFormat="1" ht="30">
      <c r="A354" s="185"/>
      <c r="B354" s="1277"/>
      <c r="C354" s="907" t="s">
        <v>1117</v>
      </c>
      <c r="D354" s="912" t="s">
        <v>1138</v>
      </c>
      <c r="E354" s="931">
        <v>8</v>
      </c>
      <c r="F354" s="922">
        <v>45000</v>
      </c>
      <c r="G354" s="1279">
        <f t="shared" si="38"/>
        <v>360000</v>
      </c>
    </row>
    <row r="355" spans="1:7" s="45" customFormat="1" ht="30">
      <c r="A355" s="185"/>
      <c r="B355" s="1278" t="s">
        <v>1145</v>
      </c>
      <c r="C355" s="907" t="s">
        <v>1118</v>
      </c>
      <c r="D355" s="912" t="s">
        <v>1138</v>
      </c>
      <c r="E355" s="931">
        <v>4</v>
      </c>
      <c r="F355" s="922">
        <v>40000</v>
      </c>
      <c r="G355" s="1279">
        <f t="shared" si="38"/>
        <v>160000</v>
      </c>
    </row>
    <row r="356" spans="1:7" s="45" customFormat="1">
      <c r="A356" s="185"/>
      <c r="B356" s="1278" t="s">
        <v>1146</v>
      </c>
      <c r="C356" s="907" t="s">
        <v>1119</v>
      </c>
      <c r="D356" s="912" t="s">
        <v>1138</v>
      </c>
      <c r="E356" s="931">
        <v>4</v>
      </c>
      <c r="F356" s="922">
        <v>8000</v>
      </c>
      <c r="G356" s="1279">
        <f t="shared" si="38"/>
        <v>32000</v>
      </c>
    </row>
    <row r="357" spans="1:7" s="45" customFormat="1">
      <c r="A357" s="185"/>
      <c r="B357" s="1278" t="s">
        <v>1147</v>
      </c>
      <c r="C357" s="908" t="s">
        <v>1120</v>
      </c>
      <c r="D357" s="912" t="s">
        <v>1138</v>
      </c>
      <c r="E357" s="931">
        <v>28</v>
      </c>
      <c r="F357" s="922">
        <v>500</v>
      </c>
      <c r="G357" s="1279">
        <f t="shared" si="38"/>
        <v>14000</v>
      </c>
    </row>
    <row r="358" spans="1:7" s="45" customFormat="1">
      <c r="A358" s="185"/>
      <c r="B358" s="1278" t="s">
        <v>1148</v>
      </c>
      <c r="C358" s="908" t="s">
        <v>1121</v>
      </c>
      <c r="D358" s="912" t="s">
        <v>1138</v>
      </c>
      <c r="E358" s="931">
        <v>16</v>
      </c>
      <c r="F358" s="922">
        <v>2000</v>
      </c>
      <c r="G358" s="1279">
        <f t="shared" si="38"/>
        <v>32000</v>
      </c>
    </row>
    <row r="359" spans="1:7" s="45" customFormat="1" ht="30">
      <c r="A359" s="185"/>
      <c r="B359" s="1278" t="s">
        <v>1149</v>
      </c>
      <c r="C359" s="908" t="s">
        <v>1122</v>
      </c>
      <c r="D359" s="912" t="s">
        <v>1138</v>
      </c>
      <c r="E359" s="931">
        <v>6</v>
      </c>
      <c r="F359" s="922">
        <v>4800</v>
      </c>
      <c r="G359" s="1279">
        <f t="shared" si="38"/>
        <v>28800</v>
      </c>
    </row>
    <row r="360" spans="1:7" s="45" customFormat="1">
      <c r="A360" s="185"/>
      <c r="B360" s="1278" t="s">
        <v>1150</v>
      </c>
      <c r="C360" s="908" t="s">
        <v>1123</v>
      </c>
      <c r="D360" s="912" t="s">
        <v>1138</v>
      </c>
      <c r="E360" s="931">
        <v>5</v>
      </c>
      <c r="F360" s="922">
        <v>15000</v>
      </c>
      <c r="G360" s="1279">
        <f t="shared" si="38"/>
        <v>75000</v>
      </c>
    </row>
    <row r="361" spans="1:7" s="45" customFormat="1" ht="30">
      <c r="A361" s="185"/>
      <c r="B361" s="1278" t="s">
        <v>1151</v>
      </c>
      <c r="C361" s="908" t="s">
        <v>1124</v>
      </c>
      <c r="D361" s="912" t="s">
        <v>1138</v>
      </c>
      <c r="E361" s="931">
        <v>5</v>
      </c>
      <c r="F361" s="922">
        <v>1000</v>
      </c>
      <c r="G361" s="1279">
        <f t="shared" si="38"/>
        <v>5000</v>
      </c>
    </row>
    <row r="362" spans="1:7" s="45" customFormat="1">
      <c r="A362" s="185"/>
      <c r="B362" s="1278" t="s">
        <v>1152</v>
      </c>
      <c r="C362" s="907" t="s">
        <v>1125</v>
      </c>
      <c r="D362" s="912" t="s">
        <v>1138</v>
      </c>
      <c r="E362" s="931">
        <v>10</v>
      </c>
      <c r="F362" s="922">
        <v>20000</v>
      </c>
      <c r="G362" s="1279">
        <f t="shared" si="38"/>
        <v>200000</v>
      </c>
    </row>
    <row r="363" spans="1:7" s="45" customFormat="1">
      <c r="A363" s="185"/>
      <c r="B363" s="1278" t="s">
        <v>1153</v>
      </c>
      <c r="C363" s="907" t="s">
        <v>1126</v>
      </c>
      <c r="D363" s="912" t="s">
        <v>1138</v>
      </c>
      <c r="E363" s="931">
        <v>4</v>
      </c>
      <c r="F363" s="922">
        <v>25000</v>
      </c>
      <c r="G363" s="1279">
        <f t="shared" si="38"/>
        <v>100000</v>
      </c>
    </row>
    <row r="364" spans="1:7" s="45" customFormat="1">
      <c r="A364" s="185"/>
      <c r="B364" s="1278" t="s">
        <v>1154</v>
      </c>
      <c r="C364" s="907" t="s">
        <v>1127</v>
      </c>
      <c r="D364" s="912" t="s">
        <v>1138</v>
      </c>
      <c r="E364" s="931">
        <v>4</v>
      </c>
      <c r="F364" s="922">
        <v>17780</v>
      </c>
      <c r="G364" s="1279">
        <f t="shared" si="38"/>
        <v>71120</v>
      </c>
    </row>
    <row r="365" spans="1:7" s="45" customFormat="1">
      <c r="A365" s="185"/>
      <c r="B365" s="1278" t="s">
        <v>1155</v>
      </c>
      <c r="C365" s="1184" t="s">
        <v>1128</v>
      </c>
      <c r="D365" s="1185" t="s">
        <v>1139</v>
      </c>
      <c r="E365" s="1186">
        <v>605</v>
      </c>
      <c r="F365" s="1187">
        <v>2643</v>
      </c>
      <c r="G365" s="1279">
        <f t="shared" si="38"/>
        <v>1599015</v>
      </c>
    </row>
    <row r="366" spans="1:7" s="45" customFormat="1">
      <c r="A366" s="185"/>
      <c r="B366" s="1278" t="s">
        <v>1156</v>
      </c>
      <c r="C366" s="1184" t="s">
        <v>1129</v>
      </c>
      <c r="D366" s="1185" t="s">
        <v>1138</v>
      </c>
      <c r="E366" s="1186">
        <v>3</v>
      </c>
      <c r="F366" s="1187">
        <v>17000</v>
      </c>
      <c r="G366" s="1279">
        <f t="shared" si="38"/>
        <v>51000</v>
      </c>
    </row>
    <row r="367" spans="1:7" s="45" customFormat="1" ht="30">
      <c r="A367" s="185"/>
      <c r="B367" s="1278" t="s">
        <v>1157</v>
      </c>
      <c r="C367" s="907" t="s">
        <v>1130</v>
      </c>
      <c r="D367" s="912" t="s">
        <v>1138</v>
      </c>
      <c r="E367" s="931">
        <v>12</v>
      </c>
      <c r="F367" s="922">
        <v>14500</v>
      </c>
      <c r="G367" s="1279">
        <f t="shared" si="38"/>
        <v>174000</v>
      </c>
    </row>
    <row r="368" spans="1:7" s="45" customFormat="1" ht="30">
      <c r="A368" s="185"/>
      <c r="B368" s="1278" t="s">
        <v>1158</v>
      </c>
      <c r="C368" s="907" t="s">
        <v>1131</v>
      </c>
      <c r="D368" s="912" t="s">
        <v>1138</v>
      </c>
      <c r="E368" s="931">
        <v>3</v>
      </c>
      <c r="F368" s="922">
        <v>2000</v>
      </c>
      <c r="G368" s="1279">
        <f t="shared" si="38"/>
        <v>6000</v>
      </c>
    </row>
    <row r="369" spans="1:7" s="45" customFormat="1">
      <c r="A369" s="185"/>
      <c r="B369" s="1278" t="s">
        <v>1159</v>
      </c>
      <c r="C369" s="907" t="s">
        <v>1132</v>
      </c>
      <c r="D369" s="912" t="s">
        <v>1140</v>
      </c>
      <c r="E369" s="931">
        <v>5</v>
      </c>
      <c r="F369" s="922">
        <v>4500</v>
      </c>
      <c r="G369" s="1279">
        <f t="shared" si="38"/>
        <v>22500</v>
      </c>
    </row>
    <row r="370" spans="1:7" s="45" customFormat="1">
      <c r="A370" s="185"/>
      <c r="B370" s="1278" t="s">
        <v>1160</v>
      </c>
      <c r="C370" s="907" t="s">
        <v>1133</v>
      </c>
      <c r="D370" s="912" t="s">
        <v>1138</v>
      </c>
      <c r="E370" s="931">
        <v>3</v>
      </c>
      <c r="F370" s="922">
        <v>35000</v>
      </c>
      <c r="G370" s="1279">
        <f t="shared" si="38"/>
        <v>105000</v>
      </c>
    </row>
    <row r="371" spans="1:7" s="45" customFormat="1">
      <c r="A371" s="185"/>
      <c r="B371" s="1278" t="s">
        <v>1161</v>
      </c>
      <c r="C371" s="907" t="s">
        <v>1134</v>
      </c>
      <c r="D371" s="912" t="s">
        <v>1138</v>
      </c>
      <c r="E371" s="931">
        <v>3</v>
      </c>
      <c r="F371" s="922">
        <v>20000</v>
      </c>
      <c r="G371" s="1279">
        <f t="shared" si="38"/>
        <v>60000</v>
      </c>
    </row>
    <row r="372" spans="1:7" s="45" customFormat="1" ht="30">
      <c r="A372" s="185"/>
      <c r="B372" s="1278" t="s">
        <v>1162</v>
      </c>
      <c r="C372" s="907" t="s">
        <v>1135</v>
      </c>
      <c r="D372" s="912" t="s">
        <v>1141</v>
      </c>
      <c r="E372" s="931">
        <v>45</v>
      </c>
      <c r="F372" s="922">
        <v>4833</v>
      </c>
      <c r="G372" s="1279">
        <f t="shared" si="38"/>
        <v>217485</v>
      </c>
    </row>
    <row r="373" spans="1:7" s="45" customFormat="1">
      <c r="A373" s="185"/>
      <c r="B373" s="1278">
        <v>10.199999999999999</v>
      </c>
      <c r="C373" s="907" t="s">
        <v>1178</v>
      </c>
      <c r="D373" s="1020"/>
      <c r="E373" s="1281"/>
      <c r="F373" s="1282"/>
      <c r="G373" s="1279">
        <f t="shared" si="38"/>
        <v>0</v>
      </c>
    </row>
    <row r="374" spans="1:7" s="45" customFormat="1" ht="30">
      <c r="A374" s="185"/>
      <c r="B374" s="1278" t="s">
        <v>1179</v>
      </c>
      <c r="C374" s="907" t="s">
        <v>1163</v>
      </c>
      <c r="D374" s="912" t="s">
        <v>1207</v>
      </c>
      <c r="E374" s="921">
        <v>1</v>
      </c>
      <c r="F374" s="922">
        <v>160000</v>
      </c>
      <c r="G374" s="1279">
        <f t="shared" si="38"/>
        <v>160000</v>
      </c>
    </row>
    <row r="375" spans="1:7" s="45" customFormat="1" ht="30">
      <c r="A375" s="185"/>
      <c r="B375" s="1278" t="s">
        <v>1180</v>
      </c>
      <c r="C375" s="907" t="s">
        <v>1164</v>
      </c>
      <c r="D375" s="912" t="s">
        <v>1207</v>
      </c>
      <c r="E375" s="921">
        <v>2</v>
      </c>
      <c r="F375" s="922">
        <v>115000</v>
      </c>
      <c r="G375" s="1279">
        <f t="shared" si="38"/>
        <v>230000</v>
      </c>
    </row>
    <row r="376" spans="1:7" s="45" customFormat="1">
      <c r="A376" s="185"/>
      <c r="B376" s="1278" t="s">
        <v>1181</v>
      </c>
      <c r="C376" s="907" t="s">
        <v>1165</v>
      </c>
      <c r="D376" s="912" t="s">
        <v>1207</v>
      </c>
      <c r="E376" s="921">
        <v>2</v>
      </c>
      <c r="F376" s="922">
        <v>213620</v>
      </c>
      <c r="G376" s="1279">
        <f t="shared" si="38"/>
        <v>427240</v>
      </c>
    </row>
    <row r="377" spans="1:7" s="45" customFormat="1">
      <c r="A377" s="185"/>
      <c r="B377" s="1278" t="s">
        <v>1182</v>
      </c>
      <c r="C377" s="907" t="s">
        <v>1166</v>
      </c>
      <c r="D377" s="912" t="s">
        <v>1207</v>
      </c>
      <c r="E377" s="921">
        <v>2</v>
      </c>
      <c r="F377" s="922">
        <v>15200</v>
      </c>
      <c r="G377" s="1279">
        <f t="shared" si="38"/>
        <v>30400</v>
      </c>
    </row>
    <row r="378" spans="1:7" s="45" customFormat="1">
      <c r="A378" s="185"/>
      <c r="B378" s="1278" t="s">
        <v>1183</v>
      </c>
      <c r="C378" s="907" t="s">
        <v>1167</v>
      </c>
      <c r="D378" s="912" t="s">
        <v>1207</v>
      </c>
      <c r="E378" s="921">
        <v>2</v>
      </c>
      <c r="F378" s="922">
        <v>16500</v>
      </c>
      <c r="G378" s="1279">
        <f t="shared" si="38"/>
        <v>33000</v>
      </c>
    </row>
    <row r="379" spans="1:7" s="45" customFormat="1">
      <c r="A379" s="185"/>
      <c r="B379" s="1278" t="s">
        <v>1184</v>
      </c>
      <c r="C379" s="907" t="s">
        <v>1168</v>
      </c>
      <c r="D379" s="912" t="s">
        <v>1207</v>
      </c>
      <c r="E379" s="921">
        <v>2</v>
      </c>
      <c r="F379" s="922">
        <v>22000</v>
      </c>
      <c r="G379" s="1279">
        <f t="shared" si="38"/>
        <v>44000</v>
      </c>
    </row>
    <row r="380" spans="1:7" s="45" customFormat="1">
      <c r="A380" s="185"/>
      <c r="B380" s="1278" t="s">
        <v>1185</v>
      </c>
      <c r="C380" s="907" t="s">
        <v>1169</v>
      </c>
      <c r="D380" s="912" t="s">
        <v>1207</v>
      </c>
      <c r="E380" s="921">
        <v>5</v>
      </c>
      <c r="F380" s="922">
        <v>500</v>
      </c>
      <c r="G380" s="1279">
        <f t="shared" si="38"/>
        <v>2500</v>
      </c>
    </row>
    <row r="381" spans="1:7" s="45" customFormat="1">
      <c r="A381" s="185"/>
      <c r="B381" s="1278" t="s">
        <v>1186</v>
      </c>
      <c r="C381" s="907" t="s">
        <v>1170</v>
      </c>
      <c r="D381" s="912" t="s">
        <v>1207</v>
      </c>
      <c r="E381" s="921">
        <v>2</v>
      </c>
      <c r="F381" s="922">
        <v>2500</v>
      </c>
      <c r="G381" s="1279">
        <f t="shared" si="38"/>
        <v>5000</v>
      </c>
    </row>
    <row r="382" spans="1:7" s="45" customFormat="1">
      <c r="A382" s="185"/>
      <c r="B382" s="1278" t="s">
        <v>1187</v>
      </c>
      <c r="C382" s="907" t="s">
        <v>1171</v>
      </c>
      <c r="D382" s="912" t="s">
        <v>1208</v>
      </c>
      <c r="E382" s="921">
        <v>5</v>
      </c>
      <c r="F382" s="922">
        <v>6000</v>
      </c>
      <c r="G382" s="1279">
        <f t="shared" si="38"/>
        <v>30000</v>
      </c>
    </row>
    <row r="383" spans="1:7" s="45" customFormat="1">
      <c r="A383" s="185"/>
      <c r="B383" s="1278" t="s">
        <v>1188</v>
      </c>
      <c r="C383" s="907" t="s">
        <v>1172</v>
      </c>
      <c r="D383" s="912" t="s">
        <v>1207</v>
      </c>
      <c r="E383" s="921">
        <v>2</v>
      </c>
      <c r="F383" s="922">
        <v>2000</v>
      </c>
      <c r="G383" s="1279">
        <f t="shared" si="38"/>
        <v>4000</v>
      </c>
    </row>
    <row r="384" spans="1:7" s="45" customFormat="1">
      <c r="A384" s="185"/>
      <c r="B384" s="1278" t="s">
        <v>1189</v>
      </c>
      <c r="C384" s="907" t="s">
        <v>1173</v>
      </c>
      <c r="D384" s="912" t="s">
        <v>1207</v>
      </c>
      <c r="E384" s="921">
        <v>2</v>
      </c>
      <c r="F384" s="922">
        <v>15000</v>
      </c>
      <c r="G384" s="1279">
        <f t="shared" si="38"/>
        <v>30000</v>
      </c>
    </row>
    <row r="385" spans="1:7" s="45" customFormat="1">
      <c r="A385" s="185"/>
      <c r="B385" s="1278" t="s">
        <v>1190</v>
      </c>
      <c r="C385" s="907" t="s">
        <v>1174</v>
      </c>
      <c r="D385" s="912" t="s">
        <v>1207</v>
      </c>
      <c r="E385" s="921">
        <v>2</v>
      </c>
      <c r="F385" s="922">
        <v>17780</v>
      </c>
      <c r="G385" s="1279">
        <f t="shared" si="38"/>
        <v>35560</v>
      </c>
    </row>
    <row r="386" spans="1:7" s="45" customFormat="1">
      <c r="A386" s="185"/>
      <c r="B386" s="1278" t="s">
        <v>1191</v>
      </c>
      <c r="C386" s="907" t="s">
        <v>1175</v>
      </c>
      <c r="D386" s="912" t="s">
        <v>1208</v>
      </c>
      <c r="E386" s="921">
        <v>8</v>
      </c>
      <c r="F386" s="922">
        <v>2400</v>
      </c>
      <c r="G386" s="1279">
        <f t="shared" si="38"/>
        <v>19200</v>
      </c>
    </row>
    <row r="387" spans="1:7" s="45" customFormat="1">
      <c r="A387" s="185"/>
      <c r="B387" s="1278" t="s">
        <v>1192</v>
      </c>
      <c r="C387" s="907" t="s">
        <v>1176</v>
      </c>
      <c r="D387" s="912" t="s">
        <v>1207</v>
      </c>
      <c r="E387" s="921">
        <v>2</v>
      </c>
      <c r="F387" s="922">
        <v>19500</v>
      </c>
      <c r="G387" s="1279">
        <f t="shared" si="38"/>
        <v>39000</v>
      </c>
    </row>
    <row r="388" spans="1:7" s="45" customFormat="1" ht="30">
      <c r="A388" s="185"/>
      <c r="B388" s="1278" t="s">
        <v>1193</v>
      </c>
      <c r="C388" s="907" t="s">
        <v>1177</v>
      </c>
      <c r="D388" s="912" t="s">
        <v>1207</v>
      </c>
      <c r="E388" s="921">
        <v>1</v>
      </c>
      <c r="F388" s="922">
        <v>3841910</v>
      </c>
      <c r="G388" s="1279">
        <f t="shared" si="38"/>
        <v>3841910</v>
      </c>
    </row>
    <row r="389" spans="1:7" s="45" customFormat="1" ht="30">
      <c r="A389" s="185"/>
      <c r="B389" s="1278">
        <v>10.3</v>
      </c>
      <c r="C389" s="907" t="s">
        <v>1194</v>
      </c>
      <c r="D389" s="1020"/>
      <c r="E389" s="1281"/>
      <c r="F389" s="1282"/>
      <c r="G389" s="1279">
        <f t="shared" si="38"/>
        <v>0</v>
      </c>
    </row>
    <row r="390" spans="1:7" s="45" customFormat="1">
      <c r="A390" s="185"/>
      <c r="B390" s="1278" t="s">
        <v>1201</v>
      </c>
      <c r="C390" s="907" t="s">
        <v>1195</v>
      </c>
      <c r="D390" s="912" t="s">
        <v>1208</v>
      </c>
      <c r="E390" s="921">
        <v>12</v>
      </c>
      <c r="F390" s="922">
        <v>4500</v>
      </c>
      <c r="G390" s="1279">
        <f t="shared" si="38"/>
        <v>54000</v>
      </c>
    </row>
    <row r="391" spans="1:7" s="45" customFormat="1">
      <c r="A391" s="185"/>
      <c r="B391" s="1278" t="s">
        <v>1202</v>
      </c>
      <c r="C391" s="907" t="s">
        <v>1196</v>
      </c>
      <c r="D391" s="912" t="s">
        <v>1207</v>
      </c>
      <c r="E391" s="921">
        <v>3</v>
      </c>
      <c r="F391" s="922">
        <v>1000</v>
      </c>
      <c r="G391" s="1279">
        <f t="shared" si="38"/>
        <v>3000</v>
      </c>
    </row>
    <row r="392" spans="1:7" s="45" customFormat="1">
      <c r="A392" s="185"/>
      <c r="B392" s="1278" t="s">
        <v>1203</v>
      </c>
      <c r="C392" s="907" t="s">
        <v>1197</v>
      </c>
      <c r="D392" s="912" t="s">
        <v>1208</v>
      </c>
      <c r="E392" s="921">
        <v>5</v>
      </c>
      <c r="F392" s="922">
        <v>5000</v>
      </c>
      <c r="G392" s="1279">
        <f t="shared" si="38"/>
        <v>25000</v>
      </c>
    </row>
    <row r="393" spans="1:7" s="45" customFormat="1">
      <c r="A393" s="185"/>
      <c r="B393" s="1278" t="s">
        <v>1204</v>
      </c>
      <c r="C393" s="907" t="s">
        <v>1198</v>
      </c>
      <c r="D393" s="912" t="s">
        <v>1207</v>
      </c>
      <c r="E393" s="921">
        <v>1</v>
      </c>
      <c r="F393" s="922">
        <v>60000</v>
      </c>
      <c r="G393" s="1279">
        <f t="shared" si="38"/>
        <v>60000</v>
      </c>
    </row>
    <row r="394" spans="1:7" s="45" customFormat="1">
      <c r="A394" s="185"/>
      <c r="B394" s="1278" t="s">
        <v>1205</v>
      </c>
      <c r="C394" s="907" t="s">
        <v>1199</v>
      </c>
      <c r="D394" s="912" t="s">
        <v>1207</v>
      </c>
      <c r="E394" s="921">
        <v>1</v>
      </c>
      <c r="F394" s="922">
        <v>20000</v>
      </c>
      <c r="G394" s="1279">
        <f t="shared" si="38"/>
        <v>20000</v>
      </c>
    </row>
    <row r="395" spans="1:7" s="45" customFormat="1">
      <c r="A395" s="185"/>
      <c r="B395" s="1278" t="s">
        <v>1206</v>
      </c>
      <c r="C395" s="907" t="s">
        <v>1200</v>
      </c>
      <c r="D395" s="912" t="s">
        <v>1207</v>
      </c>
      <c r="E395" s="921">
        <v>1</v>
      </c>
      <c r="F395" s="922">
        <v>20000</v>
      </c>
      <c r="G395" s="1279">
        <f t="shared" si="38"/>
        <v>20000</v>
      </c>
    </row>
    <row r="396" spans="1:7" s="45" customFormat="1" ht="31.5">
      <c r="A396" s="185"/>
      <c r="B396" s="1278">
        <v>10.4</v>
      </c>
      <c r="C396" s="1283" t="s">
        <v>1209</v>
      </c>
      <c r="D396" s="1020"/>
      <c r="E396" s="1281"/>
      <c r="F396" s="1282"/>
      <c r="G396" s="1279">
        <f t="shared" si="38"/>
        <v>0</v>
      </c>
    </row>
    <row r="397" spans="1:7" s="45" customFormat="1">
      <c r="A397" s="185"/>
      <c r="B397" s="1278" t="s">
        <v>1210</v>
      </c>
      <c r="C397" s="943" t="s">
        <v>1238</v>
      </c>
      <c r="D397" s="925" t="s">
        <v>525</v>
      </c>
      <c r="E397" s="932">
        <v>30</v>
      </c>
      <c r="F397" s="926">
        <v>8211</v>
      </c>
      <c r="G397" s="1279">
        <f t="shared" si="38"/>
        <v>246330</v>
      </c>
    </row>
    <row r="398" spans="1:7" s="45" customFormat="1">
      <c r="A398" s="185"/>
      <c r="B398" s="1278" t="s">
        <v>1211</v>
      </c>
      <c r="C398" s="1034" t="s">
        <v>1239</v>
      </c>
      <c r="D398" s="928" t="s">
        <v>525</v>
      </c>
      <c r="E398" s="933">
        <v>600</v>
      </c>
      <c r="F398" s="929">
        <v>3141</v>
      </c>
      <c r="G398" s="1279">
        <f t="shared" si="38"/>
        <v>1884600</v>
      </c>
    </row>
    <row r="399" spans="1:7" s="45" customFormat="1">
      <c r="A399" s="185"/>
      <c r="B399" s="1278" t="s">
        <v>1212</v>
      </c>
      <c r="C399" s="943" t="s">
        <v>1240</v>
      </c>
      <c r="D399" s="925" t="s">
        <v>525</v>
      </c>
      <c r="E399" s="932">
        <v>50</v>
      </c>
      <c r="F399" s="926">
        <v>5146.92</v>
      </c>
      <c r="G399" s="1279">
        <f t="shared" si="38"/>
        <v>257346</v>
      </c>
    </row>
    <row r="400" spans="1:7" s="45" customFormat="1">
      <c r="A400" s="185"/>
      <c r="B400" s="1278" t="s">
        <v>1213</v>
      </c>
      <c r="C400" s="943" t="s">
        <v>1241</v>
      </c>
      <c r="D400" s="925" t="s">
        <v>1242</v>
      </c>
      <c r="E400" s="932">
        <v>2</v>
      </c>
      <c r="F400" s="926">
        <v>6500</v>
      </c>
      <c r="G400" s="1279">
        <f t="shared" si="38"/>
        <v>13000</v>
      </c>
    </row>
    <row r="401" spans="1:7" s="45" customFormat="1">
      <c r="A401" s="185"/>
      <c r="B401" s="1278" t="s">
        <v>1214</v>
      </c>
      <c r="C401" s="943" t="s">
        <v>1243</v>
      </c>
      <c r="D401" s="925" t="s">
        <v>1242</v>
      </c>
      <c r="E401" s="932">
        <v>3</v>
      </c>
      <c r="F401" s="926">
        <v>3500</v>
      </c>
      <c r="G401" s="1279">
        <f t="shared" si="38"/>
        <v>10500</v>
      </c>
    </row>
    <row r="402" spans="1:7" s="45" customFormat="1">
      <c r="A402" s="185"/>
      <c r="B402" s="1278" t="s">
        <v>1215</v>
      </c>
      <c r="C402" s="943" t="s">
        <v>1244</v>
      </c>
      <c r="D402" s="925" t="s">
        <v>1242</v>
      </c>
      <c r="E402" s="932">
        <v>20</v>
      </c>
      <c r="F402" s="926">
        <v>5000</v>
      </c>
      <c r="G402" s="1279">
        <f t="shared" si="38"/>
        <v>100000</v>
      </c>
    </row>
    <row r="403" spans="1:7" s="45" customFormat="1">
      <c r="A403" s="185"/>
      <c r="B403" s="1278" t="s">
        <v>1216</v>
      </c>
      <c r="C403" s="943" t="s">
        <v>1245</v>
      </c>
      <c r="D403" s="925" t="s">
        <v>1242</v>
      </c>
      <c r="E403" s="932">
        <v>3</v>
      </c>
      <c r="F403" s="926">
        <v>1500</v>
      </c>
      <c r="G403" s="1279">
        <f t="shared" si="38"/>
        <v>4500</v>
      </c>
    </row>
    <row r="404" spans="1:7" s="45" customFormat="1">
      <c r="A404" s="185"/>
      <c r="B404" s="1278" t="s">
        <v>1217</v>
      </c>
      <c r="C404" s="943" t="s">
        <v>1246</v>
      </c>
      <c r="D404" s="925" t="s">
        <v>1242</v>
      </c>
      <c r="E404" s="932">
        <v>20</v>
      </c>
      <c r="F404" s="926">
        <v>6500</v>
      </c>
      <c r="G404" s="1279">
        <f t="shared" si="38"/>
        <v>130000</v>
      </c>
    </row>
    <row r="405" spans="1:7" s="45" customFormat="1">
      <c r="A405" s="185"/>
      <c r="B405" s="1278" t="s">
        <v>1218</v>
      </c>
      <c r="C405" s="943" t="s">
        <v>1247</v>
      </c>
      <c r="D405" s="925" t="s">
        <v>1242</v>
      </c>
      <c r="E405" s="932">
        <v>120</v>
      </c>
      <c r="F405" s="926">
        <v>3500</v>
      </c>
      <c r="G405" s="1279">
        <f t="shared" si="38"/>
        <v>420000</v>
      </c>
    </row>
    <row r="406" spans="1:7" s="45" customFormat="1">
      <c r="A406" s="185"/>
      <c r="B406" s="1278" t="s">
        <v>1219</v>
      </c>
      <c r="C406" s="943" t="s">
        <v>1248</v>
      </c>
      <c r="D406" s="925" t="s">
        <v>1242</v>
      </c>
      <c r="E406" s="932">
        <v>60</v>
      </c>
      <c r="F406" s="926">
        <v>6000</v>
      </c>
      <c r="G406" s="1279">
        <f t="shared" si="38"/>
        <v>360000</v>
      </c>
    </row>
    <row r="407" spans="1:7" s="45" customFormat="1">
      <c r="A407" s="185"/>
      <c r="B407" s="1278" t="s">
        <v>1220</v>
      </c>
      <c r="C407" s="943" t="s">
        <v>1249</v>
      </c>
      <c r="D407" s="925" t="s">
        <v>1242</v>
      </c>
      <c r="E407" s="932">
        <v>70</v>
      </c>
      <c r="F407" s="926">
        <v>5300</v>
      </c>
      <c r="G407" s="1279">
        <f t="shared" si="38"/>
        <v>371000</v>
      </c>
    </row>
    <row r="408" spans="1:7" s="45" customFormat="1">
      <c r="A408" s="185"/>
      <c r="B408" s="1278" t="s">
        <v>1221</v>
      </c>
      <c r="C408" s="943" t="s">
        <v>1250</v>
      </c>
      <c r="D408" s="925" t="s">
        <v>1242</v>
      </c>
      <c r="E408" s="932">
        <v>12</v>
      </c>
      <c r="F408" s="926">
        <v>101966</v>
      </c>
      <c r="G408" s="1279">
        <f t="shared" si="38"/>
        <v>1223592</v>
      </c>
    </row>
    <row r="409" spans="1:7" s="45" customFormat="1">
      <c r="A409" s="185"/>
      <c r="B409" s="1278" t="s">
        <v>1222</v>
      </c>
      <c r="C409" s="943" t="s">
        <v>1251</v>
      </c>
      <c r="D409" s="925" t="s">
        <v>1242</v>
      </c>
      <c r="E409" s="932">
        <v>32</v>
      </c>
      <c r="F409" s="926">
        <v>12000</v>
      </c>
      <c r="G409" s="1279">
        <f t="shared" si="38"/>
        <v>384000</v>
      </c>
    </row>
    <row r="410" spans="1:7" s="45" customFormat="1">
      <c r="A410" s="185"/>
      <c r="B410" s="1278" t="s">
        <v>1223</v>
      </c>
      <c r="C410" s="943" t="s">
        <v>1252</v>
      </c>
      <c r="D410" s="925" t="s">
        <v>1242</v>
      </c>
      <c r="E410" s="932">
        <v>6</v>
      </c>
      <c r="F410" s="926">
        <v>512220</v>
      </c>
      <c r="G410" s="1279">
        <f t="shared" si="38"/>
        <v>3073320</v>
      </c>
    </row>
    <row r="411" spans="1:7" s="45" customFormat="1" ht="30">
      <c r="A411" s="185"/>
      <c r="B411" s="1278" t="s">
        <v>1224</v>
      </c>
      <c r="C411" s="943" t="s">
        <v>1253</v>
      </c>
      <c r="D411" s="925" t="s">
        <v>1242</v>
      </c>
      <c r="E411" s="932">
        <v>5</v>
      </c>
      <c r="F411" s="926">
        <v>493080</v>
      </c>
      <c r="G411" s="1279">
        <f t="shared" si="38"/>
        <v>2465400</v>
      </c>
    </row>
    <row r="412" spans="1:7" s="45" customFormat="1">
      <c r="A412" s="185"/>
      <c r="B412" s="1278" t="s">
        <v>1225</v>
      </c>
      <c r="C412" s="943" t="s">
        <v>1254</v>
      </c>
      <c r="D412" s="925" t="s">
        <v>1242</v>
      </c>
      <c r="E412" s="932">
        <v>21</v>
      </c>
      <c r="F412" s="926">
        <v>5000</v>
      </c>
      <c r="G412" s="1279">
        <f t="shared" si="38"/>
        <v>105000</v>
      </c>
    </row>
    <row r="413" spans="1:7" s="45" customFormat="1">
      <c r="A413" s="185"/>
      <c r="B413" s="1278" t="s">
        <v>1226</v>
      </c>
      <c r="C413" s="943" t="s">
        <v>1255</v>
      </c>
      <c r="D413" s="925" t="s">
        <v>1242</v>
      </c>
      <c r="E413" s="932">
        <v>8</v>
      </c>
      <c r="F413" s="926">
        <v>44780</v>
      </c>
      <c r="G413" s="1279">
        <f t="shared" si="38"/>
        <v>358240</v>
      </c>
    </row>
    <row r="414" spans="1:7" s="45" customFormat="1">
      <c r="A414" s="185"/>
      <c r="B414" s="1278" t="s">
        <v>1227</v>
      </c>
      <c r="C414" s="943" t="s">
        <v>1256</v>
      </c>
      <c r="D414" s="925" t="s">
        <v>1242</v>
      </c>
      <c r="E414" s="932">
        <v>9</v>
      </c>
      <c r="F414" s="926">
        <v>13050</v>
      </c>
      <c r="G414" s="1279">
        <f t="shared" si="38"/>
        <v>117450</v>
      </c>
    </row>
    <row r="415" spans="1:7" s="45" customFormat="1">
      <c r="A415" s="185"/>
      <c r="B415" s="1278" t="s">
        <v>1228</v>
      </c>
      <c r="C415" s="943" t="s">
        <v>1257</v>
      </c>
      <c r="D415" s="925" t="s">
        <v>1242</v>
      </c>
      <c r="E415" s="932">
        <v>7</v>
      </c>
      <c r="F415" s="926">
        <v>10590</v>
      </c>
      <c r="G415" s="1279">
        <f t="shared" si="38"/>
        <v>74130</v>
      </c>
    </row>
    <row r="416" spans="1:7" s="45" customFormat="1">
      <c r="A416" s="185"/>
      <c r="B416" s="1278" t="s">
        <v>1229</v>
      </c>
      <c r="C416" s="943" t="s">
        <v>1258</v>
      </c>
      <c r="D416" s="925" t="s">
        <v>1242</v>
      </c>
      <c r="E416" s="932">
        <v>45</v>
      </c>
      <c r="F416" s="926">
        <v>4500</v>
      </c>
      <c r="G416" s="1279">
        <f t="shared" ref="G416:G424" si="39">+E416*F416</f>
        <v>202500</v>
      </c>
    </row>
    <row r="417" spans="1:7" s="45" customFormat="1">
      <c r="A417" s="185"/>
      <c r="B417" s="1278" t="s">
        <v>1230</v>
      </c>
      <c r="C417" s="943" t="s">
        <v>1259</v>
      </c>
      <c r="D417" s="925" t="s">
        <v>1242</v>
      </c>
      <c r="E417" s="932">
        <v>44</v>
      </c>
      <c r="F417" s="926">
        <v>4500</v>
      </c>
      <c r="G417" s="1279">
        <f t="shared" si="39"/>
        <v>198000</v>
      </c>
    </row>
    <row r="418" spans="1:7" s="45" customFormat="1" ht="30">
      <c r="A418" s="185"/>
      <c r="B418" s="1278" t="s">
        <v>1231</v>
      </c>
      <c r="C418" s="942" t="s">
        <v>1260</v>
      </c>
      <c r="D418" s="925" t="s">
        <v>1242</v>
      </c>
      <c r="E418" s="932">
        <v>1</v>
      </c>
      <c r="F418" s="926">
        <v>484080</v>
      </c>
      <c r="G418" s="1279">
        <f t="shared" si="39"/>
        <v>484080</v>
      </c>
    </row>
    <row r="419" spans="1:7" s="45" customFormat="1">
      <c r="A419" s="185"/>
      <c r="B419" s="1278" t="s">
        <v>1232</v>
      </c>
      <c r="C419" s="943" t="s">
        <v>1261</v>
      </c>
      <c r="D419" s="925" t="s">
        <v>1242</v>
      </c>
      <c r="E419" s="932">
        <v>4</v>
      </c>
      <c r="F419" s="926">
        <v>142980</v>
      </c>
      <c r="G419" s="1279">
        <f t="shared" si="39"/>
        <v>571920</v>
      </c>
    </row>
    <row r="420" spans="1:7" s="45" customFormat="1">
      <c r="A420" s="185"/>
      <c r="B420" s="1278" t="s">
        <v>1233</v>
      </c>
      <c r="C420" s="943" t="s">
        <v>1262</v>
      </c>
      <c r="D420" s="925" t="s">
        <v>1242</v>
      </c>
      <c r="E420" s="932">
        <v>1</v>
      </c>
      <c r="F420" s="926">
        <v>111060</v>
      </c>
      <c r="G420" s="1279">
        <f t="shared" si="39"/>
        <v>111060</v>
      </c>
    </row>
    <row r="421" spans="1:7" s="45" customFormat="1" ht="30">
      <c r="A421" s="185"/>
      <c r="B421" s="1278" t="s">
        <v>1234</v>
      </c>
      <c r="C421" s="943" t="s">
        <v>1263</v>
      </c>
      <c r="D421" s="925" t="s">
        <v>1242</v>
      </c>
      <c r="E421" s="932">
        <v>1</v>
      </c>
      <c r="F421" s="926">
        <v>307080</v>
      </c>
      <c r="G421" s="1279">
        <f t="shared" si="39"/>
        <v>307080</v>
      </c>
    </row>
    <row r="422" spans="1:7" s="45" customFormat="1">
      <c r="A422" s="185"/>
      <c r="B422" s="1278" t="s">
        <v>1235</v>
      </c>
      <c r="C422" s="943" t="s">
        <v>1264</v>
      </c>
      <c r="D422" s="925" t="s">
        <v>1242</v>
      </c>
      <c r="E422" s="932">
        <v>1</v>
      </c>
      <c r="F422" s="926">
        <v>61330</v>
      </c>
      <c r="G422" s="1279">
        <f t="shared" si="39"/>
        <v>61330</v>
      </c>
    </row>
    <row r="423" spans="1:7" s="45" customFormat="1">
      <c r="A423" s="185"/>
      <c r="B423" s="1278" t="s">
        <v>1236</v>
      </c>
      <c r="C423" s="943" t="s">
        <v>1265</v>
      </c>
      <c r="D423" s="925" t="s">
        <v>1242</v>
      </c>
      <c r="E423" s="932">
        <v>5</v>
      </c>
      <c r="F423" s="926">
        <v>108520</v>
      </c>
      <c r="G423" s="1279">
        <f t="shared" si="39"/>
        <v>542600</v>
      </c>
    </row>
    <row r="424" spans="1:7" s="45" customFormat="1">
      <c r="A424" s="185"/>
      <c r="B424" s="1278" t="s">
        <v>1237</v>
      </c>
      <c r="C424" s="943" t="s">
        <v>1266</v>
      </c>
      <c r="D424" s="925" t="s">
        <v>1242</v>
      </c>
      <c r="E424" s="932">
        <v>1</v>
      </c>
      <c r="F424" s="926">
        <v>877460</v>
      </c>
      <c r="G424" s="1279">
        <f t="shared" si="39"/>
        <v>877460</v>
      </c>
    </row>
    <row r="425" spans="1:7" s="45" customFormat="1">
      <c r="A425" s="185"/>
      <c r="B425" s="827"/>
      <c r="C425" s="1280"/>
      <c r="D425" s="104"/>
      <c r="E425" s="103"/>
      <c r="F425" s="587"/>
      <c r="G425" s="792"/>
    </row>
    <row r="426" spans="1:7" s="45" customFormat="1" ht="15.75" thickBot="1">
      <c r="A426" s="185"/>
      <c r="B426" s="1025"/>
      <c r="C426" s="871"/>
      <c r="D426" s="873"/>
      <c r="E426" s="874"/>
      <c r="F426" s="1331" t="s">
        <v>1268</v>
      </c>
      <c r="G426" s="1004">
        <f>SUM(G352:G425)</f>
        <v>28038288</v>
      </c>
    </row>
    <row r="427" spans="1:7" s="45" customFormat="1" ht="16.5" hidden="1" customHeight="1" thickBot="1">
      <c r="A427" s="185"/>
      <c r="B427" s="827"/>
      <c r="C427" s="887"/>
      <c r="D427" s="827"/>
      <c r="E427" s="594"/>
      <c r="F427" s="575"/>
      <c r="G427" s="792"/>
    </row>
    <row r="428" spans="1:7" s="45" customFormat="1" hidden="1">
      <c r="A428" s="185"/>
      <c r="B428" s="937">
        <v>11</v>
      </c>
      <c r="C428" s="75" t="s">
        <v>1267</v>
      </c>
      <c r="D428" s="76"/>
      <c r="E428" s="76"/>
      <c r="F428" s="76"/>
      <c r="G428" s="126"/>
    </row>
    <row r="429" spans="1:7" s="45" customFormat="1" ht="25.5" hidden="1">
      <c r="A429" s="185"/>
      <c r="B429" s="827">
        <v>11.1</v>
      </c>
      <c r="C429" s="887" t="s">
        <v>1269</v>
      </c>
      <c r="D429" s="827" t="s">
        <v>22</v>
      </c>
      <c r="E429" s="594"/>
      <c r="F429" s="575">
        <v>19599539</v>
      </c>
      <c r="G429" s="910">
        <f t="shared" ref="G429:G434" si="40">+F429*E429</f>
        <v>0</v>
      </c>
    </row>
    <row r="430" spans="1:7" s="45" customFormat="1" ht="25.5" hidden="1">
      <c r="A430" s="185"/>
      <c r="B430" s="827">
        <v>11.2</v>
      </c>
      <c r="C430" s="887" t="s">
        <v>1270</v>
      </c>
      <c r="D430" s="827" t="s">
        <v>22</v>
      </c>
      <c r="E430" s="594"/>
      <c r="F430" s="575">
        <v>20250689.461308599</v>
      </c>
      <c r="G430" s="910">
        <f t="shared" si="40"/>
        <v>0</v>
      </c>
    </row>
    <row r="431" spans="1:7" s="45" customFormat="1" ht="25.5" hidden="1">
      <c r="A431" s="185"/>
      <c r="B431" s="827">
        <v>11.3</v>
      </c>
      <c r="C431" s="897" t="s">
        <v>1271</v>
      </c>
      <c r="D431" s="827" t="s">
        <v>22</v>
      </c>
      <c r="E431" s="594"/>
      <c r="F431" s="575">
        <v>17742200</v>
      </c>
      <c r="G431" s="910">
        <f t="shared" si="40"/>
        <v>0</v>
      </c>
    </row>
    <row r="432" spans="1:7" s="45" customFormat="1" ht="38.25" hidden="1">
      <c r="A432" s="185"/>
      <c r="B432" s="827">
        <v>11.4</v>
      </c>
      <c r="C432" s="887" t="s">
        <v>1272</v>
      </c>
      <c r="D432" s="827" t="s">
        <v>22</v>
      </c>
      <c r="E432" s="594"/>
      <c r="F432" s="575">
        <v>1000000</v>
      </c>
      <c r="G432" s="910">
        <f t="shared" si="40"/>
        <v>0</v>
      </c>
    </row>
    <row r="433" spans="1:7" s="45" customFormat="1" hidden="1">
      <c r="A433" s="185"/>
      <c r="B433" s="827">
        <v>11.5</v>
      </c>
      <c r="C433" s="887" t="s">
        <v>1273</v>
      </c>
      <c r="D433" s="827" t="s">
        <v>22</v>
      </c>
      <c r="E433" s="594"/>
      <c r="F433" s="575">
        <v>4000000</v>
      </c>
      <c r="G433" s="910">
        <f t="shared" si="40"/>
        <v>0</v>
      </c>
    </row>
    <row r="434" spans="1:7" s="45" customFormat="1" ht="38.25" hidden="1">
      <c r="A434" s="185"/>
      <c r="B434" s="827">
        <v>11.6</v>
      </c>
      <c r="C434" s="887" t="s">
        <v>1274</v>
      </c>
      <c r="D434" s="827" t="s">
        <v>22</v>
      </c>
      <c r="E434" s="594"/>
      <c r="F434" s="575">
        <v>704208.11077789369</v>
      </c>
      <c r="G434" s="910">
        <f t="shared" si="40"/>
        <v>0</v>
      </c>
    </row>
    <row r="435" spans="1:7" s="45" customFormat="1" ht="15.75" thickBot="1">
      <c r="A435" s="185"/>
      <c r="B435" s="827"/>
      <c r="C435" s="887"/>
      <c r="D435" s="827"/>
      <c r="E435" s="594"/>
      <c r="F435" s="575"/>
      <c r="G435" s="792"/>
    </row>
    <row r="436" spans="1:7" s="45" customFormat="1" ht="15.75" hidden="1" thickBot="1">
      <c r="A436" s="185"/>
      <c r="B436" s="1025"/>
      <c r="C436" s="871"/>
      <c r="D436" s="873"/>
      <c r="E436" s="874"/>
      <c r="F436" s="1331" t="s">
        <v>1405</v>
      </c>
      <c r="G436" s="1004">
        <f>SUM(G429:G435)</f>
        <v>0</v>
      </c>
    </row>
    <row r="437" spans="1:7" s="45" customFormat="1" ht="15.75" hidden="1" thickBot="1">
      <c r="A437" s="185"/>
      <c r="B437" s="827"/>
      <c r="C437" s="887"/>
      <c r="D437" s="827"/>
      <c r="E437" s="594"/>
      <c r="F437" s="575"/>
      <c r="G437" s="792"/>
    </row>
    <row r="438" spans="1:7" s="45" customFormat="1">
      <c r="A438" s="185"/>
      <c r="B438" s="937">
        <v>12</v>
      </c>
      <c r="C438" s="75" t="s">
        <v>1275</v>
      </c>
      <c r="D438" s="76"/>
      <c r="E438" s="76"/>
      <c r="F438" s="76"/>
      <c r="G438" s="126"/>
    </row>
    <row r="439" spans="1:7" s="45" customFormat="1">
      <c r="A439" s="185"/>
      <c r="B439" s="827">
        <v>12.1</v>
      </c>
      <c r="C439" s="887" t="s">
        <v>1276</v>
      </c>
      <c r="D439" s="827" t="s">
        <v>22</v>
      </c>
      <c r="E439" s="594">
        <v>9</v>
      </c>
      <c r="F439" s="575">
        <v>207180</v>
      </c>
      <c r="G439" s="910">
        <f t="shared" ref="G439:G452" si="41">+F439*E439</f>
        <v>1864620</v>
      </c>
    </row>
    <row r="440" spans="1:7" s="45" customFormat="1">
      <c r="A440" s="185"/>
      <c r="B440" s="827">
        <v>12.2</v>
      </c>
      <c r="C440" s="887" t="s">
        <v>1277</v>
      </c>
      <c r="D440" s="827" t="s">
        <v>22</v>
      </c>
      <c r="E440" s="594">
        <v>2</v>
      </c>
      <c r="F440" s="575">
        <v>315000</v>
      </c>
      <c r="G440" s="910">
        <f t="shared" si="41"/>
        <v>630000</v>
      </c>
    </row>
    <row r="441" spans="1:7" s="45" customFormat="1">
      <c r="A441" s="185"/>
      <c r="B441" s="827">
        <v>12.3</v>
      </c>
      <c r="C441" s="887" t="s">
        <v>1278</v>
      </c>
      <c r="D441" s="827" t="s">
        <v>22</v>
      </c>
      <c r="E441" s="594">
        <v>1</v>
      </c>
      <c r="F441" s="575">
        <v>158050</v>
      </c>
      <c r="G441" s="910">
        <f t="shared" si="41"/>
        <v>158050</v>
      </c>
    </row>
    <row r="442" spans="1:7" s="45" customFormat="1">
      <c r="A442" s="185"/>
      <c r="B442" s="827">
        <v>12.4</v>
      </c>
      <c r="C442" s="887" t="s">
        <v>1279</v>
      </c>
      <c r="D442" s="827" t="s">
        <v>22</v>
      </c>
      <c r="E442" s="594">
        <v>1</v>
      </c>
      <c r="F442" s="575">
        <v>492140</v>
      </c>
      <c r="G442" s="910">
        <f t="shared" si="41"/>
        <v>492140</v>
      </c>
    </row>
    <row r="443" spans="1:7" s="45" customFormat="1">
      <c r="A443" s="185"/>
      <c r="B443" s="827">
        <v>12.5</v>
      </c>
      <c r="C443" s="887" t="s">
        <v>1280</v>
      </c>
      <c r="D443" s="827" t="s">
        <v>22</v>
      </c>
      <c r="E443" s="594">
        <v>1</v>
      </c>
      <c r="F443" s="575">
        <v>256670</v>
      </c>
      <c r="G443" s="910">
        <f t="shared" si="41"/>
        <v>256670</v>
      </c>
    </row>
    <row r="444" spans="1:7" s="45" customFormat="1">
      <c r="A444" s="185"/>
      <c r="B444" s="827">
        <v>12.6</v>
      </c>
      <c r="C444" s="887" t="s">
        <v>1281</v>
      </c>
      <c r="D444" s="827" t="s">
        <v>22</v>
      </c>
      <c r="E444" s="594">
        <v>5</v>
      </c>
      <c r="F444" s="575">
        <v>366520</v>
      </c>
      <c r="G444" s="910">
        <f t="shared" si="41"/>
        <v>1832600</v>
      </c>
    </row>
    <row r="445" spans="1:7" s="45" customFormat="1" ht="25.5">
      <c r="A445" s="185"/>
      <c r="B445" s="827">
        <v>12.7</v>
      </c>
      <c r="C445" s="887" t="s">
        <v>1307</v>
      </c>
      <c r="D445" s="827" t="s">
        <v>500</v>
      </c>
      <c r="E445" s="594">
        <v>12</v>
      </c>
      <c r="F445" s="575">
        <v>140420</v>
      </c>
      <c r="G445" s="910">
        <f t="shared" si="41"/>
        <v>1685040</v>
      </c>
    </row>
    <row r="446" spans="1:7" s="45" customFormat="1" ht="31.5" customHeight="1">
      <c r="A446" s="185"/>
      <c r="B446" s="974">
        <v>12.8</v>
      </c>
      <c r="C446" s="977" t="s">
        <v>1304</v>
      </c>
      <c r="D446" s="974" t="s">
        <v>500</v>
      </c>
      <c r="E446" s="967">
        <f>13+55+50</f>
        <v>118</v>
      </c>
      <c r="F446" s="968">
        <v>48740</v>
      </c>
      <c r="G446" s="910">
        <f t="shared" si="41"/>
        <v>5751320</v>
      </c>
    </row>
    <row r="447" spans="1:7" s="45" customFormat="1" ht="25.5">
      <c r="A447" s="185"/>
      <c r="B447" s="827">
        <v>12.9</v>
      </c>
      <c r="C447" s="887" t="s">
        <v>1303</v>
      </c>
      <c r="D447" s="827" t="s">
        <v>500</v>
      </c>
      <c r="E447" s="594">
        <v>74</v>
      </c>
      <c r="F447" s="575">
        <v>41820</v>
      </c>
      <c r="G447" s="910">
        <f t="shared" si="41"/>
        <v>3094680</v>
      </c>
    </row>
    <row r="448" spans="1:7" s="45" customFormat="1" ht="25.5">
      <c r="A448" s="185"/>
      <c r="B448" s="963">
        <v>12.1</v>
      </c>
      <c r="C448" s="887" t="s">
        <v>1302</v>
      </c>
      <c r="D448" s="827" t="s">
        <v>500</v>
      </c>
      <c r="E448" s="594">
        <v>39</v>
      </c>
      <c r="F448" s="575">
        <v>21516</v>
      </c>
      <c r="G448" s="910">
        <f t="shared" si="41"/>
        <v>839124</v>
      </c>
    </row>
    <row r="449" spans="1:7" s="45" customFormat="1" ht="25.5">
      <c r="A449" s="185"/>
      <c r="B449" s="827">
        <v>12.11</v>
      </c>
      <c r="C449" s="887" t="s">
        <v>1305</v>
      </c>
      <c r="D449" s="827" t="s">
        <v>500</v>
      </c>
      <c r="E449" s="594">
        <v>24</v>
      </c>
      <c r="F449" s="575">
        <v>20557</v>
      </c>
      <c r="G449" s="910">
        <f t="shared" si="41"/>
        <v>493368</v>
      </c>
    </row>
    <row r="450" spans="1:7" s="45" customFormat="1" ht="25.5">
      <c r="A450" s="185"/>
      <c r="B450" s="827">
        <v>12.12</v>
      </c>
      <c r="C450" s="887" t="s">
        <v>1306</v>
      </c>
      <c r="D450" s="827" t="s">
        <v>500</v>
      </c>
      <c r="E450" s="594">
        <v>60</v>
      </c>
      <c r="F450" s="575">
        <v>5770</v>
      </c>
      <c r="G450" s="910">
        <f t="shared" si="41"/>
        <v>346200</v>
      </c>
    </row>
    <row r="451" spans="1:7" s="45" customFormat="1">
      <c r="A451" s="185"/>
      <c r="B451" s="827">
        <v>12.13</v>
      </c>
      <c r="C451" s="887" t="s">
        <v>1552</v>
      </c>
      <c r="D451" s="827" t="s">
        <v>500</v>
      </c>
      <c r="E451" s="594">
        <v>1051</v>
      </c>
      <c r="F451" s="858">
        <v>2610</v>
      </c>
      <c r="G451" s="910">
        <f t="shared" si="41"/>
        <v>2743110</v>
      </c>
    </row>
    <row r="452" spans="1:7" s="45" customFormat="1">
      <c r="A452" s="185"/>
      <c r="B452" s="827">
        <v>12.14</v>
      </c>
      <c r="C452" s="887" t="s">
        <v>1436</v>
      </c>
      <c r="D452" s="827" t="s">
        <v>139</v>
      </c>
      <c r="E452" s="594">
        <v>2</v>
      </c>
      <c r="F452" s="575">
        <v>410360</v>
      </c>
      <c r="G452" s="910">
        <f t="shared" si="41"/>
        <v>820720</v>
      </c>
    </row>
    <row r="453" spans="1:7" s="45" customFormat="1" ht="15.75" thickBot="1">
      <c r="A453" s="185"/>
      <c r="B453" s="1025"/>
      <c r="C453" s="871"/>
      <c r="D453" s="873"/>
      <c r="E453" s="874"/>
      <c r="F453" s="1331" t="s">
        <v>1323</v>
      </c>
      <c r="G453" s="1004">
        <f>SUM(G449:G452)</f>
        <v>4403398</v>
      </c>
    </row>
    <row r="454" spans="1:7" s="45" customFormat="1" ht="15.75" thickBot="1">
      <c r="A454" s="185"/>
      <c r="B454" s="827"/>
      <c r="C454" s="887"/>
      <c r="D454" s="827"/>
      <c r="E454" s="594"/>
      <c r="F454" s="575"/>
      <c r="G454" s="910"/>
    </row>
    <row r="455" spans="1:7" s="45" customFormat="1">
      <c r="A455" s="185"/>
      <c r="B455" s="937">
        <v>13</v>
      </c>
      <c r="C455" s="75" t="s">
        <v>1412</v>
      </c>
      <c r="D455" s="76"/>
      <c r="E455" s="76"/>
      <c r="F455" s="76"/>
      <c r="G455" s="126"/>
    </row>
    <row r="456" spans="1:7" s="45" customFormat="1">
      <c r="A456" s="185"/>
      <c r="B456" s="974">
        <v>13.1</v>
      </c>
      <c r="C456" s="975" t="s">
        <v>1343</v>
      </c>
      <c r="D456" s="905"/>
      <c r="E456" s="905"/>
      <c r="F456" s="905"/>
      <c r="G456" s="906"/>
    </row>
    <row r="457" spans="1:7" s="45" customFormat="1">
      <c r="A457" s="185"/>
      <c r="B457" s="999" t="s">
        <v>1344</v>
      </c>
      <c r="C457" s="1030" t="s">
        <v>1325</v>
      </c>
      <c r="D457" s="999" t="s">
        <v>22</v>
      </c>
      <c r="E457" s="1000">
        <v>7</v>
      </c>
      <c r="F457" s="575">
        <v>34630</v>
      </c>
      <c r="G457" s="795">
        <f>+F457*E457</f>
        <v>242410</v>
      </c>
    </row>
    <row r="458" spans="1:7" s="45" customFormat="1">
      <c r="A458" s="185"/>
      <c r="B458" s="999" t="s">
        <v>1345</v>
      </c>
      <c r="C458" s="1030" t="s">
        <v>1326</v>
      </c>
      <c r="D458" s="999" t="s">
        <v>22</v>
      </c>
      <c r="E458" s="1000">
        <v>13</v>
      </c>
      <c r="F458" s="575">
        <v>3130</v>
      </c>
      <c r="G458" s="795">
        <f t="shared" ref="G458:G492" si="42">+F458*E458</f>
        <v>40690</v>
      </c>
    </row>
    <row r="459" spans="1:7" s="45" customFormat="1">
      <c r="A459" s="185"/>
      <c r="B459" s="999" t="s">
        <v>1346</v>
      </c>
      <c r="C459" s="1030" t="s">
        <v>1327</v>
      </c>
      <c r="D459" s="999" t="s">
        <v>22</v>
      </c>
      <c r="E459" s="1000">
        <v>1</v>
      </c>
      <c r="F459" s="575">
        <v>2920</v>
      </c>
      <c r="G459" s="795">
        <f t="shared" si="42"/>
        <v>2920</v>
      </c>
    </row>
    <row r="460" spans="1:7" s="45" customFormat="1">
      <c r="A460" s="185"/>
      <c r="B460" s="999" t="s">
        <v>1347</v>
      </c>
      <c r="C460" s="1030" t="s">
        <v>1328</v>
      </c>
      <c r="D460" s="999" t="s">
        <v>22</v>
      </c>
      <c r="E460" s="1000">
        <v>4</v>
      </c>
      <c r="F460" s="575">
        <v>3100</v>
      </c>
      <c r="G460" s="795">
        <f t="shared" si="42"/>
        <v>12400</v>
      </c>
    </row>
    <row r="461" spans="1:7" s="45" customFormat="1">
      <c r="A461" s="185"/>
      <c r="B461" s="999" t="s">
        <v>1348</v>
      </c>
      <c r="C461" s="1030" t="s">
        <v>1329</v>
      </c>
      <c r="D461" s="999" t="s">
        <v>22</v>
      </c>
      <c r="E461" s="1000">
        <v>1</v>
      </c>
      <c r="F461" s="575">
        <v>3370</v>
      </c>
      <c r="G461" s="795">
        <f t="shared" si="42"/>
        <v>3370</v>
      </c>
    </row>
    <row r="462" spans="1:7" s="45" customFormat="1">
      <c r="A462" s="185"/>
      <c r="B462" s="999" t="s">
        <v>1349</v>
      </c>
      <c r="C462" s="1030" t="s">
        <v>1331</v>
      </c>
      <c r="D462" s="999" t="s">
        <v>500</v>
      </c>
      <c r="E462" s="1000">
        <v>24</v>
      </c>
      <c r="F462" s="575">
        <v>3870</v>
      </c>
      <c r="G462" s="795">
        <f t="shared" si="42"/>
        <v>92880</v>
      </c>
    </row>
    <row r="463" spans="1:7" s="45" customFormat="1">
      <c r="A463" s="185"/>
      <c r="B463" s="999" t="s">
        <v>1350</v>
      </c>
      <c r="C463" s="1030" t="s">
        <v>1330</v>
      </c>
      <c r="D463" s="999" t="s">
        <v>500</v>
      </c>
      <c r="E463" s="1000">
        <v>7</v>
      </c>
      <c r="F463" s="575">
        <v>4740</v>
      </c>
      <c r="G463" s="795">
        <f t="shared" si="42"/>
        <v>33180</v>
      </c>
    </row>
    <row r="464" spans="1:7" s="45" customFormat="1">
      <c r="A464" s="185"/>
      <c r="B464" s="999" t="s">
        <v>1351</v>
      </c>
      <c r="C464" s="1030" t="s">
        <v>1333</v>
      </c>
      <c r="D464" s="999" t="s">
        <v>22</v>
      </c>
      <c r="E464" s="1000">
        <v>3</v>
      </c>
      <c r="F464" s="575">
        <v>47640</v>
      </c>
      <c r="G464" s="795">
        <f t="shared" si="42"/>
        <v>142920</v>
      </c>
    </row>
    <row r="465" spans="1:7" s="45" customFormat="1">
      <c r="A465" s="185"/>
      <c r="B465" s="999" t="s">
        <v>1352</v>
      </c>
      <c r="C465" s="1030" t="s">
        <v>1332</v>
      </c>
      <c r="D465" s="999" t="s">
        <v>22</v>
      </c>
      <c r="E465" s="1000">
        <v>3</v>
      </c>
      <c r="F465" s="587">
        <v>33030</v>
      </c>
      <c r="G465" s="795">
        <f t="shared" si="42"/>
        <v>99090</v>
      </c>
    </row>
    <row r="466" spans="1:7" s="45" customFormat="1">
      <c r="A466" s="185"/>
      <c r="B466" s="999" t="s">
        <v>1353</v>
      </c>
      <c r="C466" s="1030" t="s">
        <v>1334</v>
      </c>
      <c r="D466" s="999" t="s">
        <v>22</v>
      </c>
      <c r="E466" s="1000">
        <v>3</v>
      </c>
      <c r="F466" s="575">
        <v>3250</v>
      </c>
      <c r="G466" s="795">
        <f t="shared" si="42"/>
        <v>9750</v>
      </c>
    </row>
    <row r="467" spans="1:7" s="45" customFormat="1">
      <c r="A467" s="185"/>
      <c r="B467" s="937">
        <v>13.2</v>
      </c>
      <c r="C467" s="981" t="s">
        <v>1335</v>
      </c>
      <c r="D467" s="937"/>
      <c r="E467" s="982"/>
      <c r="F467" s="983"/>
      <c r="G467" s="984"/>
    </row>
    <row r="468" spans="1:7" s="45" customFormat="1">
      <c r="A468" s="185"/>
      <c r="B468" s="827" t="s">
        <v>1354</v>
      </c>
      <c r="C468" s="593" t="s">
        <v>1336</v>
      </c>
      <c r="D468" s="827" t="s">
        <v>1337</v>
      </c>
      <c r="E468" s="594">
        <v>2</v>
      </c>
      <c r="F468" s="973">
        <v>38073</v>
      </c>
      <c r="G468" s="795">
        <f t="shared" si="42"/>
        <v>76146</v>
      </c>
    </row>
    <row r="469" spans="1:7" s="45" customFormat="1">
      <c r="A469" s="185"/>
      <c r="B469" s="827" t="s">
        <v>1355</v>
      </c>
      <c r="C469" s="593" t="s">
        <v>1339</v>
      </c>
      <c r="D469" s="827" t="s">
        <v>1337</v>
      </c>
      <c r="E469" s="594">
        <v>3</v>
      </c>
      <c r="F469" s="973">
        <v>119840</v>
      </c>
      <c r="G469" s="795">
        <f t="shared" si="42"/>
        <v>359520</v>
      </c>
    </row>
    <row r="470" spans="1:7" s="45" customFormat="1">
      <c r="A470" s="185"/>
      <c r="B470" s="827" t="s">
        <v>1356</v>
      </c>
      <c r="C470" s="593" t="s">
        <v>1340</v>
      </c>
      <c r="D470" s="827" t="s">
        <v>1337</v>
      </c>
      <c r="E470" s="594">
        <v>5</v>
      </c>
      <c r="F470" s="973">
        <v>34234</v>
      </c>
      <c r="G470" s="795">
        <f t="shared" si="42"/>
        <v>171170</v>
      </c>
    </row>
    <row r="471" spans="1:7" s="45" customFormat="1">
      <c r="A471" s="185"/>
      <c r="B471" s="827" t="s">
        <v>1357</v>
      </c>
      <c r="C471" s="593" t="s">
        <v>1341</v>
      </c>
      <c r="D471" s="827" t="s">
        <v>1337</v>
      </c>
      <c r="E471" s="594">
        <v>3</v>
      </c>
      <c r="F471" s="575">
        <v>158604</v>
      </c>
      <c r="G471" s="795">
        <f t="shared" si="42"/>
        <v>475812</v>
      </c>
    </row>
    <row r="472" spans="1:7" s="45" customFormat="1">
      <c r="A472" s="185"/>
      <c r="B472" s="827" t="s">
        <v>1358</v>
      </c>
      <c r="C472" s="887" t="s">
        <v>1338</v>
      </c>
      <c r="D472" s="827" t="s">
        <v>22</v>
      </c>
      <c r="E472" s="594">
        <v>3</v>
      </c>
      <c r="F472" s="575">
        <v>208740</v>
      </c>
      <c r="G472" s="795">
        <f t="shared" si="42"/>
        <v>626220</v>
      </c>
    </row>
    <row r="473" spans="1:7" s="45" customFormat="1">
      <c r="A473" s="185"/>
      <c r="B473" s="937">
        <v>13.3</v>
      </c>
      <c r="C473" s="981" t="s">
        <v>1342</v>
      </c>
      <c r="D473" s="937"/>
      <c r="E473" s="982"/>
      <c r="F473" s="983"/>
      <c r="G473" s="984"/>
    </row>
    <row r="474" spans="1:7" s="45" customFormat="1">
      <c r="A474" s="185"/>
      <c r="B474" s="827" t="s">
        <v>1361</v>
      </c>
      <c r="C474" s="887" t="s">
        <v>1359</v>
      </c>
      <c r="D474" s="827" t="s">
        <v>22</v>
      </c>
      <c r="E474" s="594">
        <v>3</v>
      </c>
      <c r="F474" s="575">
        <v>29260</v>
      </c>
      <c r="G474" s="795">
        <f t="shared" si="42"/>
        <v>87780</v>
      </c>
    </row>
    <row r="475" spans="1:7" s="45" customFormat="1">
      <c r="A475" s="185"/>
      <c r="B475" s="827" t="s">
        <v>1373</v>
      </c>
      <c r="C475" s="887" t="s">
        <v>1360</v>
      </c>
      <c r="D475" s="827" t="s">
        <v>22</v>
      </c>
      <c r="E475" s="594">
        <v>3</v>
      </c>
      <c r="F475" s="575">
        <v>39530</v>
      </c>
      <c r="G475" s="795">
        <f t="shared" si="42"/>
        <v>118590</v>
      </c>
    </row>
    <row r="476" spans="1:7" s="45" customFormat="1">
      <c r="A476" s="185"/>
      <c r="B476" s="827" t="s">
        <v>1374</v>
      </c>
      <c r="C476" s="887" t="s">
        <v>1362</v>
      </c>
      <c r="D476" s="827" t="s">
        <v>22</v>
      </c>
      <c r="E476" s="594">
        <v>3</v>
      </c>
      <c r="F476" s="575">
        <v>66930</v>
      </c>
      <c r="G476" s="795">
        <f t="shared" si="42"/>
        <v>200790</v>
      </c>
    </row>
    <row r="477" spans="1:7" s="45" customFormat="1">
      <c r="A477" s="185"/>
      <c r="B477" s="937">
        <v>13.4</v>
      </c>
      <c r="C477" s="985" t="s">
        <v>1363</v>
      </c>
      <c r="D477" s="937"/>
      <c r="E477" s="982"/>
      <c r="F477" s="983"/>
      <c r="G477" s="984"/>
    </row>
    <row r="478" spans="1:7" s="45" customFormat="1">
      <c r="A478" s="185"/>
      <c r="B478" s="827" t="s">
        <v>1375</v>
      </c>
      <c r="C478" s="102" t="s">
        <v>1364</v>
      </c>
      <c r="D478" s="104" t="s">
        <v>500</v>
      </c>
      <c r="E478" s="103">
        <v>5</v>
      </c>
      <c r="F478" s="575">
        <v>22210</v>
      </c>
      <c r="G478" s="795">
        <f t="shared" si="42"/>
        <v>111050</v>
      </c>
    </row>
    <row r="479" spans="1:7" s="45" customFormat="1">
      <c r="A479" s="185"/>
      <c r="B479" s="827" t="s">
        <v>1376</v>
      </c>
      <c r="C479" s="102" t="s">
        <v>1365</v>
      </c>
      <c r="D479" s="104" t="s">
        <v>500</v>
      </c>
      <c r="E479" s="103">
        <v>5</v>
      </c>
      <c r="F479" s="575">
        <v>20970</v>
      </c>
      <c r="G479" s="795">
        <f t="shared" si="42"/>
        <v>104850</v>
      </c>
    </row>
    <row r="480" spans="1:7" s="45" customFormat="1" ht="15.75" thickBot="1">
      <c r="A480" s="185"/>
      <c r="B480" s="827" t="s">
        <v>1377</v>
      </c>
      <c r="C480" s="102" t="s">
        <v>1366</v>
      </c>
      <c r="D480" s="104" t="s">
        <v>500</v>
      </c>
      <c r="E480" s="103">
        <v>4</v>
      </c>
      <c r="F480" s="575">
        <v>18270</v>
      </c>
      <c r="G480" s="795">
        <f t="shared" si="42"/>
        <v>73080</v>
      </c>
    </row>
    <row r="481" spans="1:7" s="45" customFormat="1">
      <c r="A481" s="185"/>
      <c r="B481" s="937">
        <v>13.5</v>
      </c>
      <c r="C481" s="978" t="s">
        <v>1367</v>
      </c>
      <c r="D481" s="979"/>
      <c r="E481" s="979"/>
      <c r="F481" s="979"/>
      <c r="G481" s="980"/>
    </row>
    <row r="482" spans="1:7" s="45" customFormat="1">
      <c r="A482" s="185"/>
      <c r="B482" s="827" t="s">
        <v>1378</v>
      </c>
      <c r="C482" s="593" t="s">
        <v>1364</v>
      </c>
      <c r="D482" s="827" t="s">
        <v>1337</v>
      </c>
      <c r="E482" s="594">
        <v>2</v>
      </c>
      <c r="F482" s="575">
        <v>8658</v>
      </c>
      <c r="G482" s="795">
        <f t="shared" si="42"/>
        <v>17316</v>
      </c>
    </row>
    <row r="483" spans="1:7" s="45" customFormat="1">
      <c r="A483" s="185"/>
      <c r="B483" s="827" t="s">
        <v>1379</v>
      </c>
      <c r="C483" s="593" t="s">
        <v>1365</v>
      </c>
      <c r="D483" s="827" t="s">
        <v>1337</v>
      </c>
      <c r="E483" s="594">
        <v>6</v>
      </c>
      <c r="F483" s="575">
        <v>5510</v>
      </c>
      <c r="G483" s="795">
        <f t="shared" si="42"/>
        <v>33060</v>
      </c>
    </row>
    <row r="484" spans="1:7" s="45" customFormat="1" ht="15.75" thickBot="1">
      <c r="A484" s="185"/>
      <c r="B484" s="827" t="s">
        <v>1380</v>
      </c>
      <c r="C484" s="593" t="s">
        <v>1366</v>
      </c>
      <c r="D484" s="827" t="s">
        <v>1337</v>
      </c>
      <c r="E484" s="594">
        <v>2</v>
      </c>
      <c r="F484" s="575">
        <v>2169</v>
      </c>
      <c r="G484" s="795">
        <f t="shared" si="42"/>
        <v>4338</v>
      </c>
    </row>
    <row r="485" spans="1:7" s="45" customFormat="1">
      <c r="A485" s="185"/>
      <c r="B485" s="991">
        <v>13.6</v>
      </c>
      <c r="C485" s="978" t="s">
        <v>1368</v>
      </c>
      <c r="D485" s="979"/>
      <c r="E485" s="979"/>
      <c r="F485" s="979"/>
      <c r="G485" s="1002"/>
    </row>
    <row r="486" spans="1:7" s="45" customFormat="1">
      <c r="A486" s="185"/>
      <c r="B486" s="592" t="s">
        <v>1381</v>
      </c>
      <c r="C486" s="593" t="s">
        <v>1365</v>
      </c>
      <c r="D486" s="827" t="s">
        <v>1337</v>
      </c>
      <c r="E486" s="594">
        <v>3</v>
      </c>
      <c r="F486" s="575">
        <v>6465</v>
      </c>
      <c r="G486" s="795">
        <f t="shared" si="42"/>
        <v>19395</v>
      </c>
    </row>
    <row r="487" spans="1:7" s="45" customFormat="1" ht="15.75" thickBot="1">
      <c r="A487" s="185"/>
      <c r="B487" s="592" t="s">
        <v>1382</v>
      </c>
      <c r="C487" s="593" t="s">
        <v>1366</v>
      </c>
      <c r="D487" s="827" t="s">
        <v>1337</v>
      </c>
      <c r="E487" s="594">
        <v>1</v>
      </c>
      <c r="F487" s="575">
        <v>4785</v>
      </c>
      <c r="G487" s="795">
        <f t="shared" si="42"/>
        <v>4785</v>
      </c>
    </row>
    <row r="488" spans="1:7" s="45" customFormat="1">
      <c r="A488" s="185"/>
      <c r="B488" s="992">
        <v>13.7</v>
      </c>
      <c r="C488" s="75" t="s">
        <v>1369</v>
      </c>
      <c r="D488" s="76"/>
      <c r="E488" s="76"/>
      <c r="F488" s="76"/>
      <c r="G488" s="126"/>
    </row>
    <row r="489" spans="1:7" s="45" customFormat="1">
      <c r="A489" s="185"/>
      <c r="B489" s="827" t="s">
        <v>1383</v>
      </c>
      <c r="C489" s="887" t="s">
        <v>1371</v>
      </c>
      <c r="D489" s="827" t="s">
        <v>1337</v>
      </c>
      <c r="E489" s="594">
        <v>2</v>
      </c>
      <c r="F489" s="575">
        <v>24760</v>
      </c>
      <c r="G489" s="795">
        <f t="shared" si="42"/>
        <v>49520</v>
      </c>
    </row>
    <row r="490" spans="1:7" s="45" customFormat="1" ht="15.75" thickBot="1">
      <c r="A490" s="185"/>
      <c r="B490" s="827" t="s">
        <v>1384</v>
      </c>
      <c r="C490" s="887" t="s">
        <v>1370</v>
      </c>
      <c r="D490" s="827" t="s">
        <v>1337</v>
      </c>
      <c r="E490" s="594">
        <v>2</v>
      </c>
      <c r="F490" s="575">
        <v>29900</v>
      </c>
      <c r="G490" s="795">
        <f t="shared" si="42"/>
        <v>59800</v>
      </c>
    </row>
    <row r="491" spans="1:7" s="45" customFormat="1">
      <c r="A491" s="185"/>
      <c r="B491" s="992">
        <v>13.8</v>
      </c>
      <c r="C491" s="75" t="s">
        <v>1372</v>
      </c>
      <c r="D491" s="76"/>
      <c r="E491" s="76"/>
      <c r="F491" s="76"/>
      <c r="G491" s="126"/>
    </row>
    <row r="492" spans="1:7" s="45" customFormat="1">
      <c r="A492" s="185"/>
      <c r="B492" s="101" t="s">
        <v>1385</v>
      </c>
      <c r="C492" s="102" t="s">
        <v>1365</v>
      </c>
      <c r="D492" s="104" t="s">
        <v>500</v>
      </c>
      <c r="E492" s="103">
        <v>3</v>
      </c>
      <c r="F492" s="575">
        <v>10451</v>
      </c>
      <c r="G492" s="795">
        <f t="shared" si="42"/>
        <v>31353</v>
      </c>
    </row>
    <row r="493" spans="1:7" s="45" customFormat="1" ht="15.75" thickBot="1">
      <c r="A493" s="185"/>
      <c r="B493" s="1025"/>
      <c r="C493" s="871"/>
      <c r="D493" s="873"/>
      <c r="E493" s="874"/>
      <c r="F493" s="1331" t="s">
        <v>1404</v>
      </c>
      <c r="G493" s="1004">
        <f>SUM(G457:G492)</f>
        <v>3304185</v>
      </c>
    </row>
    <row r="494" spans="1:7" s="45" customFormat="1">
      <c r="A494" s="185"/>
      <c r="B494" s="74"/>
      <c r="C494" s="75" t="s">
        <v>1389</v>
      </c>
      <c r="D494" s="76"/>
      <c r="E494" s="76"/>
      <c r="F494" s="76"/>
      <c r="G494" s="77"/>
    </row>
    <row r="495" spans="1:7" s="45" customFormat="1">
      <c r="A495" s="185"/>
      <c r="B495" s="592"/>
      <c r="C495" s="593" t="s">
        <v>1390</v>
      </c>
      <c r="D495" s="827" t="s">
        <v>1337</v>
      </c>
      <c r="E495" s="594">
        <v>1</v>
      </c>
      <c r="F495" s="575">
        <v>78639</v>
      </c>
      <c r="G495" s="795">
        <v>78639</v>
      </c>
    </row>
    <row r="496" spans="1:7" s="45" customFormat="1">
      <c r="A496" s="185"/>
      <c r="B496" s="592"/>
      <c r="C496" s="593" t="s">
        <v>1391</v>
      </c>
      <c r="D496" s="827" t="s">
        <v>1337</v>
      </c>
      <c r="E496" s="594">
        <v>1</v>
      </c>
      <c r="F496" s="575">
        <v>942239</v>
      </c>
      <c r="G496" s="795">
        <v>942239</v>
      </c>
    </row>
    <row r="497" spans="1:9" s="45" customFormat="1">
      <c r="A497" s="185"/>
      <c r="B497" s="592"/>
      <c r="C497" s="593" t="s">
        <v>1392</v>
      </c>
      <c r="D497" s="827" t="s">
        <v>1337</v>
      </c>
      <c r="E497" s="594">
        <v>2</v>
      </c>
      <c r="F497" s="575">
        <v>212089</v>
      </c>
      <c r="G497" s="795">
        <v>424178</v>
      </c>
    </row>
    <row r="498" spans="1:9" s="45" customFormat="1">
      <c r="A498" s="185"/>
      <c r="B498" s="974"/>
      <c r="C498" s="977"/>
      <c r="D498" s="996"/>
      <c r="E498" s="997"/>
      <c r="F498" s="968"/>
      <c r="G498" s="976"/>
    </row>
    <row r="499" spans="1:9" s="45" customFormat="1" ht="15.75" thickBot="1">
      <c r="A499" s="185"/>
      <c r="B499" s="1025"/>
      <c r="C499" s="871"/>
      <c r="D499" s="873"/>
      <c r="E499" s="874"/>
      <c r="F499" s="1331" t="s">
        <v>1547</v>
      </c>
      <c r="G499" s="1004">
        <f>SUM(G495:G498)</f>
        <v>1445056</v>
      </c>
    </row>
    <row r="500" spans="1:9" s="45" customFormat="1" ht="15.75" thickBot="1">
      <c r="A500" s="185"/>
      <c r="B500" s="16"/>
      <c r="C500" s="1023"/>
      <c r="D500" s="821"/>
      <c r="E500" s="825"/>
      <c r="F500" s="826"/>
      <c r="G500" s="1024"/>
    </row>
    <row r="501" spans="1:9" s="45" customFormat="1">
      <c r="A501" s="185"/>
      <c r="B501" s="74"/>
      <c r="C501" s="75" t="s">
        <v>1387</v>
      </c>
      <c r="D501" s="76"/>
      <c r="E501" s="76"/>
      <c r="F501" s="76"/>
      <c r="G501" s="126"/>
    </row>
    <row r="502" spans="1:9" s="45" customFormat="1" ht="25.5">
      <c r="A502" s="185"/>
      <c r="B502" s="101"/>
      <c r="C502" s="102" t="s">
        <v>1388</v>
      </c>
      <c r="D502" s="104" t="s">
        <v>22</v>
      </c>
      <c r="E502" s="103">
        <v>2</v>
      </c>
      <c r="F502" s="575">
        <v>3177088</v>
      </c>
      <c r="G502" s="795">
        <f t="shared" ref="G502" si="43">+F502*E502</f>
        <v>6354176</v>
      </c>
    </row>
    <row r="503" spans="1:9" s="45" customFormat="1" ht="15.75" thickBot="1">
      <c r="A503" s="185"/>
      <c r="B503" s="1025"/>
      <c r="C503" s="871"/>
      <c r="D503" s="873"/>
      <c r="E503" s="874"/>
      <c r="F503" s="1331" t="s">
        <v>1394</v>
      </c>
      <c r="G503" s="1004">
        <f>+G502</f>
        <v>6354176</v>
      </c>
    </row>
    <row r="504" spans="1:9" s="45" customFormat="1" ht="15.75" thickBot="1">
      <c r="A504" s="185"/>
      <c r="B504" s="886"/>
      <c r="C504" s="1348" t="s">
        <v>1580</v>
      </c>
      <c r="D504" s="1349"/>
      <c r="E504" s="1350"/>
      <c r="F504" s="1351"/>
      <c r="G504" s="1352"/>
    </row>
    <row r="505" spans="1:9" s="45" customFormat="1" ht="319.5" thickBot="1">
      <c r="A505" s="185"/>
      <c r="B505" s="1311">
        <v>3.23</v>
      </c>
      <c r="C505" s="1312" t="s">
        <v>978</v>
      </c>
      <c r="D505" s="1313" t="s">
        <v>22</v>
      </c>
      <c r="E505" s="1314">
        <v>1</v>
      </c>
      <c r="F505" s="1315">
        <v>20915045.159595501</v>
      </c>
      <c r="G505" s="1316">
        <f t="shared" ref="G505" si="44">+F505*E505</f>
        <v>20915045.159595501</v>
      </c>
      <c r="I505" s="1274">
        <f>13962000*1.06*1.06*1.16*1.2</f>
        <v>21837282.854400001</v>
      </c>
    </row>
    <row r="506" spans="1:9" s="45" customFormat="1">
      <c r="A506" s="185"/>
      <c r="B506" s="886"/>
      <c r="C506" s="1259"/>
      <c r="D506" s="1260"/>
      <c r="E506" s="1261"/>
      <c r="F506" s="1262" t="s">
        <v>1581</v>
      </c>
      <c r="G506" s="1263">
        <f>+G505</f>
        <v>20915045.159595501</v>
      </c>
    </row>
    <row r="507" spans="1:9" s="45" customFormat="1">
      <c r="A507" s="185"/>
      <c r="B507" s="1264"/>
      <c r="C507" s="1265"/>
      <c r="D507" s="1266"/>
      <c r="E507" s="1267"/>
      <c r="F507" s="1268" t="s">
        <v>1394</v>
      </c>
      <c r="G507" s="1269">
        <f>+G506+G503+G499</f>
        <v>28714277.159595501</v>
      </c>
    </row>
    <row r="508" spans="1:9" s="45" customFormat="1" ht="15.75" thickBot="1">
      <c r="A508" s="185"/>
      <c r="B508" s="886"/>
      <c r="C508" s="1259"/>
      <c r="D508" s="1260"/>
      <c r="E508" s="1261"/>
      <c r="F508" s="1262"/>
      <c r="G508" s="1263"/>
    </row>
    <row r="509" spans="1:9" s="45" customFormat="1">
      <c r="A509" s="185"/>
      <c r="B509" s="74"/>
      <c r="C509" s="75" t="s">
        <v>1408</v>
      </c>
      <c r="D509" s="76"/>
      <c r="E509" s="76"/>
      <c r="F509" s="76"/>
      <c r="G509" s="77"/>
    </row>
    <row r="510" spans="1:9" s="45" customFormat="1">
      <c r="A510" s="185"/>
      <c r="B510" s="85"/>
      <c r="C510" s="86" t="s">
        <v>1400</v>
      </c>
      <c r="D510" s="87" t="s">
        <v>139</v>
      </c>
      <c r="E510" s="1045" t="e">
        <f>+(E520+E521+E524+E522+E523+E524)*0.6*1</f>
        <v>#REF!</v>
      </c>
      <c r="F510" s="587">
        <v>2640</v>
      </c>
      <c r="G510" s="795" t="e">
        <f>+F510*E510</f>
        <v>#REF!</v>
      </c>
    </row>
    <row r="511" spans="1:9" s="45" customFormat="1">
      <c r="A511" s="185"/>
      <c r="B511" s="771"/>
      <c r="C511" s="102" t="s">
        <v>941</v>
      </c>
      <c r="D511" s="777" t="s">
        <v>139</v>
      </c>
      <c r="E511" s="587" t="e">
        <f>+E510</f>
        <v>#REF!</v>
      </c>
      <c r="F511" s="587">
        <v>10240</v>
      </c>
      <c r="G511" s="587" t="e">
        <f t="shared" ref="G511" si="45">+E511*F511</f>
        <v>#REF!</v>
      </c>
    </row>
    <row r="512" spans="1:9" s="45" customFormat="1">
      <c r="A512" s="185"/>
      <c r="B512" s="771"/>
      <c r="C512" s="102" t="s">
        <v>1548</v>
      </c>
      <c r="D512" s="777" t="s">
        <v>139</v>
      </c>
      <c r="E512" s="587">
        <f>0.7*1290*0.06</f>
        <v>54.179999999999993</v>
      </c>
      <c r="F512" s="587">
        <v>46020</v>
      </c>
      <c r="G512" s="589">
        <f>+F512*E512</f>
        <v>2493363.5999999996</v>
      </c>
    </row>
    <row r="513" spans="1:9" s="45" customFormat="1">
      <c r="A513" s="185"/>
      <c r="B513" s="771"/>
      <c r="C513" s="822" t="s">
        <v>1549</v>
      </c>
      <c r="D513" s="1339" t="s">
        <v>139</v>
      </c>
      <c r="E513" s="1340">
        <v>54</v>
      </c>
      <c r="F513" s="1340">
        <v>15590</v>
      </c>
      <c r="G513" s="1341">
        <f>+F513*E513</f>
        <v>841860</v>
      </c>
    </row>
    <row r="514" spans="1:9" s="45" customFormat="1" ht="51">
      <c r="A514" s="185"/>
      <c r="B514" s="1333"/>
      <c r="C514" s="1342" t="s">
        <v>1575</v>
      </c>
      <c r="D514" s="1020" t="s">
        <v>139</v>
      </c>
      <c r="E514" s="1343" t="e">
        <f>+(E522+E523+E524+92)*0.2*0.6</f>
        <v>#REF!</v>
      </c>
      <c r="F514" s="1344">
        <v>76530</v>
      </c>
      <c r="G514" s="1345" t="e">
        <f t="shared" ref="G514:G518" si="46">+F514*E514</f>
        <v>#REF!</v>
      </c>
    </row>
    <row r="515" spans="1:9" s="45" customFormat="1" ht="51">
      <c r="A515" s="185"/>
      <c r="B515" s="1333"/>
      <c r="C515" s="1342" t="s">
        <v>1576</v>
      </c>
      <c r="D515" s="1020" t="s">
        <v>139</v>
      </c>
      <c r="E515" s="1343" t="e">
        <f>+(E522+E523+E524+92)*0.15*0.6</f>
        <v>#REF!</v>
      </c>
      <c r="F515" s="1344">
        <v>74730</v>
      </c>
      <c r="G515" s="1345" t="e">
        <f t="shared" si="46"/>
        <v>#REF!</v>
      </c>
    </row>
    <row r="516" spans="1:9" s="45" customFormat="1">
      <c r="A516" s="185"/>
      <c r="B516" s="1333"/>
      <c r="C516" s="1342" t="s">
        <v>1578</v>
      </c>
      <c r="D516" s="1346" t="s">
        <v>139</v>
      </c>
      <c r="E516" s="1343" t="e">
        <f>+(E523+E524+E525+92)*0.15*0.6</f>
        <v>#REF!</v>
      </c>
      <c r="F516" s="1344">
        <v>34090</v>
      </c>
      <c r="G516" s="1345" t="e">
        <f t="shared" si="46"/>
        <v>#REF!</v>
      </c>
    </row>
    <row r="517" spans="1:9" s="45" customFormat="1">
      <c r="A517" s="185"/>
      <c r="B517" s="1333"/>
      <c r="C517" s="1347" t="s">
        <v>1579</v>
      </c>
      <c r="D517" s="1346" t="s">
        <v>139</v>
      </c>
      <c r="E517" s="1343" t="e">
        <f>+(E522+E523+E524+92)*0.6*0.07</f>
        <v>#REF!</v>
      </c>
      <c r="F517" s="1344">
        <f>421207+22500</f>
        <v>443707</v>
      </c>
      <c r="G517" s="1345" t="e">
        <f t="shared" si="46"/>
        <v>#REF!</v>
      </c>
      <c r="I517" s="1345"/>
    </row>
    <row r="518" spans="1:9" s="45" customFormat="1">
      <c r="A518" s="185"/>
      <c r="B518" s="1333"/>
      <c r="C518" s="1347" t="s">
        <v>1577</v>
      </c>
      <c r="D518" s="1346" t="s">
        <v>56</v>
      </c>
      <c r="E518" s="1343" t="e">
        <f>+(E522+E523+E524+92)*0.6</f>
        <v>#REF!</v>
      </c>
      <c r="F518" s="1344">
        <v>1954</v>
      </c>
      <c r="G518" s="1345" t="e">
        <f t="shared" si="46"/>
        <v>#REF!</v>
      </c>
      <c r="I518" s="1043" t="e">
        <f>+#REF!/E517</f>
        <v>#REF!</v>
      </c>
    </row>
    <row r="519" spans="1:9" s="45" customFormat="1">
      <c r="A519" s="185"/>
      <c r="B519" s="1333"/>
      <c r="C519" s="1336" t="s">
        <v>1550</v>
      </c>
      <c r="D519" s="777"/>
      <c r="E519" s="587"/>
      <c r="F519" s="587"/>
      <c r="G519" s="774"/>
    </row>
    <row r="520" spans="1:9" s="45" customFormat="1">
      <c r="A520" s="185"/>
      <c r="B520" s="1334"/>
      <c r="C520" s="1336" t="s">
        <v>1396</v>
      </c>
      <c r="D520" s="104" t="s">
        <v>500</v>
      </c>
      <c r="E520" s="103" t="e">
        <f>+#REF!</f>
        <v>#REF!</v>
      </c>
      <c r="F520" s="575">
        <v>5021</v>
      </c>
      <c r="G520" s="792" t="e">
        <f>+F520*E520</f>
        <v>#REF!</v>
      </c>
      <c r="I520" s="1043"/>
    </row>
    <row r="521" spans="1:9" s="45" customFormat="1">
      <c r="A521" s="185"/>
      <c r="B521" s="1334"/>
      <c r="C521" s="1336" t="s">
        <v>1397</v>
      </c>
      <c r="D521" s="104" t="s">
        <v>500</v>
      </c>
      <c r="E521" s="103" t="e">
        <f>+#REF!</f>
        <v>#REF!</v>
      </c>
      <c r="F521" s="575">
        <v>5021</v>
      </c>
      <c r="G521" s="792" t="e">
        <f>+F521*E521</f>
        <v>#REF!</v>
      </c>
    </row>
    <row r="522" spans="1:9" s="45" customFormat="1">
      <c r="A522" s="185"/>
      <c r="B522" s="1334"/>
      <c r="C522" s="1336" t="s">
        <v>1402</v>
      </c>
      <c r="D522" s="104" t="s">
        <v>500</v>
      </c>
      <c r="E522" s="103" t="e">
        <f>+#REF!</f>
        <v>#REF!</v>
      </c>
      <c r="F522" s="575">
        <v>3632</v>
      </c>
      <c r="G522" s="792" t="e">
        <f t="shared" ref="G522:G524" si="47">+F522*E522</f>
        <v>#REF!</v>
      </c>
    </row>
    <row r="523" spans="1:9" s="45" customFormat="1">
      <c r="A523" s="185"/>
      <c r="B523" s="1334"/>
      <c r="C523" s="1336" t="s">
        <v>1434</v>
      </c>
      <c r="D523" s="104" t="s">
        <v>500</v>
      </c>
      <c r="E523" s="103" t="e">
        <f>+#REF!</f>
        <v>#REF!</v>
      </c>
      <c r="F523" s="575">
        <v>3512</v>
      </c>
      <c r="G523" s="792" t="e">
        <f t="shared" si="47"/>
        <v>#REF!</v>
      </c>
    </row>
    <row r="524" spans="1:9" s="45" customFormat="1">
      <c r="A524" s="185"/>
      <c r="B524" s="1335"/>
      <c r="C524" s="1337" t="s">
        <v>1406</v>
      </c>
      <c r="D524" s="104" t="s">
        <v>500</v>
      </c>
      <c r="E524" s="103" t="e">
        <f>+#REF!</f>
        <v>#REF!</v>
      </c>
      <c r="F524" s="575">
        <v>3512</v>
      </c>
      <c r="G524" s="792" t="e">
        <f t="shared" si="47"/>
        <v>#REF!</v>
      </c>
    </row>
    <row r="525" spans="1:9" s="45" customFormat="1" ht="15.75" thickBot="1">
      <c r="A525" s="185"/>
      <c r="B525" s="876"/>
      <c r="C525" s="1338"/>
      <c r="D525" s="873"/>
      <c r="E525" s="874"/>
      <c r="F525" s="1331" t="s">
        <v>1398</v>
      </c>
      <c r="G525" s="1004" t="e">
        <f>SUM(G510:G524)</f>
        <v>#REF!</v>
      </c>
    </row>
    <row r="526" spans="1:9" s="45" customFormat="1">
      <c r="A526" s="185"/>
      <c r="B526" s="827"/>
      <c r="C526" s="887"/>
      <c r="D526" s="827"/>
      <c r="E526" s="594"/>
      <c r="F526" s="575"/>
      <c r="G526" s="792"/>
    </row>
    <row r="527" spans="1:9" s="45" customFormat="1" ht="15.75" customHeight="1">
      <c r="A527" s="212"/>
      <c r="B527" s="38"/>
      <c r="C527" s="145"/>
      <c r="D527" s="146"/>
      <c r="E527" s="146"/>
      <c r="F527" s="147" t="s">
        <v>94</v>
      </c>
      <c r="G527" s="946" t="e">
        <f>+G30+G45+G88+G130+G171+G207+G256+G283+G348+G426+G436+G453+G493+G507+G525</f>
        <v>#REF!</v>
      </c>
    </row>
    <row r="528" spans="1:9" s="45" customFormat="1">
      <c r="A528" s="212"/>
      <c r="B528" s="38"/>
      <c r="C528" s="157"/>
      <c r="G528" s="796"/>
    </row>
    <row r="529" spans="1:7" s="45" customFormat="1">
      <c r="A529" s="212"/>
      <c r="B529" s="38"/>
      <c r="C529" s="157"/>
      <c r="G529" s="796"/>
    </row>
    <row r="530" spans="1:7" s="45" customFormat="1">
      <c r="A530" s="212"/>
      <c r="B530" s="38"/>
      <c r="C530" s="162" t="s">
        <v>96</v>
      </c>
      <c r="D530" s="163"/>
      <c r="E530" s="164"/>
      <c r="F530" s="165"/>
      <c r="G530" s="798"/>
    </row>
    <row r="531" spans="1:7" s="45" customFormat="1">
      <c r="A531" s="212"/>
      <c r="B531" s="38"/>
      <c r="C531" s="170"/>
      <c r="D531" s="171"/>
      <c r="E531" s="171"/>
      <c r="F531" s="172" t="s">
        <v>98</v>
      </c>
      <c r="G531" s="799" t="e">
        <f>+G527</f>
        <v>#REF!</v>
      </c>
    </row>
    <row r="532" spans="1:7">
      <c r="C532" s="177"/>
      <c r="D532" s="178"/>
      <c r="E532" s="179" t="s">
        <v>100</v>
      </c>
      <c r="F532" s="180">
        <v>0.18</v>
      </c>
      <c r="G532" s="800" t="e">
        <f>+G531*F532</f>
        <v>#REF!</v>
      </c>
    </row>
    <row r="533" spans="1:7">
      <c r="C533" s="186"/>
      <c r="D533" s="187"/>
      <c r="E533" s="188" t="s">
        <v>102</v>
      </c>
      <c r="F533" s="189">
        <v>0.08</v>
      </c>
      <c r="G533" s="801" t="e">
        <f>+G531*F533</f>
        <v>#REF!</v>
      </c>
    </row>
    <row r="534" spans="1:7">
      <c r="C534" s="186"/>
      <c r="D534" s="187"/>
      <c r="E534" s="188" t="s">
        <v>104</v>
      </c>
      <c r="F534" s="189">
        <v>0.05</v>
      </c>
      <c r="G534" s="801" t="e">
        <f>+G531*F534</f>
        <v>#REF!</v>
      </c>
    </row>
    <row r="535" spans="1:7">
      <c r="C535" s="191"/>
      <c r="D535" s="192"/>
      <c r="E535" s="193" t="s">
        <v>105</v>
      </c>
      <c r="F535" s="194">
        <f>+F534+F533+F532</f>
        <v>0.31</v>
      </c>
      <c r="G535" s="802" t="e">
        <f>+G532+G533+G534</f>
        <v>#REF!</v>
      </c>
    </row>
    <row r="536" spans="1:7">
      <c r="C536" s="191"/>
      <c r="D536" s="192"/>
      <c r="E536" s="193" t="s">
        <v>107</v>
      </c>
      <c r="F536" s="194">
        <v>0.16</v>
      </c>
      <c r="G536" s="803" t="e">
        <f>+G534*F536</f>
        <v>#REF!</v>
      </c>
    </row>
    <row r="537" spans="1:7">
      <c r="C537" s="200"/>
      <c r="D537" s="201"/>
      <c r="E537" s="201"/>
      <c r="F537" s="202" t="s">
        <v>109</v>
      </c>
      <c r="G537" s="804" t="e">
        <f>+G531+G535+G536</f>
        <v>#REF!</v>
      </c>
    </row>
    <row r="538" spans="1:7">
      <c r="C538" s="38"/>
      <c r="G538" s="810"/>
    </row>
    <row r="539" spans="1:7">
      <c r="C539" s="38"/>
      <c r="G539" s="1046"/>
    </row>
    <row r="540" spans="1:7">
      <c r="C540" s="38"/>
      <c r="G540" s="1046"/>
    </row>
    <row r="541" spans="1:7">
      <c r="C541" s="38"/>
      <c r="G541" s="1046"/>
    </row>
    <row r="542" spans="1:7">
      <c r="C542" s="38"/>
      <c r="G542" s="1046"/>
    </row>
    <row r="543" spans="1:7">
      <c r="C543" s="38"/>
      <c r="G543" s="1046"/>
    </row>
    <row r="544" spans="1:7">
      <c r="C544" s="38"/>
      <c r="G544" s="1046"/>
    </row>
    <row r="545" spans="3:7">
      <c r="C545" s="38"/>
      <c r="G545" s="1046"/>
    </row>
    <row r="546" spans="3:7">
      <c r="C546" s="38"/>
      <c r="G546" s="1046"/>
    </row>
    <row r="547" spans="3:7">
      <c r="C547" s="38"/>
      <c r="G547" s="1046"/>
    </row>
    <row r="548" spans="3:7">
      <c r="C548" s="38"/>
      <c r="G548" s="1046"/>
    </row>
    <row r="549" spans="3:7">
      <c r="C549" s="38"/>
      <c r="G549" s="1046"/>
    </row>
    <row r="550" spans="3:7">
      <c r="C550" s="38"/>
      <c r="G550" s="1046"/>
    </row>
    <row r="551" spans="3:7">
      <c r="C551" s="38"/>
      <c r="G551" s="1046"/>
    </row>
    <row r="552" spans="3:7">
      <c r="C552" s="38"/>
      <c r="G552" s="1046"/>
    </row>
    <row r="553" spans="3:7">
      <c r="C553" s="38"/>
      <c r="G553" s="1046"/>
    </row>
    <row r="554" spans="3:7">
      <c r="C554" s="38"/>
      <c r="G554" s="1046"/>
    </row>
    <row r="555" spans="3:7">
      <c r="C555" s="38"/>
      <c r="G555" s="1046"/>
    </row>
    <row r="556" spans="3:7">
      <c r="C556" s="38"/>
      <c r="G556" s="1046"/>
    </row>
    <row r="557" spans="3:7">
      <c r="C557" s="38"/>
      <c r="G557" s="1046"/>
    </row>
    <row r="558" spans="3:7">
      <c r="C558" s="38"/>
      <c r="G558" s="1046"/>
    </row>
    <row r="559" spans="3:7">
      <c r="C559" s="38"/>
      <c r="G559" s="1046"/>
    </row>
    <row r="560" spans="3:7">
      <c r="C560" s="38"/>
      <c r="G560" s="1046"/>
    </row>
    <row r="561" spans="3:7">
      <c r="C561" s="38"/>
      <c r="G561" s="1046"/>
    </row>
    <row r="562" spans="3:7">
      <c r="C562" s="38"/>
      <c r="G562" s="1046"/>
    </row>
    <row r="563" spans="3:7">
      <c r="C563" s="38"/>
      <c r="G563" s="1046"/>
    </row>
    <row r="564" spans="3:7">
      <c r="C564" s="38"/>
      <c r="G564" s="1046"/>
    </row>
    <row r="565" spans="3:7">
      <c r="C565" s="38"/>
      <c r="G565" s="1046"/>
    </row>
    <row r="566" spans="3:7">
      <c r="C566" s="38"/>
      <c r="G566" s="1046"/>
    </row>
    <row r="567" spans="3:7">
      <c r="C567" s="38"/>
      <c r="G567" s="1046"/>
    </row>
    <row r="568" spans="3:7">
      <c r="C568" s="38"/>
      <c r="G568" s="1046"/>
    </row>
    <row r="569" spans="3:7">
      <c r="C569" s="38"/>
      <c r="G569" s="1046"/>
    </row>
    <row r="570" spans="3:7">
      <c r="C570" s="38"/>
      <c r="G570" s="1046"/>
    </row>
    <row r="571" spans="3:7">
      <c r="C571" s="38"/>
      <c r="G571" s="1046"/>
    </row>
    <row r="572" spans="3:7">
      <c r="C572" s="38"/>
      <c r="G572" s="1046"/>
    </row>
    <row r="573" spans="3:7">
      <c r="C573" s="38"/>
      <c r="G573" s="1046"/>
    </row>
    <row r="574" spans="3:7">
      <c r="C574" s="38"/>
      <c r="G574" s="1046"/>
    </row>
    <row r="575" spans="3:7">
      <c r="C575" s="38"/>
      <c r="G575" s="1046"/>
    </row>
    <row r="576" spans="3:7">
      <c r="C576" s="38"/>
      <c r="G576" s="1046"/>
    </row>
    <row r="577" spans="2:9">
      <c r="C577" s="38"/>
      <c r="G577" s="1046"/>
    </row>
    <row r="578" spans="2:9">
      <c r="C578" s="38"/>
      <c r="G578" s="1046"/>
    </row>
    <row r="579" spans="2:9">
      <c r="C579" s="38"/>
      <c r="G579" s="1046"/>
    </row>
    <row r="580" spans="2:9">
      <c r="C580" s="38"/>
      <c r="G580" s="1046"/>
    </row>
    <row r="581" spans="2:9" ht="23.25">
      <c r="B581" s="1909" t="s">
        <v>1421</v>
      </c>
      <c r="C581" s="1909"/>
      <c r="D581" s="1909"/>
      <c r="E581" s="1909"/>
      <c r="F581" s="1909"/>
      <c r="G581" s="1909"/>
    </row>
    <row r="582" spans="2:9">
      <c r="C582" s="38"/>
      <c r="D582" s="216"/>
      <c r="E582" s="217"/>
      <c r="F582" s="95"/>
      <c r="G582" s="95"/>
    </row>
    <row r="583" spans="2:9" ht="15.75">
      <c r="C583" s="1920" t="s">
        <v>947</v>
      </c>
      <c r="D583" s="1920"/>
      <c r="E583" s="1920"/>
      <c r="F583" s="1920"/>
      <c r="G583" s="1038" t="e">
        <f>+G537</f>
        <v>#REF!</v>
      </c>
    </row>
    <row r="584" spans="2:9" ht="15.75">
      <c r="C584" s="1919" t="s">
        <v>1435</v>
      </c>
      <c r="D584" s="1919"/>
      <c r="E584" s="1919"/>
      <c r="F584" s="1919"/>
      <c r="G584" s="1003" t="e">
        <f>+G583*0.06</f>
        <v>#REF!</v>
      </c>
    </row>
    <row r="585" spans="2:9" ht="15.75">
      <c r="C585" s="971"/>
      <c r="D585" s="971"/>
      <c r="E585" s="971"/>
      <c r="F585" s="971"/>
      <c r="G585" s="1003"/>
    </row>
    <row r="586" spans="2:9" ht="15.75">
      <c r="C586" s="1921" t="s">
        <v>948</v>
      </c>
      <c r="D586" s="1921"/>
      <c r="E586" s="1921"/>
      <c r="F586" s="1921"/>
      <c r="G586" s="1003" t="e">
        <f>+#REF!</f>
        <v>#REF!</v>
      </c>
    </row>
    <row r="587" spans="2:9" ht="15.75">
      <c r="C587" s="1921" t="s">
        <v>1551</v>
      </c>
      <c r="D587" s="1921"/>
      <c r="E587" s="1921"/>
      <c r="F587" s="1921"/>
      <c r="G587" s="1003" t="e">
        <f>+G586*0.04</f>
        <v>#REF!</v>
      </c>
    </row>
    <row r="588" spans="2:9" ht="15.75">
      <c r="C588" s="1332"/>
      <c r="D588" s="1332"/>
      <c r="E588" s="1332"/>
      <c r="F588" s="1332"/>
      <c r="G588" s="1037"/>
    </row>
    <row r="589" spans="2:9" ht="15.75">
      <c r="C589" s="1921" t="s">
        <v>570</v>
      </c>
      <c r="D589" s="1921"/>
      <c r="E589" s="1921"/>
      <c r="F589" s="1921"/>
      <c r="G589" s="1037" t="e">
        <f>SUM(G583:G588)</f>
        <v>#REF!</v>
      </c>
    </row>
    <row r="590" spans="2:9" ht="15.75">
      <c r="C590" s="1919" t="s">
        <v>1401</v>
      </c>
      <c r="D590" s="1919"/>
      <c r="E590" s="1919"/>
      <c r="F590" s="1919"/>
      <c r="G590" s="1003" t="e">
        <f>+(G589/0.98)*0.02</f>
        <v>#REF!</v>
      </c>
      <c r="I590" s="945" t="e">
        <f>+I591-G591</f>
        <v>#REF!</v>
      </c>
    </row>
    <row r="591" spans="2:9" ht="15.75">
      <c r="C591" s="1919" t="s">
        <v>484</v>
      </c>
      <c r="D591" s="1919"/>
      <c r="E591" s="1919"/>
      <c r="F591" s="1919"/>
      <c r="G591" s="1039" t="e">
        <f>+G589+G590</f>
        <v>#REF!</v>
      </c>
      <c r="I591" s="424">
        <v>2406339516</v>
      </c>
    </row>
    <row r="592" spans="2:9">
      <c r="G592" s="945"/>
    </row>
  </sheetData>
  <mergeCells count="19">
    <mergeCell ref="C591:F591"/>
    <mergeCell ref="C583:F583"/>
    <mergeCell ref="C584:F584"/>
    <mergeCell ref="C586:F586"/>
    <mergeCell ref="C587:F587"/>
    <mergeCell ref="C589:F589"/>
    <mergeCell ref="C590:F590"/>
    <mergeCell ref="B581:G581"/>
    <mergeCell ref="E1:F1"/>
    <mergeCell ref="E2:F2"/>
    <mergeCell ref="B3:D3"/>
    <mergeCell ref="E3:G3"/>
    <mergeCell ref="B4:D4"/>
    <mergeCell ref="E4:G4"/>
    <mergeCell ref="B5:B6"/>
    <mergeCell ref="C5:E6"/>
    <mergeCell ref="F6:G6"/>
    <mergeCell ref="C30:F30"/>
    <mergeCell ref="C45:F45"/>
  </mergeCells>
  <conditionalFormatting sqref="G537">
    <cfRule type="expression" dxfId="277" priority="22" stopIfTrue="1">
      <formula>"&gt;G29"</formula>
    </cfRule>
    <cfRule type="expression" dxfId="276" priority="23" stopIfTrue="1">
      <formula>"&lt;G29"""</formula>
    </cfRule>
  </conditionalFormatting>
  <conditionalFormatting sqref="B5">
    <cfRule type="cellIs" dxfId="275" priority="24" stopIfTrue="1" operator="equal">
      <formula>"ESCRIBA AQUÍ EL NOMBRE DE LA OBRA"</formula>
    </cfRule>
  </conditionalFormatting>
  <conditionalFormatting sqref="G1">
    <cfRule type="cellIs" dxfId="274" priority="25" stopIfTrue="1" operator="equal">
      <formula>"CHEQ. INSUMOS"</formula>
    </cfRule>
  </conditionalFormatting>
  <conditionalFormatting sqref="G2">
    <cfRule type="cellIs" dxfId="273" priority="26" stopIfTrue="1" operator="equal">
      <formula>"CHEQ. INSUMOS"</formula>
    </cfRule>
  </conditionalFormatting>
  <conditionalFormatting sqref="B11:C11 B172:C172 B209:C209 C285">
    <cfRule type="cellIs" dxfId="272" priority="21" stopIfTrue="1" operator="equal">
      <formula>"ESCRIBA AQUÍ EL NOMBRE DEL CAPITULO"</formula>
    </cfRule>
  </conditionalFormatting>
  <conditionalFormatting sqref="B18:C18">
    <cfRule type="cellIs" dxfId="271" priority="20" stopIfTrue="1" operator="equal">
      <formula>"ESCRIBA AQUÍ EL NOMBRE DEL CAPITULO"</formula>
    </cfRule>
  </conditionalFormatting>
  <conditionalFormatting sqref="B48:C48">
    <cfRule type="cellIs" dxfId="270" priority="19" stopIfTrue="1" operator="equal">
      <formula>"ESCRIBA AQUÍ EL NOMBRE DEL CAPITULO"</formula>
    </cfRule>
  </conditionalFormatting>
  <conditionalFormatting sqref="B25:C25">
    <cfRule type="cellIs" dxfId="269" priority="18" stopIfTrue="1" operator="equal">
      <formula>"ESCRIBA AQUÍ EL NOMBRE DEL CAPITULO"</formula>
    </cfRule>
  </conditionalFormatting>
  <conditionalFormatting sqref="B90:C90">
    <cfRule type="cellIs" dxfId="268" priority="17" stopIfTrue="1" operator="equal">
      <formula>"ESCRIBA AQUÍ EL NOMBRE DEL CAPITULO"</formula>
    </cfRule>
  </conditionalFormatting>
  <conditionalFormatting sqref="B132:C132">
    <cfRule type="cellIs" dxfId="267" priority="16" stopIfTrue="1" operator="equal">
      <formula>"ESCRIBA AQUÍ EL NOMBRE DEL CAPITULO"</formula>
    </cfRule>
  </conditionalFormatting>
  <conditionalFormatting sqref="B174:C174">
    <cfRule type="cellIs" dxfId="266" priority="15" stopIfTrue="1" operator="equal">
      <formula>"ESCRIBA AQUÍ EL NOMBRE DEL CAPITULO"</formula>
    </cfRule>
  </conditionalFormatting>
  <conditionalFormatting sqref="B210:C210">
    <cfRule type="cellIs" dxfId="265" priority="14" stopIfTrue="1" operator="equal">
      <formula>"ESCRIBA AQUÍ EL NOMBRE DEL CAPITULO"</formula>
    </cfRule>
  </conditionalFormatting>
  <conditionalFormatting sqref="B32:C32">
    <cfRule type="cellIs" dxfId="264" priority="13" stopIfTrue="1" operator="equal">
      <formula>"ESCRIBA AQUÍ EL NOMBRE DEL CAPITULO"</formula>
    </cfRule>
  </conditionalFormatting>
  <conditionalFormatting sqref="B258:C258">
    <cfRule type="cellIs" dxfId="263" priority="12" stopIfTrue="1" operator="equal">
      <formula>"ESCRIBA AQUÍ EL NOMBRE DEL CAPITULO"</formula>
    </cfRule>
  </conditionalFormatting>
  <conditionalFormatting sqref="C350:C351">
    <cfRule type="cellIs" dxfId="262" priority="11" stopIfTrue="1" operator="equal">
      <formula>"ESCRIBA AQUÍ EL NOMBRE DEL CAPITULO"</formula>
    </cfRule>
  </conditionalFormatting>
  <conditionalFormatting sqref="C428">
    <cfRule type="cellIs" dxfId="261" priority="10" stopIfTrue="1" operator="equal">
      <formula>"ESCRIBA AQUÍ EL NOMBRE DEL CAPITULO"</formula>
    </cfRule>
  </conditionalFormatting>
  <conditionalFormatting sqref="C438">
    <cfRule type="cellIs" dxfId="260" priority="9" stopIfTrue="1" operator="equal">
      <formula>"ESCRIBA AQUÍ EL NOMBRE DEL CAPITULO"</formula>
    </cfRule>
  </conditionalFormatting>
  <conditionalFormatting sqref="C455:C456">
    <cfRule type="cellIs" dxfId="259" priority="8" stopIfTrue="1" operator="equal">
      <formula>"ESCRIBA AQUÍ EL NOMBRE DEL CAPITULO"</formula>
    </cfRule>
  </conditionalFormatting>
  <conditionalFormatting sqref="C481">
    <cfRule type="cellIs" dxfId="258" priority="7" stopIfTrue="1" operator="equal">
      <formula>"ESCRIBA AQUÍ EL NOMBRE DEL CAPITULO"</formula>
    </cfRule>
  </conditionalFormatting>
  <conditionalFormatting sqref="B485:C485">
    <cfRule type="cellIs" dxfId="257" priority="6" stopIfTrue="1" operator="equal">
      <formula>"ESCRIBA AQUÍ EL NOMBRE DEL CAPITULO"</formula>
    </cfRule>
  </conditionalFormatting>
  <conditionalFormatting sqref="B488:C488">
    <cfRule type="cellIs" dxfId="256" priority="5" stopIfTrue="1" operator="equal">
      <formula>"ESCRIBA AQUÍ EL NOMBRE DEL CAPITULO"</formula>
    </cfRule>
  </conditionalFormatting>
  <conditionalFormatting sqref="B491:C491">
    <cfRule type="cellIs" dxfId="255" priority="4" stopIfTrue="1" operator="equal">
      <formula>"ESCRIBA AQUÍ EL NOMBRE DEL CAPITULO"</formula>
    </cfRule>
  </conditionalFormatting>
  <conditionalFormatting sqref="B509:C509">
    <cfRule type="cellIs" dxfId="254" priority="3" stopIfTrue="1" operator="equal">
      <formula>"ESCRIBA AQUÍ EL NOMBRE DEL CAPITULO"</formula>
    </cfRule>
  </conditionalFormatting>
  <conditionalFormatting sqref="B501:C501">
    <cfRule type="cellIs" dxfId="253" priority="2" stopIfTrue="1" operator="equal">
      <formula>"ESCRIBA AQUÍ EL NOMBRE DEL CAPITULO"</formula>
    </cfRule>
  </conditionalFormatting>
  <conditionalFormatting sqref="B494:C494">
    <cfRule type="cellIs" dxfId="252" priority="1" stopIfTrue="1" operator="equal">
      <formula>"ESCRIBA AQUÍ EL NOMBRE DEL CAPITULO"</formula>
    </cfRule>
  </conditionalFormatting>
  <pageMargins left="0.7" right="0.7" top="0.75" bottom="0.75" header="0.3" footer="0.3"/>
  <pageSetup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20</vt:i4>
      </vt:variant>
      <vt:variant>
        <vt:lpstr>Rangos con nombre</vt:lpstr>
      </vt:variant>
      <vt:variant>
        <vt:i4>9</vt:i4>
      </vt:variant>
    </vt:vector>
  </HeadingPairs>
  <TitlesOfParts>
    <vt:vector size="29" baseType="lpstr">
      <vt:lpstr>ANALISIS</vt:lpstr>
      <vt:lpstr>INSUMOS</vt:lpstr>
      <vt:lpstr>CRONOGRAMA</vt:lpstr>
      <vt:lpstr>CALCULOS</vt:lpstr>
      <vt:lpstr>M.O</vt:lpstr>
      <vt:lpstr>SUMINIS</vt:lpstr>
      <vt:lpstr>Hoja1</vt:lpstr>
      <vt:lpstr>Hoja2</vt:lpstr>
      <vt:lpstr>PRESUPUESTO valv 10julio (2)</vt:lpstr>
      <vt:lpstr>ARQUITECTONICO</vt:lpstr>
      <vt:lpstr>PRESUPUESTO M.O nov</vt:lpstr>
      <vt:lpstr>PRESUPUESTO M.O ABRIL 12</vt:lpstr>
      <vt:lpstr>Hoja3</vt:lpstr>
      <vt:lpstr>PRESUPUESTO M.O</vt:lpstr>
      <vt:lpstr>PRESUPUESTO quita (3)</vt:lpstr>
      <vt:lpstr>PRESUPUESTO quita (2)</vt:lpstr>
      <vt:lpstr>PRESUPUESTO quita</vt:lpstr>
      <vt:lpstr>PRESUPUESTO</vt:lpstr>
      <vt:lpstr>SUMINISTRO</vt:lpstr>
      <vt:lpstr>Presupuesto total</vt:lpstr>
      <vt:lpstr>M.O!OLE_LINK1</vt:lpstr>
      <vt:lpstr>PRESUPUESTO!OLE_LINK1</vt:lpstr>
      <vt:lpstr>'PRESUPUESTO M.O'!OLE_LINK1</vt:lpstr>
      <vt:lpstr>'PRESUPUESTO M.O ABRIL 12'!OLE_LINK1</vt:lpstr>
      <vt:lpstr>'PRESUPUESTO M.O nov'!OLE_LINK1</vt:lpstr>
      <vt:lpstr>'PRESUPUESTO quita'!OLE_LINK1</vt:lpstr>
      <vt:lpstr>'PRESUPUESTO quita (2)'!OLE_LINK1</vt:lpstr>
      <vt:lpstr>'PRESUPUESTO quita (3)'!OLE_LINK1</vt:lpstr>
      <vt:lpstr>'PRESUPUESTO valv 10julio (2)'!OLE_LINK1</vt:lpstr>
    </vt:vector>
  </TitlesOfParts>
  <Company>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Full name</dc:creator>
  <cp:lastModifiedBy>mpgarcia</cp:lastModifiedBy>
  <cp:lastPrinted>2016-03-16T11:53:32Z</cp:lastPrinted>
  <dcterms:created xsi:type="dcterms:W3CDTF">2013-10-22T16:54:13Z</dcterms:created>
  <dcterms:modified xsi:type="dcterms:W3CDTF">2016-11-23T14:12:04Z</dcterms:modified>
</cp:coreProperties>
</file>