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ocuments\01. ESTUDIOS PREVIOS - AGUA\07. SAN JUAN DEL CESAR\5. Contratación\CD - CONTRATACIÓN\3. Estudio Previo Definitivo y Presupuesto\"/>
    </mc:Choice>
  </mc:AlternateContent>
  <bookViews>
    <workbookView xWindow="0" yWindow="0" windowWidth="10680" windowHeight="9045" tabRatio="954"/>
  </bookViews>
  <sheets>
    <sheet name="OFERTA  ECO- SAN JUAN DEL CESAR" sheetId="212" r:id="rId1"/>
    <sheet name="Revista" sheetId="189" state="hidden" r:id="rId2"/>
    <sheet name="Cuadrillas" sheetId="190" state="hidden" r:id="rId3"/>
    <sheet name="Sueldos" sheetId="191" state="hidden" r:id="rId4"/>
    <sheet name="INDICE APUs" sheetId="2" state="hidden" r:id="rId5"/>
    <sheet name="LISTADO DE $" sheetId="193" state="hidden" r:id="rId6"/>
    <sheet name="1" sheetId="3" state="hidden" r:id="rId7"/>
    <sheet name="2" sheetId="4" state="hidden" r:id="rId8"/>
    <sheet name="3" sheetId="5" state="hidden" r:id="rId9"/>
    <sheet name="4" sheetId="6" state="hidden" r:id="rId10"/>
    <sheet name="5" sheetId="7" state="hidden" r:id="rId11"/>
    <sheet name="6" sheetId="8" state="hidden" r:id="rId12"/>
    <sheet name="7" sheetId="9" state="hidden" r:id="rId13"/>
    <sheet name="8" sheetId="10" state="hidden" r:id="rId14"/>
    <sheet name="11" sheetId="13" state="hidden" r:id="rId15"/>
    <sheet name="P3" sheetId="17" state="hidden" r:id="rId16"/>
    <sheet name="E3" sheetId="21" state="hidden" r:id="rId17"/>
    <sheet name="E5" sheetId="23" state="hidden" r:id="rId18"/>
    <sheet name="S10" sheetId="78" state="hidden" r:id="rId19"/>
    <sheet name="S11" sheetId="79" state="hidden" r:id="rId20"/>
  </sheets>
  <externalReferences>
    <externalReference r:id="rId21"/>
    <externalReference r:id="rId22"/>
    <externalReference r:id="rId23"/>
    <externalReference r:id="rId24"/>
  </externalReferences>
  <definedNames>
    <definedName name="_B104067" localSheetId="0">'[1]APU  2'!#REF!</definedName>
    <definedName name="_B104067">'[1]APU  2'!#REF!</definedName>
    <definedName name="_B93008" localSheetId="0">'[1]APU  2'!#REF!</definedName>
    <definedName name="_B93008">'[1]APU  2'!#REF!</definedName>
    <definedName name="_D128899" localSheetId="0">'[1]APU  2'!#REF!</definedName>
    <definedName name="_D128899">'[1]APU  2'!#REF!</definedName>
    <definedName name="_D77032" localSheetId="0">'[1]APU  2'!#REF!</definedName>
    <definedName name="_D77032">'[1]APU  2'!#REF!</definedName>
    <definedName name="_xlnm._FilterDatabase" localSheetId="5" hidden="1">'LISTADO DE $'!$D$1:$D$1262</definedName>
    <definedName name="_r" localSheetId="5">'[2]APU PVC'!#REF!</definedName>
    <definedName name="_r" localSheetId="0">'[2]APU PVC'!#REF!</definedName>
    <definedName name="_r">'[2]APU PVC'!#REF!</definedName>
    <definedName name="a" localSheetId="5">#REF!</definedName>
    <definedName name="a" localSheetId="0">#REF!</definedName>
    <definedName name="a">#REF!</definedName>
    <definedName name="ANALISIS" localSheetId="5">#REF!</definedName>
    <definedName name="ANALISIS" localSheetId="0">#REF!</definedName>
    <definedName name="ANALISIS">#REF!</definedName>
    <definedName name="apu" localSheetId="5">#REF!</definedName>
    <definedName name="apu" localSheetId="0">#REF!</definedName>
    <definedName name="apu">#REF!</definedName>
    <definedName name="_xlnm.Print_Area" localSheetId="6">'1'!$B$3:$J$52</definedName>
    <definedName name="_xlnm.Print_Area" localSheetId="14">'11'!$A$1:$J$56</definedName>
    <definedName name="_xlnm.Print_Area" localSheetId="7">'2'!$B$3:$J$53</definedName>
    <definedName name="_xlnm.Print_Area" localSheetId="8">'3'!$B$2:$J$58</definedName>
    <definedName name="_xlnm.Print_Area" localSheetId="9">'4'!$B$2:$J$58</definedName>
    <definedName name="_xlnm.Print_Area" localSheetId="10">'5'!$B$2:$J$58</definedName>
    <definedName name="_xlnm.Print_Area" localSheetId="11">'6'!$A$1:$J$58</definedName>
    <definedName name="_xlnm.Print_Area" localSheetId="12">'7'!$A$1:$J$58</definedName>
    <definedName name="_xlnm.Print_Area" localSheetId="13">'8'!$A$1:$J$58</definedName>
    <definedName name="_xlnm.Print_Area" localSheetId="16">'E3'!$A$1:$J$51</definedName>
    <definedName name="_xlnm.Print_Area" localSheetId="17">'E5'!$A$1:$J$51</definedName>
    <definedName name="_xlnm.Print_Area" localSheetId="4">'INDICE APUs'!$A$1:$C$215</definedName>
    <definedName name="_xlnm.Print_Area" localSheetId="5">#REF!</definedName>
    <definedName name="_xlnm.Print_Area" localSheetId="0">'OFERTA  ECO- SAN JUAN DEL CESAR'!$A$1:$G$251</definedName>
    <definedName name="_xlnm.Print_Area" localSheetId="1">Revista!$A$4:$R$53</definedName>
    <definedName name="_xlnm.Print_Area">#REF!</definedName>
    <definedName name="B10512." localSheetId="0">'[1]APU  2'!#REF!</definedName>
    <definedName name="B10512.">'[1]APU  2'!#REF!</definedName>
    <definedName name="Base_datos_IM" localSheetId="5">#REF!</definedName>
    <definedName name="Base_datos_IM" localSheetId="0">#REF!</definedName>
    <definedName name="Base_datos_IM">#REF!</definedName>
    <definedName name="_xlnm.Database" localSheetId="5">#REF!</definedName>
    <definedName name="_xlnm.Database" localSheetId="0">#REF!</definedName>
    <definedName name="_xlnm.Database">#REF!</definedName>
    <definedName name="BORDE3" localSheetId="5">#REF!</definedName>
    <definedName name="BORDE3" localSheetId="0">#REF!</definedName>
    <definedName name="BORDE3">#REF!</definedName>
    <definedName name="BuiltIn_Print_Area" localSheetId="5">#REF!</definedName>
    <definedName name="BuiltIn_Print_Area" localSheetId="0">#REF!</definedName>
    <definedName name="BuiltIn_Print_Area">#REF!</definedName>
    <definedName name="BuiltIn_Print_Area___0" localSheetId="5">#REF!</definedName>
    <definedName name="BuiltIn_Print_Area___0" localSheetId="0">#REF!</definedName>
    <definedName name="BuiltIn_Print_Area___0">#REF!</definedName>
    <definedName name="BuiltIn_Print_Area___0___0" localSheetId="5">#REF!</definedName>
    <definedName name="BuiltIn_Print_Area___0___0" localSheetId="0">#REF!</definedName>
    <definedName name="BuiltIn_Print_Area___0___0">#REF!</definedName>
    <definedName name="BuiltIn_Print_Area___0___0___0" localSheetId="5">#REF!</definedName>
    <definedName name="BuiltIn_Print_Area___0___0___0" localSheetId="0">#REF!</definedName>
    <definedName name="BuiltIn_Print_Area___0___0___0">#REF!</definedName>
    <definedName name="BuiltIn_Print_Titles" localSheetId="5">#REF!</definedName>
    <definedName name="BuiltIn_Print_Titles" localSheetId="0">#REF!</definedName>
    <definedName name="BuiltIn_Print_Titles">#REF!</definedName>
    <definedName name="cata" localSheetId="5">'[2]APU PVC'!#REF!</definedName>
    <definedName name="cata" localSheetId="0">'[2]APU PVC'!#REF!</definedName>
    <definedName name="cata">'[2]APU PVC'!#REF!</definedName>
    <definedName name="COTAS">[3]Hoja3!$A$5:$B$154</definedName>
    <definedName name="DATOS">'[4]DATOS EPANET'!$A$5:$B$189</definedName>
    <definedName name="DENS" localSheetId="5">#REF!</definedName>
    <definedName name="DENS" localSheetId="0">#REF!</definedName>
    <definedName name="DENS">#REF!</definedName>
    <definedName name="densi" localSheetId="5">#REF!</definedName>
    <definedName name="densi" localSheetId="0">#REF!</definedName>
    <definedName name="densi">#REF!</definedName>
    <definedName name="DOT" localSheetId="5">#REF!</definedName>
    <definedName name="DOT" localSheetId="0">#REF!</definedName>
    <definedName name="DOT">#REF!</definedName>
    <definedName name="dota" localSheetId="5">#REF!</definedName>
    <definedName name="dota" localSheetId="0">#REF!</definedName>
    <definedName name="dota">#REF!</definedName>
    <definedName name="eeee" localSheetId="5">#REF!</definedName>
    <definedName name="eeee" localSheetId="0">#REF!</definedName>
    <definedName name="eeee">#REF!</definedName>
    <definedName name="ERR" localSheetId="5">#REF!</definedName>
    <definedName name="ERR" localSheetId="0">#REF!</definedName>
    <definedName name="ERR">#REF!</definedName>
    <definedName name="erra" localSheetId="5">#REF!</definedName>
    <definedName name="erra" localSheetId="0">#REF!</definedName>
    <definedName name="erra">#REF!</definedName>
    <definedName name="errr" localSheetId="5">#REF!</definedName>
    <definedName name="errr" localSheetId="0">#REF!</definedName>
    <definedName name="errr">#REF!</definedName>
    <definedName name="EWQ" localSheetId="5">#REF!</definedName>
    <definedName name="EWQ" localSheetId="0">#REF!</definedName>
    <definedName name="EWQ">#REF!</definedName>
    <definedName name="i" localSheetId="5">#REF!</definedName>
    <definedName name="i" localSheetId="0">#REF!</definedName>
    <definedName name="i">#REF!</definedName>
    <definedName name="INF" localSheetId="5">#REF!</definedName>
    <definedName name="INF" localSheetId="0">#REF!</definedName>
    <definedName name="INF">#REF!</definedName>
    <definedName name="INFF" localSheetId="5">#REF!</definedName>
    <definedName name="INFF" localSheetId="0">#REF!</definedName>
    <definedName name="INFF">#REF!</definedName>
    <definedName name="infi" localSheetId="5">#REF!</definedName>
    <definedName name="infi" localSheetId="0">#REF!</definedName>
    <definedName name="infi">#REF!</definedName>
    <definedName name="j" localSheetId="5">#REF!</definedName>
    <definedName name="j" localSheetId="0">#REF!</definedName>
    <definedName name="j">#REF!</definedName>
    <definedName name="lasd" localSheetId="5">#REF!</definedName>
    <definedName name="lasd" localSheetId="0">#REF!</definedName>
    <definedName name="lasd">#REF!</definedName>
    <definedName name="LOCALIZACION" localSheetId="5">#REF!</definedName>
    <definedName name="LOCALIZACION" localSheetId="0">#REF!</definedName>
    <definedName name="LOCALIZACION">#REF!</definedName>
    <definedName name="lodos" localSheetId="5">#REF!</definedName>
    <definedName name="lodos" localSheetId="0">#REF!</definedName>
    <definedName name="lodos">#REF!</definedName>
    <definedName name="nana" localSheetId="5">#REF!</definedName>
    <definedName name="nana" localSheetId="0">#REF!</definedName>
    <definedName name="nana">#REF!</definedName>
    <definedName name="PARAMETROS" localSheetId="5">#REF!</definedName>
    <definedName name="PARAMETROS" localSheetId="0">#REF!</definedName>
    <definedName name="PARAMETROS">#REF!</definedName>
    <definedName name="PERFIL_DEL_TRAMO" localSheetId="5">#REF!</definedName>
    <definedName name="PERFIL_DEL_TRAMO" localSheetId="0">#REF!</definedName>
    <definedName name="PERFIL_DEL_TRAMO">#REF!</definedName>
    <definedName name="Polynomial" localSheetId="5">#REF!</definedName>
    <definedName name="Polynomial" localSheetId="0">#REF!</definedName>
    <definedName name="Polynomial">#REF!</definedName>
    <definedName name="Profundidad" localSheetId="5">#REF!</definedName>
    <definedName name="Profundidad" localSheetId="0">#REF!</definedName>
    <definedName name="Profundidad">#REF!</definedName>
    <definedName name="RET" localSheetId="5">#REF!</definedName>
    <definedName name="RET" localSheetId="0">#REF!</definedName>
    <definedName name="RET">#REF!</definedName>
    <definedName name="retr" localSheetId="5">#REF!</definedName>
    <definedName name="retr" localSheetId="0">#REF!</definedName>
    <definedName name="retr">#REF!</definedName>
    <definedName name="SHARED_FORMULA_21">#N/A</definedName>
    <definedName name="sss" localSheetId="5">#REF!</definedName>
    <definedName name="sss" localSheetId="0">#REF!</definedName>
    <definedName name="sss">#REF!</definedName>
    <definedName name="_xlnm.Print_Titles" localSheetId="4">'INDICE APUs'!$2:$14</definedName>
    <definedName name="_xlnm.Print_Titles" localSheetId="0">'OFERTA  ECO- SAN JUAN DEL CESAR'!$1:$6</definedName>
    <definedName name="_xlnm.Print_Titles">#N/A</definedName>
    <definedName name="UHJKH" localSheetId="5">#REF!</definedName>
    <definedName name="UHJKH" localSheetId="0">#REF!</definedName>
    <definedName name="UHJKH">#REF!</definedName>
    <definedName name="valparaiso" localSheetId="5">'[2]APU PVC'!#REF!</definedName>
    <definedName name="valparaiso" localSheetId="0">'[2]APU PVC'!#REF!</definedName>
    <definedName name="valparaiso">'[2]APU PVC'!#REF!</definedName>
    <definedName name="WQE" localSheetId="5">#REF!</definedName>
    <definedName name="WQE" localSheetId="0">#REF!</definedName>
    <definedName name="WQE">#REF!</definedName>
    <definedName name="wwww" localSheetId="5">#REF!</definedName>
    <definedName name="wwww" localSheetId="0">#REF!</definedName>
    <definedName name="wwww">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0" i="212" l="1"/>
  <c r="C179" i="212"/>
  <c r="C166" i="212"/>
  <c r="C167" i="212" l="1"/>
  <c r="P62" i="190" l="1"/>
  <c r="C6" i="189" l="1"/>
  <c r="F4" i="191"/>
  <c r="E125" i="193"/>
  <c r="E128" i="193"/>
  <c r="E127" i="193"/>
  <c r="E126" i="193"/>
  <c r="E124" i="193"/>
  <c r="E123" i="193"/>
  <c r="E122" i="193"/>
  <c r="E121" i="193"/>
  <c r="E120" i="193"/>
  <c r="J6" i="189"/>
  <c r="F11" i="189" s="1"/>
  <c r="D10" i="189"/>
  <c r="O58" i="190"/>
  <c r="Q58" i="190"/>
  <c r="I11" i="79"/>
  <c r="D10" i="79"/>
  <c r="D9" i="79"/>
  <c r="D8" i="79"/>
  <c r="I11" i="78"/>
  <c r="D10" i="78"/>
  <c r="D9" i="78"/>
  <c r="D8" i="78"/>
  <c r="I11" i="23"/>
  <c r="D10" i="23"/>
  <c r="D9" i="23"/>
  <c r="D8" i="23"/>
  <c r="I11" i="21"/>
  <c r="D10" i="21"/>
  <c r="D9" i="21"/>
  <c r="D8" i="21"/>
  <c r="I11" i="17"/>
  <c r="D10" i="17"/>
  <c r="D9" i="17"/>
  <c r="D8" i="17"/>
  <c r="I11" i="13"/>
  <c r="D10" i="13"/>
  <c r="D9" i="13"/>
  <c r="D8" i="13"/>
  <c r="I11" i="10"/>
  <c r="D10" i="10"/>
  <c r="D9" i="10"/>
  <c r="D8" i="10"/>
  <c r="I11" i="9"/>
  <c r="D10" i="9"/>
  <c r="D9" i="9"/>
  <c r="D8" i="9"/>
  <c r="I11" i="8"/>
  <c r="D10" i="8"/>
  <c r="D9" i="8"/>
  <c r="D8" i="8"/>
  <c r="I11" i="7"/>
  <c r="D10" i="7"/>
  <c r="D9" i="7"/>
  <c r="D8" i="7"/>
  <c r="I11" i="6"/>
  <c r="D10" i="6"/>
  <c r="D9" i="6"/>
  <c r="D8" i="6"/>
  <c r="I11" i="5"/>
  <c r="D10" i="5"/>
  <c r="D9" i="5"/>
  <c r="D8" i="5"/>
  <c r="I12" i="4"/>
  <c r="D11" i="4"/>
  <c r="D10" i="4"/>
  <c r="D9" i="4"/>
  <c r="I13" i="3"/>
  <c r="D12" i="3"/>
  <c r="D11" i="3"/>
  <c r="D10" i="3"/>
  <c r="I16" i="23"/>
  <c r="I20" i="23" s="1"/>
  <c r="I17" i="23"/>
  <c r="I16" i="21"/>
  <c r="I17" i="21"/>
  <c r="G24" i="4"/>
  <c r="G23" i="5"/>
  <c r="I23" i="5"/>
  <c r="G23" i="4"/>
  <c r="I23" i="4" s="1"/>
  <c r="I25" i="4"/>
  <c r="I17" i="4"/>
  <c r="I18" i="4"/>
  <c r="I34" i="4"/>
  <c r="I23" i="13"/>
  <c r="G22" i="6"/>
  <c r="I22" i="6" s="1"/>
  <c r="G23" i="6"/>
  <c r="I23" i="6" s="1"/>
  <c r="G24" i="6"/>
  <c r="I24" i="6" s="1"/>
  <c r="I25" i="6"/>
  <c r="I18" i="3"/>
  <c r="I19" i="3"/>
  <c r="I21" i="3"/>
  <c r="I24" i="3"/>
  <c r="I25" i="3"/>
  <c r="I26" i="3"/>
  <c r="I27" i="3"/>
  <c r="I33" i="3"/>
  <c r="G22" i="5"/>
  <c r="I22" i="5" s="1"/>
  <c r="I24" i="5"/>
  <c r="I25" i="5"/>
  <c r="G22" i="7"/>
  <c r="I22" i="7" s="1"/>
  <c r="G23" i="7"/>
  <c r="I23" i="7" s="1"/>
  <c r="G24" i="7"/>
  <c r="I24" i="7" s="1"/>
  <c r="I25" i="7"/>
  <c r="I26" i="23"/>
  <c r="I32" i="23"/>
  <c r="I26" i="21"/>
  <c r="I32" i="21"/>
  <c r="I16" i="5"/>
  <c r="I18" i="5" s="1"/>
  <c r="I17" i="5"/>
  <c r="I35" i="5"/>
  <c r="I16" i="7"/>
  <c r="I18" i="7" s="1"/>
  <c r="I17" i="7"/>
  <c r="I35" i="7"/>
  <c r="I16" i="6"/>
  <c r="I18" i="6" s="1"/>
  <c r="I17" i="6"/>
  <c r="I35" i="6"/>
  <c r="I17" i="13"/>
  <c r="I18" i="13" s="1"/>
  <c r="I33" i="13"/>
  <c r="I16" i="17"/>
  <c r="I17" i="17"/>
  <c r="I20" i="17" s="1"/>
  <c r="I24" i="17"/>
  <c r="H25" i="17"/>
  <c r="I25" i="17"/>
  <c r="I29" i="17" s="1"/>
  <c r="I26" i="17"/>
  <c r="I27" i="17"/>
  <c r="I28" i="17"/>
  <c r="I35" i="17"/>
  <c r="I40" i="17"/>
  <c r="G23" i="79"/>
  <c r="D804" i="193"/>
  <c r="E139" i="193"/>
  <c r="E138" i="193"/>
  <c r="E137" i="193"/>
  <c r="I136" i="193"/>
  <c r="H136" i="193"/>
  <c r="E136" i="193"/>
  <c r="E135" i="193"/>
  <c r="E134" i="193"/>
  <c r="E132" i="193"/>
  <c r="E131" i="193"/>
  <c r="E130" i="193"/>
  <c r="I17" i="10"/>
  <c r="I17" i="9"/>
  <c r="I17" i="8"/>
  <c r="G24" i="10"/>
  <c r="I24" i="10" s="1"/>
  <c r="G23" i="10"/>
  <c r="I23" i="10"/>
  <c r="G22" i="10"/>
  <c r="I22" i="10" s="1"/>
  <c r="G24" i="9"/>
  <c r="G23" i="9"/>
  <c r="G22" i="9"/>
  <c r="I22" i="9" s="1"/>
  <c r="I27" i="9" s="1"/>
  <c r="G24" i="8"/>
  <c r="G23" i="8"/>
  <c r="I23" i="8"/>
  <c r="G22" i="8"/>
  <c r="I22" i="8" s="1"/>
  <c r="M54" i="190"/>
  <c r="M55" i="190" s="1"/>
  <c r="N55" i="190" s="1"/>
  <c r="C21" i="189"/>
  <c r="B26" i="189"/>
  <c r="C27" i="189"/>
  <c r="C29" i="189"/>
  <c r="G69" i="190"/>
  <c r="G67" i="190"/>
  <c r="J55" i="191"/>
  <c r="J54" i="191"/>
  <c r="J53" i="191"/>
  <c r="J52" i="191"/>
  <c r="J51" i="191"/>
  <c r="J50" i="191"/>
  <c r="J49" i="191"/>
  <c r="J48" i="191"/>
  <c r="K80" i="190"/>
  <c r="G68" i="190"/>
  <c r="Q59" i="190"/>
  <c r="O59" i="190"/>
  <c r="Q57" i="190"/>
  <c r="O57" i="190"/>
  <c r="Q56" i="190"/>
  <c r="O56" i="190"/>
  <c r="Q55" i="190"/>
  <c r="O55" i="190"/>
  <c r="Q54" i="190"/>
  <c r="O54" i="190"/>
  <c r="Q46" i="190"/>
  <c r="N46" i="190"/>
  <c r="Q45" i="190"/>
  <c r="N45" i="190"/>
  <c r="Q44" i="190"/>
  <c r="N44" i="190"/>
  <c r="Q43" i="190"/>
  <c r="N43" i="190"/>
  <c r="Q42" i="190"/>
  <c r="N42" i="190"/>
  <c r="Q41" i="190"/>
  <c r="N41" i="190"/>
  <c r="Q40" i="190"/>
  <c r="N40" i="190"/>
  <c r="Q39" i="190"/>
  <c r="N39" i="190"/>
  <c r="Q38" i="190"/>
  <c r="N38" i="190"/>
  <c r="Q37" i="190"/>
  <c r="N37" i="190"/>
  <c r="Q36" i="190"/>
  <c r="N36" i="190"/>
  <c r="Q35" i="190"/>
  <c r="N35" i="190"/>
  <c r="Q34" i="190"/>
  <c r="N34" i="190"/>
  <c r="Q33" i="190"/>
  <c r="N33" i="190"/>
  <c r="Q32" i="190"/>
  <c r="N32" i="190"/>
  <c r="Q31" i="190"/>
  <c r="N31" i="190"/>
  <c r="G9" i="190"/>
  <c r="G8" i="190"/>
  <c r="G7" i="190"/>
  <c r="O6" i="190"/>
  <c r="N52" i="189"/>
  <c r="Q49" i="189" s="1"/>
  <c r="P29" i="189"/>
  <c r="Q24" i="189"/>
  <c r="Q23" i="189"/>
  <c r="C19" i="189"/>
  <c r="Q13" i="189"/>
  <c r="X6" i="189"/>
  <c r="W13" i="189"/>
  <c r="W14" i="189" s="1"/>
  <c r="W18" i="189" s="1"/>
  <c r="F6" i="189"/>
  <c r="W23" i="189"/>
  <c r="N54" i="190"/>
  <c r="Q50" i="189"/>
  <c r="O9" i="190"/>
  <c r="P9" i="190" s="1"/>
  <c r="P11" i="190" s="1"/>
  <c r="P7" i="190"/>
  <c r="I36" i="79"/>
  <c r="I38" i="79"/>
  <c r="I23" i="79"/>
  <c r="I26" i="79" s="1"/>
  <c r="I18" i="79"/>
  <c r="I36" i="78"/>
  <c r="I38" i="78"/>
  <c r="I22" i="78"/>
  <c r="I25" i="78" s="1"/>
  <c r="I18" i="78"/>
  <c r="I40" i="78" s="1"/>
  <c r="I44" i="78" s="1"/>
  <c r="I35" i="10"/>
  <c r="I26" i="10"/>
  <c r="I25" i="10"/>
  <c r="I16" i="10"/>
  <c r="I18" i="10"/>
  <c r="I35" i="9"/>
  <c r="I25" i="9"/>
  <c r="I24" i="9"/>
  <c r="I23" i="9"/>
  <c r="I16" i="9"/>
  <c r="I18" i="9" s="1"/>
  <c r="I35" i="8"/>
  <c r="I26" i="8"/>
  <c r="I25" i="8"/>
  <c r="I24" i="8"/>
  <c r="I16" i="8"/>
  <c r="I18" i="8"/>
  <c r="P8" i="190"/>
  <c r="P6" i="190"/>
  <c r="W21" i="189"/>
  <c r="W22" i="189" s="1"/>
  <c r="I31" i="79"/>
  <c r="I33" i="79"/>
  <c r="I40" i="79" s="1"/>
  <c r="H11" i="189"/>
  <c r="I24" i="4"/>
  <c r="I27" i="7"/>
  <c r="Q34" i="189"/>
  <c r="I28" i="9"/>
  <c r="I27" i="10"/>
  <c r="Q48" i="189"/>
  <c r="Q46" i="189"/>
  <c r="Q47" i="189"/>
  <c r="F60" i="191"/>
  <c r="J60" i="191"/>
  <c r="F32" i="191"/>
  <c r="J32" i="191" s="1"/>
  <c r="F28" i="191"/>
  <c r="J28" i="191" s="1"/>
  <c r="F35" i="191"/>
  <c r="J35" i="191" s="1"/>
  <c r="F31" i="191"/>
  <c r="J31" i="191"/>
  <c r="F27" i="191"/>
  <c r="J27" i="191" s="1"/>
  <c r="F5" i="191"/>
  <c r="F6" i="191" s="1"/>
  <c r="F26" i="191" s="1"/>
  <c r="J26" i="191" s="1"/>
  <c r="F34" i="191"/>
  <c r="J34" i="191"/>
  <c r="F30" i="191"/>
  <c r="J30" i="191"/>
  <c r="L4" i="191"/>
  <c r="F33" i="191"/>
  <c r="J33" i="191" s="1"/>
  <c r="F29" i="191"/>
  <c r="J29" i="191"/>
  <c r="I30" i="78"/>
  <c r="I32" i="78"/>
  <c r="Q52" i="189"/>
  <c r="X23" i="189" l="1"/>
  <c r="X22" i="189"/>
  <c r="X21" i="189"/>
  <c r="I28" i="7"/>
  <c r="I45" i="79"/>
  <c r="I44" i="79"/>
  <c r="I43" i="79"/>
  <c r="I46" i="79" s="1"/>
  <c r="I48" i="79" s="1"/>
  <c r="I28" i="10"/>
  <c r="I27" i="5"/>
  <c r="I28" i="5"/>
  <c r="I45" i="78"/>
  <c r="I43" i="78"/>
  <c r="I46" i="78" s="1"/>
  <c r="I48" i="78" s="1"/>
  <c r="M56" i="190"/>
  <c r="I27" i="6"/>
  <c r="I28" i="6" s="1"/>
  <c r="F26" i="189"/>
  <c r="H26" i="189"/>
  <c r="D26" i="189"/>
  <c r="D28" i="190"/>
  <c r="D47" i="190" s="1"/>
  <c r="F47" i="190" s="1"/>
  <c r="H47" i="190" s="1"/>
  <c r="D53" i="190" s="1"/>
  <c r="H34" i="189"/>
  <c r="D23" i="189"/>
  <c r="L6" i="189"/>
  <c r="I28" i="4"/>
  <c r="I29" i="4" s="1"/>
  <c r="I27" i="8"/>
  <c r="I28" i="8"/>
  <c r="I20" i="4"/>
  <c r="I20" i="21"/>
  <c r="I28" i="3"/>
  <c r="I29" i="3" s="1"/>
  <c r="D11" i="189"/>
  <c r="D12" i="189" s="1"/>
  <c r="L10" i="189"/>
  <c r="Q19" i="189"/>
  <c r="C20" i="190"/>
  <c r="F10" i="189"/>
  <c r="L34" i="189"/>
  <c r="J10" i="189"/>
  <c r="D34" i="189"/>
  <c r="D24" i="189"/>
  <c r="H10" i="189"/>
  <c r="J34" i="189"/>
  <c r="F34" i="189"/>
  <c r="L46" i="189"/>
  <c r="C80" i="190"/>
  <c r="G53" i="190"/>
  <c r="W34" i="189"/>
  <c r="X34" i="189" s="1"/>
  <c r="D13" i="189"/>
  <c r="D51" i="190"/>
  <c r="D90" i="190"/>
  <c r="D111" i="190" s="1"/>
  <c r="F111" i="190" s="1"/>
  <c r="H111" i="190" s="1"/>
  <c r="M57" i="190" l="1"/>
  <c r="N56" i="190"/>
  <c r="D19" i="189"/>
  <c r="F19" i="189"/>
  <c r="H19" i="189"/>
  <c r="E53" i="190"/>
  <c r="H53" i="190" s="1"/>
  <c r="F53" i="190"/>
  <c r="C22" i="190"/>
  <c r="C21" i="190"/>
  <c r="G20" i="190"/>
  <c r="G22" i="190"/>
  <c r="G21" i="190"/>
  <c r="D117" i="190"/>
  <c r="D115" i="190"/>
  <c r="L49" i="189"/>
  <c r="J12" i="189"/>
  <c r="J23" i="189"/>
  <c r="J13" i="189"/>
  <c r="J24" i="189"/>
  <c r="F51" i="190"/>
  <c r="G51" i="190"/>
  <c r="E51" i="190"/>
  <c r="D18" i="189"/>
  <c r="E34" i="189" s="1"/>
  <c r="D29" i="189"/>
  <c r="E29" i="189" s="1"/>
  <c r="F28" i="190"/>
  <c r="H28" i="190" s="1"/>
  <c r="D36" i="189"/>
  <c r="E36" i="189" s="1"/>
  <c r="D37" i="189"/>
  <c r="E37" i="189" s="1"/>
  <c r="D33" i="189"/>
  <c r="E33" i="189" s="1"/>
  <c r="D27" i="189"/>
  <c r="E27" i="189" s="1"/>
  <c r="D30" i="189"/>
  <c r="E30" i="189" s="1"/>
  <c r="D14" i="189"/>
  <c r="D31" i="189"/>
  <c r="E31" i="189" s="1"/>
  <c r="F90" i="190"/>
  <c r="H90" i="190" s="1"/>
  <c r="G82" i="190"/>
  <c r="G80" i="190"/>
  <c r="G81" i="190"/>
  <c r="C81" i="190"/>
  <c r="C82" i="190"/>
  <c r="H23" i="189"/>
  <c r="W19" i="189"/>
  <c r="Q26" i="189"/>
  <c r="Q11" i="189"/>
  <c r="L48" i="189"/>
  <c r="W11" i="189"/>
  <c r="W12" i="189" s="1"/>
  <c r="W24" i="189" s="1"/>
  <c r="X24" i="189" s="1"/>
  <c r="W26" i="189"/>
  <c r="X26" i="189" s="1"/>
  <c r="H12" i="189"/>
  <c r="H13" i="189"/>
  <c r="H24" i="189"/>
  <c r="L24" i="189"/>
  <c r="L13" i="189"/>
  <c r="L23" i="189"/>
  <c r="L11" i="189"/>
  <c r="L12" i="189" s="1"/>
  <c r="L50" i="189"/>
  <c r="L26" i="189"/>
  <c r="L19" i="189"/>
  <c r="E24" i="189"/>
  <c r="L47" i="189"/>
  <c r="L52" i="189" s="1"/>
  <c r="F13" i="189"/>
  <c r="F12" i="189"/>
  <c r="F24" i="189"/>
  <c r="F23" i="189"/>
  <c r="M59" i="190" l="1"/>
  <c r="N59" i="190" s="1"/>
  <c r="N57" i="190"/>
  <c r="M58" i="190"/>
  <c r="N58" i="190" s="1"/>
  <c r="F29" i="189"/>
  <c r="F27" i="189"/>
  <c r="F31" i="189"/>
  <c r="F36" i="189"/>
  <c r="F18" i="189"/>
  <c r="F30" i="189"/>
  <c r="F14" i="189"/>
  <c r="F21" i="189" s="1"/>
  <c r="F33" i="189"/>
  <c r="F37" i="189"/>
  <c r="G37" i="189" s="1"/>
  <c r="Q14" i="189"/>
  <c r="Q12" i="189"/>
  <c r="H51" i="190"/>
  <c r="G117" i="190"/>
  <c r="F117" i="190"/>
  <c r="E117" i="190"/>
  <c r="E42" i="9"/>
  <c r="G42" i="9" s="1"/>
  <c r="I42" i="9" s="1"/>
  <c r="E41" i="7"/>
  <c r="G41" i="7" s="1"/>
  <c r="I41" i="7" s="1"/>
  <c r="E41" i="8"/>
  <c r="G41" i="8" s="1"/>
  <c r="I41" i="8" s="1"/>
  <c r="E39" i="13"/>
  <c r="G39" i="13" s="1"/>
  <c r="I39" i="13" s="1"/>
  <c r="E42" i="10"/>
  <c r="G42" i="10" s="1"/>
  <c r="I42" i="10" s="1"/>
  <c r="E42" i="5"/>
  <c r="G42" i="5" s="1"/>
  <c r="I42" i="5" s="1"/>
  <c r="E40" i="6"/>
  <c r="G40" i="6" s="1"/>
  <c r="I40" i="6" s="1"/>
  <c r="D97" i="190"/>
  <c r="E40" i="10"/>
  <c r="G40" i="10" s="1"/>
  <c r="I40" i="10" s="1"/>
  <c r="E42" i="6"/>
  <c r="G42" i="6" s="1"/>
  <c r="I42" i="6" s="1"/>
  <c r="E40" i="7"/>
  <c r="G40" i="7" s="1"/>
  <c r="I40" i="7" s="1"/>
  <c r="I44" i="7" s="1"/>
  <c r="I46" i="7" s="1"/>
  <c r="E40" i="9"/>
  <c r="G40" i="9" s="1"/>
  <c r="I40" i="9" s="1"/>
  <c r="E41" i="6"/>
  <c r="G41" i="6" s="1"/>
  <c r="I41" i="6" s="1"/>
  <c r="E40" i="8"/>
  <c r="G40" i="8" s="1"/>
  <c r="I40" i="8" s="1"/>
  <c r="E42" i="7"/>
  <c r="G42" i="7" s="1"/>
  <c r="I42" i="7" s="1"/>
  <c r="E40" i="5"/>
  <c r="G40" i="5" s="1"/>
  <c r="I40" i="5" s="1"/>
  <c r="I44" i="5" s="1"/>
  <c r="I46" i="5" s="1"/>
  <c r="E38" i="13"/>
  <c r="G38" i="13" s="1"/>
  <c r="I38" i="13" s="1"/>
  <c r="I42" i="13" s="1"/>
  <c r="E38" i="4"/>
  <c r="G38" i="4" s="1"/>
  <c r="I38" i="4" s="1"/>
  <c r="E37" i="3"/>
  <c r="G37" i="3" s="1"/>
  <c r="I37" i="3" s="1"/>
  <c r="E36" i="3"/>
  <c r="G36" i="3" s="1"/>
  <c r="I36" i="3" s="1"/>
  <c r="I39" i="3" s="1"/>
  <c r="I41" i="3" s="1"/>
  <c r="E40" i="13"/>
  <c r="G40" i="13" s="1"/>
  <c r="I40" i="13" s="1"/>
  <c r="E39" i="17"/>
  <c r="G39" i="17" s="1"/>
  <c r="I39" i="17" s="1"/>
  <c r="I43" i="17" s="1"/>
  <c r="I45" i="17" s="1"/>
  <c r="E41" i="9"/>
  <c r="G41" i="9" s="1"/>
  <c r="I41" i="9" s="1"/>
  <c r="E42" i="8"/>
  <c r="G42" i="8" s="1"/>
  <c r="I42" i="8" s="1"/>
  <c r="E41" i="10"/>
  <c r="G41" i="10" s="1"/>
  <c r="I41" i="10" s="1"/>
  <c r="E35" i="23"/>
  <c r="G35" i="23" s="1"/>
  <c r="I35" i="23" s="1"/>
  <c r="I38" i="23" s="1"/>
  <c r="I40" i="23" s="1"/>
  <c r="D94" i="190"/>
  <c r="E41" i="5"/>
  <c r="G41" i="5" s="1"/>
  <c r="I41" i="5" s="1"/>
  <c r="E37" i="4"/>
  <c r="G37" i="4" s="1"/>
  <c r="I37" i="4" s="1"/>
  <c r="E35" i="21"/>
  <c r="G35" i="21" s="1"/>
  <c r="I35" i="21" s="1"/>
  <c r="I38" i="21" s="1"/>
  <c r="I40" i="21" s="1"/>
  <c r="D32" i="190"/>
  <c r="D35" i="190"/>
  <c r="X19" i="189"/>
  <c r="J29" i="189"/>
  <c r="J30" i="189"/>
  <c r="J27" i="189"/>
  <c r="J31" i="189"/>
  <c r="J36" i="189"/>
  <c r="J14" i="189"/>
  <c r="J33" i="189"/>
  <c r="J37" i="189"/>
  <c r="L29" i="189"/>
  <c r="L31" i="189"/>
  <c r="L14" i="189"/>
  <c r="L33" i="189"/>
  <c r="L30" i="189"/>
  <c r="L37" i="189"/>
  <c r="L27" i="189"/>
  <c r="L36" i="189"/>
  <c r="H27" i="189"/>
  <c r="H30" i="189"/>
  <c r="H18" i="189"/>
  <c r="I24" i="189" s="1"/>
  <c r="H29" i="189"/>
  <c r="H33" i="189"/>
  <c r="H37" i="189"/>
  <c r="H14" i="189"/>
  <c r="H21" i="189" s="1"/>
  <c r="H36" i="189"/>
  <c r="H31" i="189"/>
  <c r="G66" i="190"/>
  <c r="G6" i="190"/>
  <c r="D21" i="189"/>
  <c r="E19" i="189"/>
  <c r="E26" i="189"/>
  <c r="E23" i="189"/>
  <c r="F115" i="190"/>
  <c r="E115" i="190"/>
  <c r="G115" i="190"/>
  <c r="I31" i="189" l="1"/>
  <c r="I33" i="189"/>
  <c r="I27" i="189"/>
  <c r="I36" i="189"/>
  <c r="I29" i="189"/>
  <c r="I44" i="6"/>
  <c r="I46" i="6" s="1"/>
  <c r="I52" i="6" s="1"/>
  <c r="H115" i="190"/>
  <c r="E21" i="189"/>
  <c r="D22" i="189"/>
  <c r="E22" i="189" s="1"/>
  <c r="G94" i="190"/>
  <c r="E94" i="190"/>
  <c r="F94" i="190"/>
  <c r="I46" i="3"/>
  <c r="I44" i="3"/>
  <c r="I45" i="3"/>
  <c r="Q37" i="189"/>
  <c r="W37" i="189"/>
  <c r="X37" i="189" s="1"/>
  <c r="G26" i="189"/>
  <c r="G19" i="189"/>
  <c r="G34" i="189"/>
  <c r="G29" i="189"/>
  <c r="G11" i="190"/>
  <c r="G12" i="190"/>
  <c r="G10" i="190"/>
  <c r="G35" i="190"/>
  <c r="E35" i="190"/>
  <c r="F35" i="190"/>
  <c r="I44" i="23"/>
  <c r="I43" i="23"/>
  <c r="I45" i="23"/>
  <c r="I44" i="9"/>
  <c r="I46" i="9" s="1"/>
  <c r="I51" i="6"/>
  <c r="G33" i="189"/>
  <c r="G36" i="189"/>
  <c r="G71" i="190"/>
  <c r="G72" i="190"/>
  <c r="G70" i="190"/>
  <c r="H22" i="189"/>
  <c r="I22" i="189" s="1"/>
  <c r="I21" i="189"/>
  <c r="I19" i="189"/>
  <c r="I26" i="189"/>
  <c r="H38" i="189"/>
  <c r="I34" i="189"/>
  <c r="L21" i="189"/>
  <c r="L18" i="189"/>
  <c r="M36" i="189" s="1"/>
  <c r="F32" i="190"/>
  <c r="G32" i="190"/>
  <c r="E32" i="190"/>
  <c r="I45" i="21"/>
  <c r="I44" i="21"/>
  <c r="I43" i="21"/>
  <c r="I40" i="4"/>
  <c r="I42" i="4" s="1"/>
  <c r="I50" i="5"/>
  <c r="I51" i="5"/>
  <c r="I52" i="5"/>
  <c r="I44" i="8"/>
  <c r="I46" i="8" s="1"/>
  <c r="I52" i="7"/>
  <c r="I50" i="7"/>
  <c r="I51" i="7"/>
  <c r="I44" i="10"/>
  <c r="I46" i="10" s="1"/>
  <c r="G23" i="189"/>
  <c r="Q18" i="189"/>
  <c r="Q21" i="189"/>
  <c r="F22" i="189"/>
  <c r="G22" i="189" s="1"/>
  <c r="G21" i="189"/>
  <c r="G31" i="189"/>
  <c r="I23" i="189"/>
  <c r="I37" i="189"/>
  <c r="I30" i="189"/>
  <c r="J18" i="189"/>
  <c r="K37" i="189" s="1"/>
  <c r="J21" i="189"/>
  <c r="G24" i="189"/>
  <c r="I50" i="17"/>
  <c r="I49" i="17"/>
  <c r="I51" i="17"/>
  <c r="G97" i="190"/>
  <c r="F97" i="190"/>
  <c r="E97" i="190"/>
  <c r="H117" i="190"/>
  <c r="G30" i="189"/>
  <c r="G27" i="189"/>
  <c r="I52" i="17" l="1"/>
  <c r="I54" i="17" s="1"/>
  <c r="I50" i="6"/>
  <c r="I53" i="6" s="1"/>
  <c r="I55" i="6" s="1"/>
  <c r="M31" i="189"/>
  <c r="I53" i="5"/>
  <c r="I55" i="5" s="1"/>
  <c r="I46" i="21"/>
  <c r="I48" i="21" s="1"/>
  <c r="M37" i="189"/>
  <c r="M30" i="189"/>
  <c r="M27" i="189"/>
  <c r="M33" i="189"/>
  <c r="H11" i="190"/>
  <c r="E38" i="189"/>
  <c r="R46" i="189" s="1"/>
  <c r="F7" i="191"/>
  <c r="D20" i="190"/>
  <c r="D80" i="190"/>
  <c r="J22" i="189"/>
  <c r="K22" i="189" s="1"/>
  <c r="K21" i="189"/>
  <c r="W31" i="189"/>
  <c r="X31" i="189" s="1"/>
  <c r="Q31" i="189"/>
  <c r="R31" i="189" s="1"/>
  <c r="R23" i="189"/>
  <c r="R24" i="189"/>
  <c r="R34" i="189"/>
  <c r="R19" i="189"/>
  <c r="R26" i="189"/>
  <c r="I51" i="10"/>
  <c r="I52" i="10"/>
  <c r="I50" i="10"/>
  <c r="I53" i="10" s="1"/>
  <c r="I55" i="10" s="1"/>
  <c r="I50" i="8"/>
  <c r="I52" i="8"/>
  <c r="I51" i="8"/>
  <c r="L22" i="189"/>
  <c r="M22" i="189" s="1"/>
  <c r="M21" i="189"/>
  <c r="Q36" i="189"/>
  <c r="R36" i="189" s="1"/>
  <c r="W36" i="189"/>
  <c r="X36" i="189" s="1"/>
  <c r="H12" i="190"/>
  <c r="I12" i="190"/>
  <c r="Q29" i="189"/>
  <c r="R29" i="189" s="1"/>
  <c r="W29" i="189"/>
  <c r="X29" i="189" s="1"/>
  <c r="K34" i="189"/>
  <c r="K23" i="189"/>
  <c r="K24" i="189"/>
  <c r="H32" i="190"/>
  <c r="K27" i="189"/>
  <c r="I38" i="189"/>
  <c r="H72" i="190"/>
  <c r="I80" i="190" s="1"/>
  <c r="I72" i="190"/>
  <c r="W33" i="189"/>
  <c r="X33" i="189" s="1"/>
  <c r="Q33" i="189"/>
  <c r="R33" i="189" s="1"/>
  <c r="H35" i="190"/>
  <c r="K29" i="189"/>
  <c r="Q27" i="189"/>
  <c r="R27" i="189" s="1"/>
  <c r="W27" i="189"/>
  <c r="H97" i="190"/>
  <c r="K33" i="189"/>
  <c r="H71" i="190"/>
  <c r="I46" i="23"/>
  <c r="I48" i="23" s="1"/>
  <c r="D38" i="189"/>
  <c r="G38" i="189"/>
  <c r="R37" i="189"/>
  <c r="I47" i="3"/>
  <c r="I49" i="3" s="1"/>
  <c r="H94" i="190"/>
  <c r="K36" i="189"/>
  <c r="W30" i="189"/>
  <c r="X30" i="189" s="1"/>
  <c r="Q30" i="189"/>
  <c r="R30" i="189" s="1"/>
  <c r="K30" i="189"/>
  <c r="R21" i="189"/>
  <c r="Q22" i="189"/>
  <c r="R22" i="189" s="1"/>
  <c r="I53" i="7"/>
  <c r="I55" i="7" s="1"/>
  <c r="I47" i="4"/>
  <c r="I46" i="4"/>
  <c r="I45" i="4"/>
  <c r="M34" i="189"/>
  <c r="M24" i="189"/>
  <c r="M26" i="189"/>
  <c r="M19" i="189"/>
  <c r="M23" i="189"/>
  <c r="H39" i="189"/>
  <c r="H40" i="189"/>
  <c r="H41" i="189"/>
  <c r="H42" i="189" s="1"/>
  <c r="I50" i="9"/>
  <c r="I51" i="9"/>
  <c r="I52" i="9"/>
  <c r="K31" i="189"/>
  <c r="F38" i="189"/>
  <c r="M29" i="189"/>
  <c r="I53" i="9" l="1"/>
  <c r="I55" i="9" s="1"/>
  <c r="L38" i="189"/>
  <c r="L41" i="189" s="1"/>
  <c r="L42" i="189" s="1"/>
  <c r="E80" i="190"/>
  <c r="D39" i="189"/>
  <c r="D41" i="189"/>
  <c r="D42" i="189" s="1"/>
  <c r="D40" i="189"/>
  <c r="D22" i="190"/>
  <c r="E22" i="190" s="1"/>
  <c r="R48" i="189"/>
  <c r="D82" i="190"/>
  <c r="E82" i="190" s="1"/>
  <c r="I82" i="190"/>
  <c r="I20" i="190"/>
  <c r="I22" i="190"/>
  <c r="Q38" i="189"/>
  <c r="K38" i="189"/>
  <c r="R38" i="189"/>
  <c r="M38" i="189"/>
  <c r="R50" i="189" s="1"/>
  <c r="J38" i="189"/>
  <c r="I53" i="8"/>
  <c r="I55" i="8" s="1"/>
  <c r="E20" i="190"/>
  <c r="F40" i="189"/>
  <c r="F41" i="189"/>
  <c r="F42" i="189" s="1"/>
  <c r="F39" i="189"/>
  <c r="I48" i="4"/>
  <c r="I50" i="4" s="1"/>
  <c r="G22" i="13" s="1"/>
  <c r="I22" i="13" s="1"/>
  <c r="D21" i="190"/>
  <c r="E21" i="190" s="1"/>
  <c r="D81" i="190"/>
  <c r="E81" i="190" s="1"/>
  <c r="R47" i="189"/>
  <c r="X27" i="189"/>
  <c r="X38" i="189" s="1"/>
  <c r="W38" i="189"/>
  <c r="G4" i="191"/>
  <c r="G5" i="191"/>
  <c r="G6" i="191"/>
  <c r="L40" i="189" l="1"/>
  <c r="L39" i="189"/>
  <c r="F23" i="191"/>
  <c r="J23" i="191" s="1"/>
  <c r="F21" i="191"/>
  <c r="J21" i="191" s="1"/>
  <c r="F20" i="191"/>
  <c r="J20" i="191" s="1"/>
  <c r="F24" i="191"/>
  <c r="J24" i="191" s="1"/>
  <c r="F22" i="191"/>
  <c r="J22" i="191" s="1"/>
  <c r="F19" i="191"/>
  <c r="J19" i="191" s="1"/>
  <c r="F25" i="191"/>
  <c r="J25" i="191" s="1"/>
  <c r="F16" i="191"/>
  <c r="J16" i="191" s="1"/>
  <c r="F15" i="191"/>
  <c r="J15" i="191" s="1"/>
  <c r="C95" i="190"/>
  <c r="C116" i="190"/>
  <c r="J39" i="189"/>
  <c r="J40" i="189"/>
  <c r="J41" i="189"/>
  <c r="J42" i="189" s="1"/>
  <c r="C98" i="190"/>
  <c r="C118" i="190"/>
  <c r="C52" i="190"/>
  <c r="C33" i="190"/>
  <c r="I25" i="13"/>
  <c r="I26" i="13" s="1"/>
  <c r="I44" i="13" s="1"/>
  <c r="H21" i="190"/>
  <c r="I21" i="190" s="1"/>
  <c r="H81" i="190"/>
  <c r="I81" i="190" s="1"/>
  <c r="R49" i="189"/>
  <c r="R52" i="189" s="1"/>
  <c r="Q39" i="189"/>
  <c r="Q41" i="189"/>
  <c r="Q42" i="189" s="1"/>
  <c r="Q40" i="189"/>
  <c r="C36" i="190"/>
  <c r="C54" i="190"/>
  <c r="F39" i="191"/>
  <c r="J39" i="191" s="1"/>
  <c r="F41" i="191"/>
  <c r="J41" i="191" s="1"/>
  <c r="F38" i="191"/>
  <c r="J38" i="191" s="1"/>
  <c r="I49" i="13" l="1"/>
  <c r="I48" i="13"/>
  <c r="I50" i="13"/>
  <c r="E54" i="190"/>
  <c r="F57" i="191" s="1"/>
  <c r="J57" i="191" s="1"/>
  <c r="F54" i="190"/>
  <c r="H54" i="190"/>
  <c r="D54" i="190"/>
  <c r="F18" i="191" s="1"/>
  <c r="J18" i="191" s="1"/>
  <c r="G54" i="190"/>
  <c r="D36" i="190"/>
  <c r="E36" i="190"/>
  <c r="F36" i="190"/>
  <c r="F37" i="190" s="1"/>
  <c r="G36" i="190"/>
  <c r="G37" i="190" s="1"/>
  <c r="H36" i="190"/>
  <c r="D95" i="190"/>
  <c r="E95" i="190"/>
  <c r="G95" i="190"/>
  <c r="F95" i="190"/>
  <c r="H95" i="190"/>
  <c r="D118" i="190"/>
  <c r="F118" i="190"/>
  <c r="G118" i="190"/>
  <c r="E118" i="190"/>
  <c r="H118" i="190"/>
  <c r="D98" i="190"/>
  <c r="D99" i="190" s="1"/>
  <c r="G98" i="190"/>
  <c r="G99" i="190" s="1"/>
  <c r="F98" i="190"/>
  <c r="F99" i="190" s="1"/>
  <c r="E98" i="190"/>
  <c r="E99" i="190" s="1"/>
  <c r="H98" i="190"/>
  <c r="H99" i="190" s="1"/>
  <c r="D52" i="190"/>
  <c r="F52" i="190"/>
  <c r="G52" i="190"/>
  <c r="G55" i="190" s="1"/>
  <c r="F65" i="191" s="1"/>
  <c r="J65" i="191" s="1"/>
  <c r="E52" i="190"/>
  <c r="D33" i="190"/>
  <c r="H52" i="190"/>
  <c r="E33" i="190"/>
  <c r="F33" i="190"/>
  <c r="G33" i="190"/>
  <c r="H33" i="190"/>
  <c r="D116" i="190"/>
  <c r="D119" i="190" s="1"/>
  <c r="F116" i="190"/>
  <c r="G116" i="190"/>
  <c r="G119" i="190" s="1"/>
  <c r="E116" i="190"/>
  <c r="E119" i="190" s="1"/>
  <c r="H116" i="190"/>
  <c r="H119" i="190" s="1"/>
  <c r="F119" i="190" l="1"/>
  <c r="F34" i="190"/>
  <c r="F39" i="190" s="1"/>
  <c r="F38" i="190"/>
  <c r="F56" i="191"/>
  <c r="J56" i="191" s="1"/>
  <c r="E55" i="190"/>
  <c r="G100" i="190"/>
  <c r="G96" i="190"/>
  <c r="G101" i="190" s="1"/>
  <c r="F47" i="191"/>
  <c r="J47" i="191" s="1"/>
  <c r="E37" i="190"/>
  <c r="F46" i="191"/>
  <c r="J46" i="191" s="1"/>
  <c r="E34" i="190"/>
  <c r="E39" i="190" s="1"/>
  <c r="E38" i="190"/>
  <c r="F44" i="191"/>
  <c r="J44" i="191" s="1"/>
  <c r="E100" i="190"/>
  <c r="E96" i="190"/>
  <c r="E101" i="190" s="1"/>
  <c r="H37" i="190"/>
  <c r="F43" i="191"/>
  <c r="J43" i="191" s="1"/>
  <c r="F40" i="191"/>
  <c r="J40" i="191" s="1"/>
  <c r="D37" i="190"/>
  <c r="F36" i="191"/>
  <c r="J36" i="191" s="1"/>
  <c r="I51" i="13"/>
  <c r="I53" i="13" s="1"/>
  <c r="H38" i="190"/>
  <c r="H34" i="190"/>
  <c r="F42" i="191"/>
  <c r="J42" i="191" s="1"/>
  <c r="H55" i="190"/>
  <c r="F66" i="191" s="1"/>
  <c r="F55" i="190"/>
  <c r="F64" i="191" s="1"/>
  <c r="J64" i="191" s="1"/>
  <c r="H100" i="190"/>
  <c r="H96" i="190"/>
  <c r="H101" i="190" s="1"/>
  <c r="D100" i="190"/>
  <c r="D96" i="190"/>
  <c r="D101" i="190" s="1"/>
  <c r="D102" i="190" s="1"/>
  <c r="G34" i="190"/>
  <c r="G39" i="190" s="1"/>
  <c r="F45" i="191"/>
  <c r="J45" i="191" s="1"/>
  <c r="G38" i="190"/>
  <c r="G42" i="190"/>
  <c r="F37" i="191"/>
  <c r="J37" i="191" s="1"/>
  <c r="D38" i="190"/>
  <c r="D34" i="190"/>
  <c r="D39" i="190" s="1"/>
  <c r="F40" i="190" s="1"/>
  <c r="F61" i="191" s="1"/>
  <c r="J61" i="191" s="1"/>
  <c r="D55" i="190"/>
  <c r="F62" i="191" s="1"/>
  <c r="J62" i="191" s="1"/>
  <c r="F17" i="191"/>
  <c r="J17" i="191" s="1"/>
  <c r="F100" i="190"/>
  <c r="F96" i="190"/>
  <c r="F101" i="190" s="1"/>
  <c r="H39" i="190" l="1"/>
  <c r="F63" i="191"/>
  <c r="J63" i="191" s="1"/>
  <c r="F58" i="191"/>
  <c r="J58" i="191" s="1"/>
  <c r="F59" i="191"/>
  <c r="J59" i="191" s="1"/>
</calcChain>
</file>

<file path=xl/sharedStrings.xml><?xml version="1.0" encoding="utf-8"?>
<sst xmlns="http://schemas.openxmlformats.org/spreadsheetml/2006/main" count="6467" uniqueCount="3240">
  <si>
    <t>CONTRATO DE CONSULTORIA N° 801 DE 2009</t>
  </si>
  <si>
    <t>SAN JUAN DEL CESAR</t>
  </si>
  <si>
    <t>ITEM</t>
  </si>
  <si>
    <t>APU Nº</t>
  </si>
  <si>
    <t>DESCRIPCION DE ITEMS</t>
  </si>
  <si>
    <t>UNIDAD</t>
  </si>
  <si>
    <t>CANTIDAD</t>
  </si>
  <si>
    <t>VALOR TOTAL</t>
  </si>
  <si>
    <t>TOTAL</t>
  </si>
  <si>
    <t xml:space="preserve"> 1. RED DE COLECTORES</t>
  </si>
  <si>
    <t>1.1</t>
  </si>
  <si>
    <t>PRELIMINARES</t>
  </si>
  <si>
    <t>1.1.1</t>
  </si>
  <si>
    <t>P1</t>
  </si>
  <si>
    <t>Localización y replanteo</t>
  </si>
  <si>
    <t>ML</t>
  </si>
  <si>
    <t>P5</t>
  </si>
  <si>
    <t>UN</t>
  </si>
  <si>
    <t>1.2</t>
  </si>
  <si>
    <t>EXCAVAC, DEMOLICIONES Y TRASLADO ESTRUCT</t>
  </si>
  <si>
    <t>1.2.1</t>
  </si>
  <si>
    <t>E1</t>
  </si>
  <si>
    <t>M3</t>
  </si>
  <si>
    <t>1.2.2</t>
  </si>
  <si>
    <t>E2</t>
  </si>
  <si>
    <t xml:space="preserve">Excavaciones manuales material conglomerado </t>
  </si>
  <si>
    <t>1.2.3</t>
  </si>
  <si>
    <t>E3</t>
  </si>
  <si>
    <t>E4</t>
  </si>
  <si>
    <t>E5</t>
  </si>
  <si>
    <t>Excavación mecánica material conglomerado h = 0 - 1,5 m</t>
  </si>
  <si>
    <t>E6</t>
  </si>
  <si>
    <t>E7</t>
  </si>
  <si>
    <t>E8</t>
  </si>
  <si>
    <t>Excavación en roca h &gt; 1,5 m</t>
  </si>
  <si>
    <t>1.2.9</t>
  </si>
  <si>
    <t>E9</t>
  </si>
  <si>
    <t>Apiques para verificación de redes, incluye retiro de material sobrante</t>
  </si>
  <si>
    <t>1.2.10</t>
  </si>
  <si>
    <t>E10</t>
  </si>
  <si>
    <t>Demolición estructura concreto/otro material</t>
  </si>
  <si>
    <t>E11</t>
  </si>
  <si>
    <t>M2</t>
  </si>
  <si>
    <t>E12</t>
  </si>
  <si>
    <t>Bombeo - manejo de aguas</t>
  </si>
  <si>
    <t>1.3</t>
  </si>
  <si>
    <t>RELLENOS</t>
  </si>
  <si>
    <t>1.3.1</t>
  </si>
  <si>
    <t>R1</t>
  </si>
  <si>
    <t>Relleno compactado con material de sitio</t>
  </si>
  <si>
    <t>1.3.2</t>
  </si>
  <si>
    <t>R2</t>
  </si>
  <si>
    <t>Relleno compactado con material común de prestamo</t>
  </si>
  <si>
    <t>1.3.3</t>
  </si>
  <si>
    <t>R3</t>
  </si>
  <si>
    <t>Relleno compactado con Base B-1 (Norma Invias)</t>
  </si>
  <si>
    <t>1.3.4</t>
  </si>
  <si>
    <t>R4</t>
  </si>
  <si>
    <t>Cama de arena</t>
  </si>
  <si>
    <t>1.4</t>
  </si>
  <si>
    <t>RETIRO Y DISPOSIC. MATERIALES SOBRANTES</t>
  </si>
  <si>
    <t>1.4.1</t>
  </si>
  <si>
    <t>R5</t>
  </si>
  <si>
    <t>Retiro y disposición de materiales sobrantes</t>
  </si>
  <si>
    <t>1.5</t>
  </si>
  <si>
    <t>INSTALACION TUBERIAS DE ALCANTARILLADO</t>
  </si>
  <si>
    <t>1.5.1</t>
  </si>
  <si>
    <t>I1</t>
  </si>
  <si>
    <t>Instalación tuberías flexibles alcantarillado Dn 8, 10 y 12"</t>
  </si>
  <si>
    <t>1.5.2</t>
  </si>
  <si>
    <t>I2</t>
  </si>
  <si>
    <t>Instalación tuberías Corrugadas PVC alcantarillado Dn 14, 16, 18"</t>
  </si>
  <si>
    <t>1.5.3</t>
  </si>
  <si>
    <t>I9</t>
  </si>
  <si>
    <t>Instalación Kit silla yee 8 x 6"</t>
  </si>
  <si>
    <t>1.5.4.1</t>
  </si>
  <si>
    <t>I3</t>
  </si>
  <si>
    <t>Cárcamo protección diámetro 8"</t>
  </si>
  <si>
    <t>1.6</t>
  </si>
  <si>
    <t>DOMICILIARIAS ALCANTARILLADO</t>
  </si>
  <si>
    <t>1.6.1</t>
  </si>
  <si>
    <t>I4</t>
  </si>
  <si>
    <t>Reparación acometidas acueducto D 1/2"</t>
  </si>
  <si>
    <t>1.6.2</t>
  </si>
  <si>
    <t>I5</t>
  </si>
  <si>
    <t>Reparación acometidas gas D 1/2"</t>
  </si>
  <si>
    <t>1.6.3</t>
  </si>
  <si>
    <t>I6</t>
  </si>
  <si>
    <t>Instalación de domiciliarias de alcantarillado Dn  6"</t>
  </si>
  <si>
    <t>1.6.4</t>
  </si>
  <si>
    <t>I7</t>
  </si>
  <si>
    <t>Construcción de caja de empalme domiciliaria a la red 0.60 x 0.60 x 0.60 m.</t>
  </si>
  <si>
    <t>1.7</t>
  </si>
  <si>
    <t>POZOS INSPECCION</t>
  </si>
  <si>
    <t>1.7.1</t>
  </si>
  <si>
    <t>PZ1</t>
  </si>
  <si>
    <t>Placa de cubierta circular D:1.56m, con arobase de 1 o 2 pestañas</t>
  </si>
  <si>
    <t>1.7.2.1</t>
  </si>
  <si>
    <t>PZ2</t>
  </si>
  <si>
    <t>1.7.2.2</t>
  </si>
  <si>
    <t>PZ3</t>
  </si>
  <si>
    <t>1.7.2.3</t>
  </si>
  <si>
    <t>PZ4</t>
  </si>
  <si>
    <t>1.7.3</t>
  </si>
  <si>
    <t>PZ6</t>
  </si>
  <si>
    <t>1.7.4</t>
  </si>
  <si>
    <t>PZ7</t>
  </si>
  <si>
    <t>Solado para fondo de pozos, 2000 psi, e = 0,03m</t>
  </si>
  <si>
    <t>1.8</t>
  </si>
  <si>
    <t>1.8.1</t>
  </si>
  <si>
    <t>U1</t>
  </si>
  <si>
    <t>Rotura de sardineles en concreto</t>
  </si>
  <si>
    <t>1.8.2</t>
  </si>
  <si>
    <t>U2</t>
  </si>
  <si>
    <t>Construcción sardineles concreto 21 Mpa (0,30*0,15 inc refuerzo longitudinal 3/8" y transversal 1/4") No incluye preparación del terreno.</t>
  </si>
  <si>
    <t>1.8.3</t>
  </si>
  <si>
    <t>U3</t>
  </si>
  <si>
    <t>Demolición de andenes e=variable</t>
  </si>
  <si>
    <t>1.8.4</t>
  </si>
  <si>
    <t>U4</t>
  </si>
  <si>
    <t>Construcción de andenes concreto 2500 psi e= 10 cm. No icluye preparación del terreno</t>
  </si>
  <si>
    <t>1.9</t>
  </si>
  <si>
    <t>SUMINISTRO E INSTALACION DE ACERO</t>
  </si>
  <si>
    <t>1.9.1</t>
  </si>
  <si>
    <t>Suministro, figurada e instalación de acero PDR 60</t>
  </si>
  <si>
    <t>Kg</t>
  </si>
  <si>
    <t>SUBTOTAL RED DE COLECTORES</t>
  </si>
  <si>
    <t>SUMINISTROS DE RED DE COLECTORES</t>
  </si>
  <si>
    <t>1.10</t>
  </si>
  <si>
    <t>SUMINISTRO DE TUBERÍA ALCANTARILLADO</t>
  </si>
  <si>
    <t>1.10.1</t>
  </si>
  <si>
    <t>mecanicos</t>
  </si>
  <si>
    <t>1.10.1.1</t>
  </si>
  <si>
    <t>S1</t>
  </si>
  <si>
    <t xml:space="preserve">Tubería PVC corrugada externa, lisa interior, alcantarillado, d=6" </t>
  </si>
  <si>
    <t>1.10.1.2</t>
  </si>
  <si>
    <t>S2</t>
  </si>
  <si>
    <t xml:space="preserve">Tubería PVC corrugada externa, lisa interior, alcantarillado,  d=8" </t>
  </si>
  <si>
    <t>1.10.1.3</t>
  </si>
  <si>
    <t>S3</t>
  </si>
  <si>
    <t>1.10.1.4</t>
  </si>
  <si>
    <t>S4</t>
  </si>
  <si>
    <t xml:space="preserve">Tubería PVC corrugada externa, lisa interior, alcantarillado,  d=12" </t>
  </si>
  <si>
    <t>1.10.1.5</t>
  </si>
  <si>
    <t>S6</t>
  </si>
  <si>
    <t>1.11</t>
  </si>
  <si>
    <t>SUMINISTROS DE ACCESORIOS Y ELEMENTOS DE REPOSICION DE ALCANTARILLADO</t>
  </si>
  <si>
    <t>1.11.1</t>
  </si>
  <si>
    <t>S9</t>
  </si>
  <si>
    <t>SUBTOTAL SUMINISTROS DE RED DE COLECTORES</t>
  </si>
  <si>
    <t>2. CASETA DE OPERACIÓN</t>
  </si>
  <si>
    <t>2.1</t>
  </si>
  <si>
    <t>CASETA DE MAQUINAS</t>
  </si>
  <si>
    <t>2.1.1</t>
  </si>
  <si>
    <t>C1</t>
  </si>
  <si>
    <t>Concreto ciclópeo para cimentaciones 2500 PSI 40% Rajón</t>
  </si>
  <si>
    <t>2.1.2</t>
  </si>
  <si>
    <t>C2</t>
  </si>
  <si>
    <t>Viga de amarre de cimentación (0,25x0,30)m para caseta, vigas cubierta y columnas (0,25x0,30)m en concreto de 3000 PSI</t>
  </si>
  <si>
    <t>2.1.3</t>
  </si>
  <si>
    <t>C3</t>
  </si>
  <si>
    <t>Desagues en tuberia PVC 4"</t>
  </si>
  <si>
    <t>2.1.4</t>
  </si>
  <si>
    <t>C4</t>
  </si>
  <si>
    <t>Desagues en tuberia PVC 2"</t>
  </si>
  <si>
    <t>2.1.5</t>
  </si>
  <si>
    <t>C5</t>
  </si>
  <si>
    <t>Cajas de inspección en ladrillo recocido (0,60x0,60)m</t>
  </si>
  <si>
    <t>2.1.6</t>
  </si>
  <si>
    <t>C6</t>
  </si>
  <si>
    <t>Muro para caseta en ladrillo a la vista 2 Caras e=0,12</t>
  </si>
  <si>
    <t>2.1.7</t>
  </si>
  <si>
    <t>C7</t>
  </si>
  <si>
    <t>Cubierta en teja termoacustica para caseta (No incluye estructura)</t>
  </si>
  <si>
    <t>2.1.8</t>
  </si>
  <si>
    <t>C8</t>
  </si>
  <si>
    <t>Placa de concreto para Caseta (e=0,10 m) 3000 psi</t>
  </si>
  <si>
    <t>2.1.9</t>
  </si>
  <si>
    <t>C9</t>
  </si>
  <si>
    <t>Piso en baldosín de cemento de 25x25</t>
  </si>
  <si>
    <t>2.1.10</t>
  </si>
  <si>
    <t>C10</t>
  </si>
  <si>
    <t>Enchape de porcelana para baño</t>
  </si>
  <si>
    <t>2.1.11</t>
  </si>
  <si>
    <t>C11</t>
  </si>
  <si>
    <t>Juego de incrustar para baño</t>
  </si>
  <si>
    <t>2.1.12</t>
  </si>
  <si>
    <t>C12</t>
  </si>
  <si>
    <t>Rejilla de piso para baño</t>
  </si>
  <si>
    <t>2.1.13</t>
  </si>
  <si>
    <t>C13</t>
  </si>
  <si>
    <t>Alfajias para ventanas b= 0,20</t>
  </si>
  <si>
    <t>2.1.14</t>
  </si>
  <si>
    <t>C14</t>
  </si>
  <si>
    <t>Sanitario Popular</t>
  </si>
  <si>
    <t>2.1.15</t>
  </si>
  <si>
    <t>C15</t>
  </si>
  <si>
    <t>Lavamanos popular</t>
  </si>
  <si>
    <t>2.1.16</t>
  </si>
  <si>
    <t>C16</t>
  </si>
  <si>
    <t>Griferias</t>
  </si>
  <si>
    <t>2.1.17</t>
  </si>
  <si>
    <t>Puertas en lámina calibre 18 con cerradura y marco metálico:</t>
  </si>
  <si>
    <t>2.1.17.1</t>
  </si>
  <si>
    <t>C17</t>
  </si>
  <si>
    <t>De 0,90x2,40</t>
  </si>
  <si>
    <t>2.1.17.2</t>
  </si>
  <si>
    <t>C18</t>
  </si>
  <si>
    <t>De 0,70x2,40</t>
  </si>
  <si>
    <t>2.1.18</t>
  </si>
  <si>
    <t>Ventanas:</t>
  </si>
  <si>
    <t>2.1.18.1</t>
  </si>
  <si>
    <t>C19</t>
  </si>
  <si>
    <t>En lámina y vidrios (1,00x1,00)m</t>
  </si>
  <si>
    <t>2.1.18.2</t>
  </si>
  <si>
    <t>C20</t>
  </si>
  <si>
    <t>En prefabricados de concreto</t>
  </si>
  <si>
    <t>2.1.19</t>
  </si>
  <si>
    <t>C21</t>
  </si>
  <si>
    <t>Pintura para puertas y marcos de ventanas en esmalte</t>
  </si>
  <si>
    <t>2.1.20</t>
  </si>
  <si>
    <t>C24</t>
  </si>
  <si>
    <t>Suministro  e instalación de tanque plástico de 250L cónico. incluye accesorios hidráulicos y tubería PVC D=1/2" RDE 13.5</t>
  </si>
  <si>
    <t>2.1.21</t>
  </si>
  <si>
    <t>C27</t>
  </si>
  <si>
    <t>2.1.22</t>
  </si>
  <si>
    <t>C28</t>
  </si>
  <si>
    <t>Estructura de soporte tanque de almacenamiento</t>
  </si>
  <si>
    <t>2.1.23</t>
  </si>
  <si>
    <t>S12</t>
  </si>
  <si>
    <t>Suministro Tubería PVC corrugada externa, lisa interior, alcantarillado, d=4"</t>
  </si>
  <si>
    <t>2.1.24</t>
  </si>
  <si>
    <t>I8</t>
  </si>
  <si>
    <t>Instalación tuberías Corrugadas PVC alcantarillado Dn 4" y 6"</t>
  </si>
  <si>
    <t>2.1.25</t>
  </si>
  <si>
    <t>C30</t>
  </si>
  <si>
    <t>Suministro e instalación Tubería PVC EL 3/4" RDE 21</t>
  </si>
  <si>
    <t>2.1.26</t>
  </si>
  <si>
    <t>C31</t>
  </si>
  <si>
    <t>Suministro e instalación Tubería PVC 1/2" RDE 13.5</t>
  </si>
  <si>
    <t>2.1.27</t>
  </si>
  <si>
    <t>C32</t>
  </si>
  <si>
    <t>Suministro e instalación Codo PVC 3/4"</t>
  </si>
  <si>
    <t>2.1.28</t>
  </si>
  <si>
    <t>C33</t>
  </si>
  <si>
    <t>Suministro e instalación Registro 3/4" PVC</t>
  </si>
  <si>
    <t>2.1.29</t>
  </si>
  <si>
    <t>C34</t>
  </si>
  <si>
    <t>Suministro e instalación Adaptadores machos PVC 3/4"</t>
  </si>
  <si>
    <t>2.1.30</t>
  </si>
  <si>
    <t>C35</t>
  </si>
  <si>
    <t>Suministro e instalación Buje PVC 3/4" x 1/2"</t>
  </si>
  <si>
    <t>2.1.31</t>
  </si>
  <si>
    <t>C36</t>
  </si>
  <si>
    <t>Suministro e instalación Tee PVC 1/2"</t>
  </si>
  <si>
    <t>2.1.32</t>
  </si>
  <si>
    <t>C37</t>
  </si>
  <si>
    <t xml:space="preserve">Suministro e instalación Codo PVC 90º 1/2" </t>
  </si>
  <si>
    <t>2.1.33</t>
  </si>
  <si>
    <t>C38</t>
  </si>
  <si>
    <t>Suministro e instalación Mangueras de acople 3/8" 60 cm</t>
  </si>
  <si>
    <t>2.1.34</t>
  </si>
  <si>
    <t>C39</t>
  </si>
  <si>
    <t>Suministro e instalación Sifón 2" PVC sanitario</t>
  </si>
  <si>
    <t>2.1.35</t>
  </si>
  <si>
    <t>C40</t>
  </si>
  <si>
    <t>Suministro e instalación Codo 2" PVC 90º sanitario</t>
  </si>
  <si>
    <t>2.1.36</t>
  </si>
  <si>
    <t>C41</t>
  </si>
  <si>
    <t>Suministro e instalación Niple PVC 2"</t>
  </si>
  <si>
    <t>2.1.37</t>
  </si>
  <si>
    <t>C42</t>
  </si>
  <si>
    <t>Suministro e instalación Buje PVC 2" x 3" Sanitario</t>
  </si>
  <si>
    <t>2.1.38</t>
  </si>
  <si>
    <t>C43</t>
  </si>
  <si>
    <t>Suministro e instalación Tubería PVC sanitaria 3"</t>
  </si>
  <si>
    <t>2.1.39</t>
  </si>
  <si>
    <t>C44</t>
  </si>
  <si>
    <t>Suministro e instalación Codo PVC 90º 4" sanitario</t>
  </si>
  <si>
    <t>2.1.40</t>
  </si>
  <si>
    <t>C45</t>
  </si>
  <si>
    <t>Suministro e instalación Yee PVC 4"x2" sanitario</t>
  </si>
  <si>
    <t>SUBTOTAL DE ESTACION DE BOMBEO DE AGUAS NEGRAS</t>
  </si>
  <si>
    <t>3. PLANTA DE TRATAMIENTO DE AGUAS NEGRAS</t>
  </si>
  <si>
    <t>3.1</t>
  </si>
  <si>
    <t>3.1.1</t>
  </si>
  <si>
    <t>P2</t>
  </si>
  <si>
    <t>Localización y Replanteo</t>
  </si>
  <si>
    <t>3.1.2</t>
  </si>
  <si>
    <t>P4</t>
  </si>
  <si>
    <t>Descapote mecánico h=0,20 con retiro</t>
  </si>
  <si>
    <t>3.2</t>
  </si>
  <si>
    <t>EXCAVACIONES</t>
  </si>
  <si>
    <t>3.2.1</t>
  </si>
  <si>
    <t>Excavación mecánica material común h = 0 - 1,5 m</t>
  </si>
  <si>
    <t>3.2.2</t>
  </si>
  <si>
    <t>3.3.</t>
  </si>
  <si>
    <t xml:space="preserve">RELLENOS </t>
  </si>
  <si>
    <t>3.3.1</t>
  </si>
  <si>
    <t>R6</t>
  </si>
  <si>
    <t>Relleno en material de prestamo para Diques</t>
  </si>
  <si>
    <t>3.3.2</t>
  </si>
  <si>
    <t>R7</t>
  </si>
  <si>
    <t>Perfilado y compactación de fondo de lagunas</t>
  </si>
  <si>
    <t>3.3.3</t>
  </si>
  <si>
    <t>R8</t>
  </si>
  <si>
    <t>Perfilado y compactación de taludes de lagunas</t>
  </si>
  <si>
    <t>3.3.4</t>
  </si>
  <si>
    <t>R9</t>
  </si>
  <si>
    <t>Impermeabilización con suelo cemento</t>
  </si>
  <si>
    <t>3.3.5</t>
  </si>
  <si>
    <t>R10</t>
  </si>
  <si>
    <t>Relleno compactado con Sub base SB-1 (Norma Invias)</t>
  </si>
  <si>
    <t>3.4</t>
  </si>
  <si>
    <t>CONCRETO</t>
  </si>
  <si>
    <t>3.4.1</t>
  </si>
  <si>
    <t>2.4.2</t>
  </si>
  <si>
    <t>R15</t>
  </si>
  <si>
    <t>Proteción taludes con malla gallinero y mortero 1:6 e=0.02 m</t>
  </si>
  <si>
    <t>2.4.3</t>
  </si>
  <si>
    <t>Hierro de refuerzo de 60000 PSI</t>
  </si>
  <si>
    <t>KG</t>
  </si>
  <si>
    <t>3.5</t>
  </si>
  <si>
    <t>3.5.1</t>
  </si>
  <si>
    <t>3.5.2</t>
  </si>
  <si>
    <t>Instalación tuberías Corrugadas PVC alcantarillado Dn 8, 10 y 12"</t>
  </si>
  <si>
    <t>3.5.3</t>
  </si>
  <si>
    <t>R11</t>
  </si>
  <si>
    <t>Cimentación tipo para paso de tuberías D = 8"</t>
  </si>
  <si>
    <t>3.5.4</t>
  </si>
  <si>
    <t>3.5.5</t>
  </si>
  <si>
    <t>3.5.6</t>
  </si>
  <si>
    <t>R16</t>
  </si>
  <si>
    <t>Cimentación tipo para paso de tuberías D = 10"</t>
  </si>
  <si>
    <t>3.5.7</t>
  </si>
  <si>
    <t>A1</t>
  </si>
  <si>
    <t>Suministro e instalación de compuertas laterales circulares Ø 8" - Lv=2,00m</t>
  </si>
  <si>
    <t>3.5.8</t>
  </si>
  <si>
    <t>A12</t>
  </si>
  <si>
    <t>3.5.9</t>
  </si>
  <si>
    <t>A2</t>
  </si>
  <si>
    <t>Suministro e instalación de REJILLA (0,70x1,00)m, plataforma metálica (0,60X1,00)m y vertedero triangular en fibra de vidrio</t>
  </si>
  <si>
    <t>3.5.10</t>
  </si>
  <si>
    <t>A3</t>
  </si>
  <si>
    <t>Ventilaciones entrada y salida de lagunas (incluye Tee 8" y niple Ø 8" L= 0,60m)</t>
  </si>
  <si>
    <t>3.6</t>
  </si>
  <si>
    <t>VÍA DE ACCESO Y PATIO DE MANIOBRAS</t>
  </si>
  <si>
    <t>3.6.1</t>
  </si>
  <si>
    <t>3.6.2</t>
  </si>
  <si>
    <t>3.6.3</t>
  </si>
  <si>
    <t>3.7</t>
  </si>
  <si>
    <t>CERRAMIENTO</t>
  </si>
  <si>
    <t>3.7.1</t>
  </si>
  <si>
    <t>CE1</t>
  </si>
  <si>
    <t>Cerramiento en alambre de puas 5 hilos con postes de concreto</t>
  </si>
  <si>
    <t>3.7.2</t>
  </si>
  <si>
    <t>CE2</t>
  </si>
  <si>
    <t xml:space="preserve">Portón doble en tubería, lámina y malla eslabonada con pasadores </t>
  </si>
  <si>
    <t>GB</t>
  </si>
  <si>
    <t>3.8</t>
  </si>
  <si>
    <t>JARILLON DE PROTECCIÓN</t>
  </si>
  <si>
    <t>3.8.1</t>
  </si>
  <si>
    <t>R12</t>
  </si>
  <si>
    <t>Construcción jarillon perimetral de protección</t>
  </si>
  <si>
    <t>3,8.2</t>
  </si>
  <si>
    <t>R13</t>
  </si>
  <si>
    <t>Construcción jarillon perimetral de protección con material de prestamo</t>
  </si>
  <si>
    <t>3.8.3</t>
  </si>
  <si>
    <t>R14</t>
  </si>
  <si>
    <t>Empradización de jarillón perimetral de protección</t>
  </si>
  <si>
    <t>SUBTOTAL DEL TRATAMIENTO DE AGUAS NEGRAS</t>
  </si>
  <si>
    <t>4. EMISARIO FINAL</t>
  </si>
  <si>
    <t>4.1</t>
  </si>
  <si>
    <t>4.1.1</t>
  </si>
  <si>
    <t>4.2</t>
  </si>
  <si>
    <t>4.2.1</t>
  </si>
  <si>
    <t>Excavaciones manuales material común</t>
  </si>
  <si>
    <t>4.2.3</t>
  </si>
  <si>
    <t>4.2.5</t>
  </si>
  <si>
    <t xml:space="preserve">Apiques para verificación de redes, incluye retiro de material sobrante </t>
  </si>
  <si>
    <t>4.3</t>
  </si>
  <si>
    <t>4.3.1</t>
  </si>
  <si>
    <t>4.4</t>
  </si>
  <si>
    <t>4.4.1</t>
  </si>
  <si>
    <t>4.5</t>
  </si>
  <si>
    <t>4.5.1</t>
  </si>
  <si>
    <t>4.5.3</t>
  </si>
  <si>
    <t>4.5.4</t>
  </si>
  <si>
    <t>4.5.5</t>
  </si>
  <si>
    <t>4.6</t>
  </si>
  <si>
    <t>CABEZAL DE DESCARGA</t>
  </si>
  <si>
    <t>4.6.1</t>
  </si>
  <si>
    <t>Concreto  de 4000 psi</t>
  </si>
  <si>
    <t>4.6.2</t>
  </si>
  <si>
    <t>SUBTOTAL DEL EMISARIO FINAL</t>
  </si>
  <si>
    <t>SUMINISTROS DEL EMISARIO FINAL</t>
  </si>
  <si>
    <t>4.7</t>
  </si>
  <si>
    <t>SUMIN TUBERÍA ALCANTARILLADO</t>
  </si>
  <si>
    <t>4.7.1</t>
  </si>
  <si>
    <t>SUBTOTAL SUMINISTROS DEL EMISARIO FINAL</t>
  </si>
  <si>
    <t>SUBTOTAL OBRAS CIVILES</t>
  </si>
  <si>
    <t>TOTAL OBRA CIVILES</t>
  </si>
  <si>
    <t xml:space="preserve">DATOS ACTUALIZADOS A </t>
  </si>
  <si>
    <t>APLICABLE A PERSONAL EMPLEADO</t>
  </si>
  <si>
    <t>ANÁLISIS PRESTACIONAL</t>
  </si>
  <si>
    <t>INGRESO</t>
  </si>
  <si>
    <t>APLICABLES AL SECTOR DE LA CONSTRUCCIÓN</t>
  </si>
  <si>
    <t>RETIRO</t>
  </si>
  <si>
    <t>SMMLV</t>
  </si>
  <si>
    <t>Mensual</t>
  </si>
  <si>
    <t>Anual</t>
  </si>
  <si>
    <t>SUBSIDIO TRANSPORTE</t>
  </si>
  <si>
    <t>DIAS TRABAJADOS</t>
  </si>
  <si>
    <t>SALARIO MENSUAL</t>
  </si>
  <si>
    <t>UN MINIMO</t>
  </si>
  <si>
    <t>1 1/2 MINIMOS</t>
  </si>
  <si>
    <t>2 MINIMOS</t>
  </si>
  <si>
    <t>2 1/2 MINIMOS</t>
  </si>
  <si>
    <t xml:space="preserve">      3 MÍNIMOS</t>
  </si>
  <si>
    <t>EMPLEADOS</t>
  </si>
  <si>
    <t>OTRO VALOR</t>
  </si>
  <si>
    <t xml:space="preserve">   LIQUIDACIÓN</t>
  </si>
  <si>
    <t>Valor</t>
  </si>
  <si>
    <t>Ref</t>
  </si>
  <si>
    <t>A</t>
  </si>
  <si>
    <t>Valor Básico a Analizar:</t>
  </si>
  <si>
    <t>Subsidio de Transporte</t>
  </si>
  <si>
    <t>B</t>
  </si>
  <si>
    <t>Total mensual</t>
  </si>
  <si>
    <t>C</t>
  </si>
  <si>
    <t>Anual (A/30x365)</t>
  </si>
  <si>
    <t>D</t>
  </si>
  <si>
    <t>Anual con Subsidio Transporte</t>
  </si>
  <si>
    <t>E</t>
  </si>
  <si>
    <t>CONCEPTO</t>
  </si>
  <si>
    <t>BASE</t>
  </si>
  <si>
    <t>FACTOR</t>
  </si>
  <si>
    <t>%</t>
  </si>
  <si>
    <t>SALARIO</t>
  </si>
  <si>
    <t>Salario anual (365 días)</t>
  </si>
  <si>
    <t>365/30</t>
  </si>
  <si>
    <t>Salario anual (12 meses)</t>
  </si>
  <si>
    <r>
      <t xml:space="preserve">Subsidio transporte </t>
    </r>
    <r>
      <rPr>
        <i/>
        <sz val="8"/>
        <rFont val="Arial"/>
        <family val="2"/>
      </rPr>
      <t>(1)</t>
    </r>
  </si>
  <si>
    <t>PRESTACIONES</t>
  </si>
  <si>
    <t>Cesantía anual</t>
  </si>
  <si>
    <t>Intereses Cesantía</t>
  </si>
  <si>
    <t>Cesantía</t>
  </si>
  <si>
    <t>Vacaciones - 15 días</t>
  </si>
  <si>
    <t>Prima - 30 días</t>
  </si>
  <si>
    <t>OTROS COSTOS</t>
  </si>
  <si>
    <t xml:space="preserve">Botas, Casco y Overol </t>
  </si>
  <si>
    <t>Uniforme</t>
  </si>
  <si>
    <t>Seguro colectivo (Opcional)</t>
  </si>
  <si>
    <t xml:space="preserve">Seguro colectivo </t>
  </si>
  <si>
    <t>SEGURIDAD SOCIAL</t>
  </si>
  <si>
    <r>
      <t xml:space="preserve">Pensiones AFP </t>
    </r>
    <r>
      <rPr>
        <i/>
        <sz val="8"/>
        <rFont val="Arial"/>
        <family val="2"/>
      </rPr>
      <t>(2) 75%</t>
    </r>
  </si>
  <si>
    <r>
      <t xml:space="preserve">Pensiones AFP </t>
    </r>
    <r>
      <rPr>
        <i/>
        <sz val="8"/>
        <rFont val="Arial"/>
        <family val="2"/>
      </rPr>
      <t>(2)</t>
    </r>
  </si>
  <si>
    <r>
      <t xml:space="preserve">Medicina Familiar EPS </t>
    </r>
    <r>
      <rPr>
        <i/>
        <sz val="8"/>
        <rFont val="Arial"/>
        <family val="2"/>
      </rPr>
      <t>(2) 68%</t>
    </r>
  </si>
  <si>
    <r>
      <t xml:space="preserve">Medicina Familiar EPS </t>
    </r>
    <r>
      <rPr>
        <i/>
        <sz val="8"/>
        <rFont val="Arial"/>
        <family val="2"/>
      </rPr>
      <t>(2)</t>
    </r>
  </si>
  <si>
    <r>
      <t xml:space="preserve">Riesgos profesionales </t>
    </r>
    <r>
      <rPr>
        <i/>
        <sz val="8"/>
        <rFont val="Arial"/>
        <family val="2"/>
      </rPr>
      <t>(3)</t>
    </r>
  </si>
  <si>
    <t>APORTES SENA</t>
  </si>
  <si>
    <t>Aporte Ordinario art 30 Ley 119/94</t>
  </si>
  <si>
    <r>
      <t xml:space="preserve">Fondo Ind. de la Construcción </t>
    </r>
    <r>
      <rPr>
        <i/>
        <sz val="8"/>
        <rFont val="Arial"/>
        <family val="2"/>
      </rPr>
      <t>(4)</t>
    </r>
  </si>
  <si>
    <t>Ver nota</t>
  </si>
  <si>
    <t>OTROS APORTES</t>
  </si>
  <si>
    <t>I.C.B.F. art 1 Ley 89/88</t>
  </si>
  <si>
    <t>Subsidio Familiar  art 12 Ley 21/82</t>
  </si>
  <si>
    <t>VALOR REAL DEL SALARIO</t>
  </si>
  <si>
    <t>ANUAL</t>
  </si>
  <si>
    <t>NOTAS</t>
  </si>
  <si>
    <t xml:space="preserve">Todos los porcentajes estan relacionados con el salario para 365 días </t>
  </si>
  <si>
    <t>vr dia base</t>
  </si>
  <si>
    <t>% PERSONAL DE OBRA</t>
  </si>
  <si>
    <t>composicion %</t>
  </si>
  <si>
    <t>indice aplicado</t>
  </si>
  <si>
    <r>
      <t>Sueldo anual</t>
    </r>
    <r>
      <rPr>
        <sz val="9"/>
        <rFont val="Arial"/>
        <family val="2"/>
      </rPr>
      <t xml:space="preserve"> = Sueldo mensual / 30 x 365 días</t>
    </r>
  </si>
  <si>
    <t>ayudantes</t>
  </si>
  <si>
    <r>
      <t xml:space="preserve">Subsidio de transporte anual </t>
    </r>
    <r>
      <rPr>
        <sz val="9"/>
        <rFont val="Arial"/>
        <family val="2"/>
      </rPr>
      <t>= Subsidio mensual / 30 x (365 días - 17 fiestas - 3 permisos)</t>
    </r>
  </si>
  <si>
    <t>ayudantes tecnicos</t>
  </si>
  <si>
    <t>(1)  Subsidio de Transporte sólo se paga hasta sueldos de dos (2) salarios mínimos mensuales.</t>
  </si>
  <si>
    <t>oficiales</t>
  </si>
  <si>
    <t>(2)  El Empleador paga el 75% del aporte, y el Empleado el 25% restante.</t>
  </si>
  <si>
    <t>oficiales acabados</t>
  </si>
  <si>
    <t xml:space="preserve">(3)  Porcentajes solo son válidos para actividades de construcción. Para otros empleados se debe utilizar </t>
  </si>
  <si>
    <t>oficiales tecnicos</t>
  </si>
  <si>
    <t xml:space="preserve">      30 días de cesantía y 2.2% (promedio para empresas de bajo riesgo) para Riesgos Profesionales.</t>
  </si>
  <si>
    <t>(4) Un salario mínimo por cada 40 trabajadores. El valor se obtiene asi: (Salario mínimo x 12 / 40) / Salario anual estudiado</t>
  </si>
  <si>
    <t>( ejemplo )</t>
  </si>
  <si>
    <t>FACTOR DE DIAS TRABAJADOS AÑO</t>
  </si>
  <si>
    <t>CALCULO DEL SOBRECOSTO PARA HORAS EFECTIVAS TRABAJADAS 2000 - OBREROS CON UN SALARIO MINIMO</t>
  </si>
  <si>
    <t>ANUAL CON SUBSIDIO DE TRANSPORTE</t>
  </si>
  <si>
    <t>DIAS TOTALES</t>
  </si>
  <si>
    <t>HORAS CALENDARIO ANUALES</t>
  </si>
  <si>
    <t>365 días x 8 horas</t>
  </si>
  <si>
    <t>DOMINGOS</t>
  </si>
  <si>
    <t>HORAS LABORALES ANUALES</t>
  </si>
  <si>
    <t>(52 semanas x 48 horas) + 8 horas</t>
  </si>
  <si>
    <t>FESTIVOS</t>
  </si>
  <si>
    <t>HORAS HABILES ANUALES</t>
  </si>
  <si>
    <t>2920 horas -[(52 domingos+17 fiestas+3 permisos) x 8 horas]</t>
  </si>
  <si>
    <t>LABORALES</t>
  </si>
  <si>
    <t>VALOR HORA CALENDARIO</t>
  </si>
  <si>
    <t>A/B</t>
  </si>
  <si>
    <t>F</t>
  </si>
  <si>
    <t>VALOR HORA LABORAL</t>
  </si>
  <si>
    <t>A/C</t>
  </si>
  <si>
    <t>FACTOR DE SOBRECOSTO</t>
  </si>
  <si>
    <t>G</t>
  </si>
  <si>
    <t>VALOR HORA EFECTIVA</t>
  </si>
  <si>
    <t>A/D</t>
  </si>
  <si>
    <t>Estos factores de sobrecosto se utilizan para valorizar el tiempo efectivo que un obrero dedica a una labor determinada y reflejan el costo del tiempo durante el cual no está pero sí está devengando.</t>
  </si>
  <si>
    <t>Cerciórese del sueldo quese toma como base para utilizar un incremento del 24.57 % o del 6.83 %.</t>
  </si>
  <si>
    <t>DIFERENCIAS EN PRESTACIONES Y APORTES SEGUN SALARIO BASE 2000</t>
  </si>
  <si>
    <t>VALOR SALARIO</t>
  </si>
  <si>
    <t>SALARIO + ADICIONES</t>
  </si>
  <si>
    <t>HORA EFECTIVA</t>
  </si>
  <si>
    <t>2.5 MINIMOS</t>
  </si>
  <si>
    <t>1.5 MINIMOS</t>
  </si>
  <si>
    <t>3 MINIMOS</t>
  </si>
  <si>
    <t>4 MINIMOS</t>
  </si>
  <si>
    <t>A medida que aumenta el salario, la influencia del subsidio de transporte y de la dotación disminuyen, hasta desaparecer por completo. La hora efectiva se obtiene multiplicando el salario+adiciones x 124.57%.</t>
  </si>
  <si>
    <t>CUADRO A PARA CALCULO SUELDOS</t>
  </si>
  <si>
    <t>AUXILIO DE</t>
  </si>
  <si>
    <t>SALARIO MINIMO</t>
  </si>
  <si>
    <t>CALCULO DE CUADRILLAS 2009</t>
  </si>
  <si>
    <t>TRANSPORTE</t>
  </si>
  <si>
    <t xml:space="preserve">Mes  </t>
  </si>
  <si>
    <t xml:space="preserve">Año  </t>
  </si>
  <si>
    <t xml:space="preserve">Día  </t>
  </si>
  <si>
    <t>Año</t>
  </si>
  <si>
    <t>Monto</t>
  </si>
  <si>
    <t>Variación</t>
  </si>
  <si>
    <t>M.Obra AA</t>
  </si>
  <si>
    <t>M. Obra BB</t>
  </si>
  <si>
    <t>M. Obra CC</t>
  </si>
  <si>
    <t>M. Obra DD</t>
  </si>
  <si>
    <t>M. Obra EE</t>
  </si>
  <si>
    <t>mensual</t>
  </si>
  <si>
    <t>anual</t>
  </si>
  <si>
    <t>diario</t>
  </si>
  <si>
    <t>Factores</t>
  </si>
  <si>
    <t>Albañilería</t>
  </si>
  <si>
    <t xml:space="preserve">Instalaciones </t>
  </si>
  <si>
    <t xml:space="preserve">Pintura </t>
  </si>
  <si>
    <t xml:space="preserve">Carpinterías </t>
  </si>
  <si>
    <t>Cableado Est</t>
  </si>
  <si>
    <t>451.92</t>
  </si>
  <si>
    <t>(AA + 10 %)</t>
  </si>
  <si>
    <t>(AA + 15 %)</t>
  </si>
  <si>
    <t xml:space="preserve">(AA + 20 %) </t>
  </si>
  <si>
    <t xml:space="preserve">(AA + 30 %) </t>
  </si>
  <si>
    <t>560.38</t>
  </si>
  <si>
    <t>Jornal Ayudante</t>
  </si>
  <si>
    <t>1.5 mínimos</t>
  </si>
  <si>
    <t>683.66</t>
  </si>
  <si>
    <t>Valor real del jornal</t>
  </si>
  <si>
    <t>854.58</t>
  </si>
  <si>
    <t>Valor total Hora Ayudante</t>
  </si>
  <si>
    <t>1085.32</t>
  </si>
  <si>
    <t>Jornal Oficial</t>
  </si>
  <si>
    <t>2.20 mínimos</t>
  </si>
  <si>
    <t>1367.50</t>
  </si>
  <si>
    <t>Valor total Hora Oficial</t>
  </si>
  <si>
    <t>Valor Día Cuadrilla</t>
  </si>
  <si>
    <t>Valor Hora Cuadrilla</t>
  </si>
  <si>
    <t>Salida Eléctrica</t>
  </si>
  <si>
    <t>1.607 horas AA</t>
  </si>
  <si>
    <t>3964.45</t>
  </si>
  <si>
    <t xml:space="preserve"> </t>
  </si>
  <si>
    <t>JORNAL= Sueldo mensual x 12 meses / 365 días.</t>
  </si>
  <si>
    <t>4737.50</t>
  </si>
  <si>
    <t>Consulte en la sección de insumos, el grupo Sueldos y Jornales para aplicación de estas cifras.</t>
  </si>
  <si>
    <t>5733.50</t>
  </si>
  <si>
    <t>6794.20</t>
  </si>
  <si>
    <t>CUADRO B PARA CALCULO SUELDOS</t>
  </si>
  <si>
    <t>VALORES POR HORA AÑO 2009</t>
  </si>
  <si>
    <t>9533.33</t>
  </si>
  <si>
    <t>Día</t>
  </si>
  <si>
    <t>Hora</t>
  </si>
  <si>
    <t>Hora Ayudante</t>
  </si>
  <si>
    <t>Valor real de la hora</t>
  </si>
  <si>
    <t>Hora Oficial</t>
  </si>
  <si>
    <t>uvt</t>
  </si>
  <si>
    <t>CALCULO DEL SOBRECOSTO PARA HORAS EFECTIVAS TRABAJADAS 2014 - OBREROS CON UN SALARIO MINIMO</t>
  </si>
  <si>
    <r>
      <t xml:space="preserve">Cerciórese del sueldo que se toma como base para utilizar un incremento del </t>
    </r>
    <r>
      <rPr>
        <sz val="8"/>
        <color indexed="53"/>
        <rFont val="Arial"/>
        <family val="2"/>
      </rPr>
      <t>24.57</t>
    </r>
    <r>
      <rPr>
        <sz val="8"/>
        <rFont val="Arial"/>
        <family val="2"/>
      </rPr>
      <t xml:space="preserve"> % o del</t>
    </r>
    <r>
      <rPr>
        <sz val="8"/>
        <color indexed="53"/>
        <rFont val="Arial"/>
        <family val="2"/>
      </rPr>
      <t xml:space="preserve"> 6.83</t>
    </r>
    <r>
      <rPr>
        <sz val="8"/>
        <rFont val="Arial"/>
        <family val="2"/>
      </rPr>
      <t xml:space="preserve"> %.</t>
    </r>
  </si>
  <si>
    <t>DIFERENCIAS EN PRESTACIONES Y APORTES SEGUN SALARIO BASE 2014</t>
  </si>
  <si>
    <r>
      <t xml:space="preserve">A medida que aumenta el salario, la influencia del subsidio de transporte y de la dotación disminuyen, hasta desaparecer por completo. La hora efectiva se obtiene multiplicando el salario+adiciones x </t>
    </r>
    <r>
      <rPr>
        <sz val="8"/>
        <color indexed="53"/>
        <rFont val="Arial"/>
        <family val="2"/>
      </rPr>
      <t>124.57</t>
    </r>
    <r>
      <rPr>
        <sz val="8"/>
        <rFont val="Arial"/>
        <family val="2"/>
      </rPr>
      <t>%.</t>
    </r>
  </si>
  <si>
    <t>CALCULO DE CUADRILLAS 2014</t>
  </si>
  <si>
    <t>IPC: 1.75</t>
  </si>
  <si>
    <t>Consulte en la sección de Insumos, el grupo Sueldos y Jornales para aplicación de estas cifras.</t>
  </si>
  <si>
    <t>VALORES POR HORA AÑO 2014</t>
  </si>
  <si>
    <t>Valor de los insumos del grupo Sueldos y Jornales en año 2014</t>
  </si>
  <si>
    <t>Nominal</t>
  </si>
  <si>
    <t>Más Prest</t>
  </si>
  <si>
    <t>Mínimo mensual</t>
  </si>
  <si>
    <t>------------&gt;</t>
  </si>
  <si>
    <t>Mínimo diario (M/30)</t>
  </si>
  <si>
    <t>Mínimo Hora (D/8)</t>
  </si>
  <si>
    <t>Prestaciones este año</t>
  </si>
  <si>
    <t>Cod</t>
  </si>
  <si>
    <t>Nombre</t>
  </si>
  <si>
    <t>U.M.</t>
  </si>
  <si>
    <t>Col</t>
  </si>
  <si>
    <t>Fuente/Mínimos</t>
  </si>
  <si>
    <t>Precio</t>
  </si>
  <si>
    <t>Prov</t>
  </si>
  <si>
    <t>117 SUELDOS Y JORNALES</t>
  </si>
  <si>
    <t>SERVIC.VIGILANCIA ARMADA</t>
  </si>
  <si>
    <t>MS</t>
  </si>
  <si>
    <t>AYUDANTE ALBAÑILERIA  (A)</t>
  </si>
  <si>
    <t>HH</t>
  </si>
  <si>
    <t>Hoja Cuadrillas</t>
  </si>
  <si>
    <t>OFICIAL ALBAÑILERIA (A)</t>
  </si>
  <si>
    <t>RESIDENTE con prest (5.4 sm)</t>
  </si>
  <si>
    <t>MAESTRO GENERAL con pr. (3.7 sm)</t>
  </si>
  <si>
    <t>CONTRAMAESTRO con prest (2.9 sm)</t>
  </si>
  <si>
    <t>OFICIAL ALBAÑIL con prest  (2.2 sm)</t>
  </si>
  <si>
    <t>AYUDANTE ALBAÑIL con prest (1.5 sm)</t>
  </si>
  <si>
    <t>ALMACENISTA con prest (2.2 sm)</t>
  </si>
  <si>
    <t>CELADOR con prest.  (1.9 sm)</t>
  </si>
  <si>
    <t>ASEO GENERAL  (3 hs sm)</t>
  </si>
  <si>
    <t>m2</t>
  </si>
  <si>
    <t>AUXIL.INGENIERIA titulado (3 sm)</t>
  </si>
  <si>
    <t>DIBUJANTE 1   (3.3 sm)</t>
  </si>
  <si>
    <t>TOPOGRAFO INSPECTOR  (3.7 sm)</t>
  </si>
  <si>
    <t>CADENERO         (2.3 sm)</t>
  </si>
  <si>
    <t>BATIMETRISTA INSPECT (2.3 sm)</t>
  </si>
  <si>
    <t>LABORATORISTA INSPEC. (3.3 sm)</t>
  </si>
  <si>
    <t>INSPECTOR 1    (2.7 sm)</t>
  </si>
  <si>
    <t>CONDUCTOR      (1.7 sm)</t>
  </si>
  <si>
    <t>ADMINISTRADOR   (3.5 sm)</t>
  </si>
  <si>
    <t>CONDUCTOR con prest.   (A)</t>
  </si>
  <si>
    <t>DD</t>
  </si>
  <si>
    <t>AYUDANTE ALBAÑIL con prest (A)</t>
  </si>
  <si>
    <t>ING. RESIDENTE con prest. (5.4 sm)</t>
  </si>
  <si>
    <t>JEFE CUADRILLA con prest (3.8 sm)</t>
  </si>
  <si>
    <t>OFICIAL ALBAÑIL con prest  (A)</t>
  </si>
  <si>
    <t>SUPERVISOR RED con prest (4.5 sm)</t>
  </si>
  <si>
    <t>AYUD.EMPALMADOR con prest. (E)</t>
  </si>
  <si>
    <t>EMPALMADOR RED con prest. (E)</t>
  </si>
  <si>
    <t>OBRERO REDES con prest. (B)</t>
  </si>
  <si>
    <t>AYUDANTE RED   (E)</t>
  </si>
  <si>
    <t>OFICIAL CABLISTA con prest (B)</t>
  </si>
  <si>
    <t>OFICIAL REDES con prest (B)</t>
  </si>
  <si>
    <t>ING.CONSULTOR CAT1-SUELDO</t>
  </si>
  <si>
    <t>Invias</t>
  </si>
  <si>
    <t>ING.CONSULTOR CAT2-SUELDO</t>
  </si>
  <si>
    <t>ING.CONSULTOR CAT3-SUELDO</t>
  </si>
  <si>
    <t>ING.CONSULTOR CAT4-SUELDO</t>
  </si>
  <si>
    <t>ING.CONSULTOR CAT5-SUELDO</t>
  </si>
  <si>
    <t>ING.CONSULTOR CAT6-SUELDO</t>
  </si>
  <si>
    <t>ING.CONSULTOR CAT7-SUELDO</t>
  </si>
  <si>
    <t>ING.CONSULTOR CAT8-SUELDO</t>
  </si>
  <si>
    <t>AYUDANTE ELECTRICO (B)</t>
  </si>
  <si>
    <t>OFICIAL ELECTRICO  (B)</t>
  </si>
  <si>
    <t>HR.CUADRILLA Of+Ay  ELECT</t>
  </si>
  <si>
    <t>HC</t>
  </si>
  <si>
    <t>HR.CUADRILLA Of+2Ay ELECT</t>
  </si>
  <si>
    <t>CAPATAZ            (3.2 sm)</t>
  </si>
  <si>
    <t>MANO OBRA SALIDA ELECTRICA</t>
  </si>
  <si>
    <t>MANO DE OBRA AA Albañilería</t>
  </si>
  <si>
    <t>MANO DE OBRA BB Instalaciones</t>
  </si>
  <si>
    <t>MANO DE OBRA CC Pintura</t>
  </si>
  <si>
    <t>MANO DE OBRA DD Carpinterías</t>
  </si>
  <si>
    <t>CUADRILLA EE Especialistas</t>
  </si>
  <si>
    <t>MUNICIPIO:</t>
  </si>
  <si>
    <t>LOCALIDAD.</t>
  </si>
  <si>
    <t>CORREGIMIENTO DE LA JUNTA, LA PEÑA Y CURAZAO</t>
  </si>
  <si>
    <t>SISTEMA:</t>
  </si>
  <si>
    <t>REDES DE ALCANTARILLADO SANITARIO</t>
  </si>
  <si>
    <t>FECHA:</t>
  </si>
  <si>
    <t>DIC DE 2016</t>
  </si>
  <si>
    <t>INDICE DE APU´s</t>
  </si>
  <si>
    <t>DESCRIPCIÓN</t>
  </si>
  <si>
    <t>BASICOS</t>
  </si>
  <si>
    <t>Mortero 1:3 impermeabilizado</t>
  </si>
  <si>
    <r>
      <t>m</t>
    </r>
    <r>
      <rPr>
        <vertAlign val="superscript"/>
        <sz val="10"/>
        <rFont val="Arial Narrow"/>
        <family val="2"/>
      </rPr>
      <t>3</t>
    </r>
  </si>
  <si>
    <t xml:space="preserve">Mortero 1:3  </t>
  </si>
  <si>
    <t>Concreto simple 2000 PSI</t>
  </si>
  <si>
    <t>Concreto simple 2500 PSI</t>
  </si>
  <si>
    <t>Concreto simple 3000 PSI</t>
  </si>
  <si>
    <t>Concreto simple 3000 PSI impermeabilizado</t>
  </si>
  <si>
    <t>Concreto simple 3500 PSI</t>
  </si>
  <si>
    <t>Concreto simple 3500 PSI impermeabilizado</t>
  </si>
  <si>
    <t>Concreto simple 4000 PSI</t>
  </si>
  <si>
    <t>Concreto simple 4000 PSI impermeabilizado</t>
  </si>
  <si>
    <t>Muro en mampostería e = 0.12 m</t>
  </si>
  <si>
    <r>
      <t>m</t>
    </r>
    <r>
      <rPr>
        <vertAlign val="superscript"/>
        <sz val="10"/>
        <rFont val="Arial Narrow"/>
        <family val="2"/>
      </rPr>
      <t>2</t>
    </r>
  </si>
  <si>
    <t>m</t>
  </si>
  <si>
    <t>P3</t>
  </si>
  <si>
    <t>Impacto Urbano</t>
  </si>
  <si>
    <t>GLOBAL/MES</t>
  </si>
  <si>
    <t>Limpieza y Descapote h=0,20 con retiro</t>
  </si>
  <si>
    <t>EXCAVACIONES, DEMOLICIONES Y TRASLADO ESTRUCTURAS</t>
  </si>
  <si>
    <t>Excavación mecánica material común h &gt; 1,5 m.</t>
  </si>
  <si>
    <t>Excavación mecánica material conglomerado h &gt; 1,5 m.</t>
  </si>
  <si>
    <t>Excavación en roca h = 0 - 1,5 m</t>
  </si>
  <si>
    <t>un</t>
  </si>
  <si>
    <t>Entibado temporal</t>
  </si>
  <si>
    <t>bombeo - manejo de aguas</t>
  </si>
  <si>
    <t>día</t>
  </si>
  <si>
    <t>E13</t>
  </si>
  <si>
    <t>Retiro y disposición de tuberías 4" - 12" PVC u otro material</t>
  </si>
  <si>
    <t>E14</t>
  </si>
  <si>
    <t>Retiro y disposición de Pozos prefabricados PVC</t>
  </si>
  <si>
    <t>RELLENOS, RETIRO Y DISPOSICIÓN DE MATERIALES</t>
  </si>
  <si>
    <t>INSTALACION TUBERIAS Y ACCESORIOS DE ALCANTARILLADO</t>
  </si>
  <si>
    <t>Instalación de tuberia de alcantarillado Dn  4 y 6"</t>
  </si>
  <si>
    <t>Instalación tuberías Corrugadas PVC alcantarillado Dn 4,  y 6"</t>
  </si>
  <si>
    <t>Instalación kit silla yee PVC  8 x 6"</t>
  </si>
  <si>
    <t>POZOS DE INSPECCIÓN</t>
  </si>
  <si>
    <t>Cuerpo para pozo de inspección D = 1,2 m, h: 1,0 - 2,0 m  Inc escalera de gato c/40 cm</t>
  </si>
  <si>
    <t>Cuerpo para pozo de inspección D = 1,2 m, h: 2,0 - 3,0 m Inc escalera de gato c/40 cm</t>
  </si>
  <si>
    <t>Cuerpo para pozo de inspección D = 1,2 m, h: 3,0 - 4,0 m  Inc escalera de gato c/40 cm</t>
  </si>
  <si>
    <t>PZ5</t>
  </si>
  <si>
    <t>Cuerpo para pozo de inspección D = 1,2 m, h &gt; 4.0 m Inc escalera de gato c/40 cm</t>
  </si>
  <si>
    <t>Base y cañuela para pozo de inspección D = 1.56 m</t>
  </si>
  <si>
    <t>ROTURA-CONSTRUCCIÓN VÍA, ANDEN PISO Y SARDINEL</t>
  </si>
  <si>
    <t>U5</t>
  </si>
  <si>
    <t>Demolición de pavimento asfaltico  e=variable</t>
  </si>
  <si>
    <t>U6</t>
  </si>
  <si>
    <t>Construc. pavimento flexible MDC-2</t>
  </si>
  <si>
    <r>
      <t>m</t>
    </r>
    <r>
      <rPr>
        <vertAlign val="superscript"/>
        <sz val="10"/>
        <rFont val="Arial Narrow"/>
        <family val="2"/>
      </rPr>
      <t>3</t>
    </r>
    <r>
      <rPr>
        <sz val="11"/>
        <color theme="1"/>
        <rFont val="Calibri"/>
        <family val="2"/>
        <scheme val="minor"/>
      </rPr>
      <t/>
    </r>
  </si>
  <si>
    <t>U7</t>
  </si>
  <si>
    <t>Construc. pavimento flexible MDC-1</t>
  </si>
  <si>
    <t>SUMINISTROS DE TUBERIAS Y ACCESORIOS</t>
  </si>
  <si>
    <t xml:space="preserve">Tubería PVC corrugada externa, lisa interior, alcantarillado, d=10" </t>
  </si>
  <si>
    <t>S5</t>
  </si>
  <si>
    <t xml:space="preserve">Tubería PVC corrugada externa, lisa interior, alcantarillado, d=14" </t>
  </si>
  <si>
    <t xml:space="preserve">Tubería PVC corrugada externa, lisa interior, alcantarillado, d=16" </t>
  </si>
  <si>
    <t>S7</t>
  </si>
  <si>
    <t xml:space="preserve">Tubería PVC corrugada externa, lisa interior, alcantarillado,  d=18" </t>
  </si>
  <si>
    <t>S8</t>
  </si>
  <si>
    <t xml:space="preserve">Tubería PVC corrugada externa, lisa interior, alcantarillado, d=20" </t>
  </si>
  <si>
    <t>Suministro kit silla yee PVC  8 x 6"</t>
  </si>
  <si>
    <t>S10</t>
  </si>
  <si>
    <t>Suministro kit silla yee PVC  10 x 6"</t>
  </si>
  <si>
    <t>S11</t>
  </si>
  <si>
    <t>Suministro kit silla yee PVC  12 x 6"</t>
  </si>
  <si>
    <t>ACCESORIOS</t>
  </si>
  <si>
    <t>A4</t>
  </si>
  <si>
    <t>Viguetas L=5.20x0.30 (soportes)</t>
  </si>
  <si>
    <t>A5</t>
  </si>
  <si>
    <t>Prefabricados en V L=5.20</t>
  </si>
  <si>
    <t>A6</t>
  </si>
  <si>
    <t>Relleno en grava ø1/2"</t>
  </si>
  <si>
    <t>A7</t>
  </si>
  <si>
    <t>Marco metálicos (dobles) 0.94x0.94</t>
  </si>
  <si>
    <t>A8</t>
  </si>
  <si>
    <t>Tubo ø8" (PVC RDE 17 pozo profundo)</t>
  </si>
  <si>
    <t>A9</t>
  </si>
  <si>
    <t>Niples ø8" PVC</t>
  </si>
  <si>
    <t>A10</t>
  </si>
  <si>
    <t>Ventilaciones ø3" PVC</t>
  </si>
  <si>
    <t>A11</t>
  </si>
  <si>
    <t>Caja de Distribución</t>
  </si>
  <si>
    <t>ESTRUCTURAS (CASETAS DE OPERACIÓN)</t>
  </si>
  <si>
    <t>Cajas de inspección en ladrillo común (0,60x0,60)m</t>
  </si>
  <si>
    <t>Puertas en lámina calibre 18 con cerradura y marco metálico: De 0,90x2,40</t>
  </si>
  <si>
    <t>Puertas en lámina calibre 18 con cerradura y marco metálico: De 0,70x2,40</t>
  </si>
  <si>
    <t>Ventanas: En lámina y vidrios (1,00x1,00)m</t>
  </si>
  <si>
    <t>Ventanas: En prefabricados de concreto</t>
  </si>
  <si>
    <t>C22</t>
  </si>
  <si>
    <t>Instalación hidráulica y sanitaria</t>
  </si>
  <si>
    <t>C23</t>
  </si>
  <si>
    <t>Instalación eléctrica</t>
  </si>
  <si>
    <t>C25</t>
  </si>
  <si>
    <t xml:space="preserve">Suministro  e instalación de pozo séptico prefabricado 2000L incluye accesorios </t>
  </si>
  <si>
    <t>C26</t>
  </si>
  <si>
    <t xml:space="preserve">Suministro  e instalación de tanque anaerobico prefabricado 1000L incluye accesorios </t>
  </si>
  <si>
    <t>Instalación de acometida 3/4" , longitud 1018 m,  incluye cajilla y medidor</t>
  </si>
  <si>
    <t>C29</t>
  </si>
  <si>
    <t>Zanjas de infiltración tuberìa PVC 4" perforada</t>
  </si>
  <si>
    <t>Suministro e instalación Mangueras de acople 3/8"  60 cm</t>
  </si>
  <si>
    <t>Suministro e instalación Codo 4" PVC 90º sanitario</t>
  </si>
  <si>
    <t>Portón doble en tubería, lámina y malla eslabonada con pasadores y candados para el cerramiento</t>
  </si>
  <si>
    <t>EQUIPOS ELECTRICOS</t>
  </si>
  <si>
    <t>EL1</t>
  </si>
  <si>
    <t>Corta circuitos 15kv 100 amps,pararayos y poste (tipo te-004, según norma Electricaribe)</t>
  </si>
  <si>
    <t>EL2</t>
  </si>
  <si>
    <t>Transformador 15 KVA 13,2 KV /440/254V</t>
  </si>
  <si>
    <t>EL3</t>
  </si>
  <si>
    <t>Armario CCM</t>
  </si>
  <si>
    <t>EL4</t>
  </si>
  <si>
    <t>Caja para medidor</t>
  </si>
  <si>
    <t>EL5</t>
  </si>
  <si>
    <t>Interruptor General 3 X 30 AMPS</t>
  </si>
  <si>
    <t>EL6</t>
  </si>
  <si>
    <t>Contactor  Magnetico 15 AMPS</t>
  </si>
  <si>
    <t>EL7</t>
  </si>
  <si>
    <t>Conector Magnetico 10 AMPS</t>
  </si>
  <si>
    <t>EL8</t>
  </si>
  <si>
    <t>Módulo Corrector  FP</t>
  </si>
  <si>
    <t>EL9</t>
  </si>
  <si>
    <t>Rele de Control de Bomba de 440 V</t>
  </si>
  <si>
    <t>EL10</t>
  </si>
  <si>
    <t>Transformador Seco 5KVA 440/208-120V</t>
  </si>
  <si>
    <t>EL11</t>
  </si>
  <si>
    <t>Salida para tomacorriente monofasico doble incluido aparato</t>
  </si>
  <si>
    <t>EL12</t>
  </si>
  <si>
    <t>Salida de techo incandescente</t>
  </si>
  <si>
    <t>EL13</t>
  </si>
  <si>
    <t>Salida de aplique incandescente</t>
  </si>
  <si>
    <t>EL14</t>
  </si>
  <si>
    <t>sistema de tierra: excavacion, enterrameinto de varillas, soldadura exotermica y caja de 20cmx20cm para mantenimiento del sistema</t>
  </si>
  <si>
    <t>EL15</t>
  </si>
  <si>
    <t xml:space="preserve">Varilla Copperweld 5/8" X 2, 44 m </t>
  </si>
  <si>
    <t>EL16</t>
  </si>
  <si>
    <t>Conductor de cobre desnudo 2/0 AWG</t>
  </si>
  <si>
    <t>EL17</t>
  </si>
  <si>
    <t>Caja de inspección</t>
  </si>
  <si>
    <t>EL18</t>
  </si>
  <si>
    <t>Cable no.8  THHN-AWG trenzado</t>
  </si>
  <si>
    <t>EL19</t>
  </si>
  <si>
    <t>Cable no.8 THHN-AWG</t>
  </si>
  <si>
    <t>EL20</t>
  </si>
  <si>
    <t>Tubería conduit galvanizada de la bajante del trasnformador φ1 1/2"</t>
  </si>
  <si>
    <t>EL21</t>
  </si>
  <si>
    <t>Tubería pvc, desde caja a medidor φ1 1/2", incluida curva y terminales</t>
  </si>
  <si>
    <t>EL22</t>
  </si>
  <si>
    <t>Tubería EMT de φ3/4" (de tablero a motores)</t>
  </si>
  <si>
    <t>EL23</t>
  </si>
  <si>
    <t xml:space="preserve">Terminales y uniones EMT de φ3/4" </t>
  </si>
  <si>
    <t>EL24</t>
  </si>
  <si>
    <t xml:space="preserve">Curvas EMT de φ3/4" </t>
  </si>
  <si>
    <t>EL25</t>
  </si>
  <si>
    <t>Estructura Tipo RA-202, Según Norma ELECTRICARIBE (Incluye Postes y Herrajes)</t>
  </si>
  <si>
    <t>EL26</t>
  </si>
  <si>
    <t>Estructura Tipo RA-203, Según Norma ELECTRICARIBE (Incluye Postes y Herrajes)</t>
  </si>
  <si>
    <t>EL27</t>
  </si>
  <si>
    <t>Estructura Tipo RA-204, Según Norma ELECTRICARIBE (Incluye Postes y Herrajes)</t>
  </si>
  <si>
    <t>EL28</t>
  </si>
  <si>
    <t>Estructura Tipo RA-205, Según Norma ELECTRICARIBE (Incluye Postes y Herrajes)</t>
  </si>
  <si>
    <t>EL29</t>
  </si>
  <si>
    <t>Cable ASCR 1/0 AWG</t>
  </si>
  <si>
    <t>EQUIPOS MECANICOS</t>
  </si>
  <si>
    <t>EM1</t>
  </si>
  <si>
    <t xml:space="preserve">Bomba Sumergible (Aguas LLuvias) 31.60 lps, TDH 4.55 mca, motor 5.0Hp, 440/220 V </t>
  </si>
  <si>
    <t>EM2</t>
  </si>
  <si>
    <t>Niple ∅6"x L=150mm Extremos B-B</t>
  </si>
  <si>
    <t>EM3</t>
  </si>
  <si>
    <t>Codo 90° ∅6" Radio corto Extremos B-B</t>
  </si>
  <si>
    <t>EM4</t>
  </si>
  <si>
    <t xml:space="preserve"> Niple ∅6"x L=2630mm Extremos B-B</t>
  </si>
  <si>
    <t>EM5</t>
  </si>
  <si>
    <t>EM6</t>
  </si>
  <si>
    <t>Junta de desmontaje autoportante ∅6"</t>
  </si>
  <si>
    <t>EM7</t>
  </si>
  <si>
    <t>Válvula de Cheque ∅6"</t>
  </si>
  <si>
    <t>EM8</t>
  </si>
  <si>
    <t xml:space="preserve">Válvula de Compuerta ∅6" </t>
  </si>
  <si>
    <t>EM9</t>
  </si>
  <si>
    <t>Tubería ∅6"x L=10.0m Extremos B-L</t>
  </si>
  <si>
    <t>EM10</t>
  </si>
  <si>
    <t>Tubería ∅10"x L=54.25m Extremos L-L</t>
  </si>
  <si>
    <t>EM11</t>
  </si>
  <si>
    <t xml:space="preserve">Bomba Sumergible (Aguas Residuales) 3.04 lps, TDH 5.90mca, motor 0.5Hp, 110 V </t>
  </si>
  <si>
    <t>EM12</t>
  </si>
  <si>
    <t>Niple ∅2"x L=100mm Extremos B-B</t>
  </si>
  <si>
    <t>EM13</t>
  </si>
  <si>
    <t>Codo 90° ∅2" Radio corto Extremos B-B</t>
  </si>
  <si>
    <t>EM14</t>
  </si>
  <si>
    <t xml:space="preserve"> Niple ∅2"x L=2770mm Extremos B-B</t>
  </si>
  <si>
    <t>EM15</t>
  </si>
  <si>
    <t>EM16</t>
  </si>
  <si>
    <t xml:space="preserve"> Niple ∅2"x L=220mm Extremos B-B</t>
  </si>
  <si>
    <t>EM17</t>
  </si>
  <si>
    <t>Junta de desmontaje autoportante ∅2"</t>
  </si>
  <si>
    <t>EM18</t>
  </si>
  <si>
    <t xml:space="preserve">Válvula de Cheque ∅2" </t>
  </si>
  <si>
    <t>EM19</t>
  </si>
  <si>
    <t>Válvula de Compuerta ∅2"</t>
  </si>
  <si>
    <t>EM20</t>
  </si>
  <si>
    <t>Tubería ∅2"x L=10.21m Extremos B-L</t>
  </si>
  <si>
    <t>Señalización y seguridad en la obra</t>
  </si>
  <si>
    <t>Señalización de la obra</t>
  </si>
  <si>
    <t>INSTALACIÓN</t>
  </si>
  <si>
    <t>SUMINISTRO</t>
  </si>
  <si>
    <t>3.1.1.1</t>
  </si>
  <si>
    <t>Soporte para Cinta demarcadora</t>
  </si>
  <si>
    <t>Un</t>
  </si>
  <si>
    <t>3.1.1.2</t>
  </si>
  <si>
    <t xml:space="preserve">Cinta demarcadora, sin soporte </t>
  </si>
  <si>
    <t>3.1.1.3.1</t>
  </si>
  <si>
    <t xml:space="preserve">Valla Móvil Tipo 1. Barrera de Concreto </t>
  </si>
  <si>
    <t>3.1.1.3.2</t>
  </si>
  <si>
    <t>Valla Móvil Tipo 2. Valla Plegable.</t>
  </si>
  <si>
    <t>3.1.1.3.3</t>
  </si>
  <si>
    <t xml:space="preserve">Valla Móvil Tipo 3. Barrera  Tubular </t>
  </si>
  <si>
    <t>3.1.1.3.4</t>
  </si>
  <si>
    <t xml:space="preserve">Valla Móvil Tipo 4. Valla doble cara </t>
  </si>
  <si>
    <t>3.1.1.3.5</t>
  </si>
  <si>
    <t>Valla Móvil Tipo 5.  Barrera Grande de madera</t>
  </si>
  <si>
    <t>3.1.1.3.6</t>
  </si>
  <si>
    <t>Valla Móvil Tipo 6. Barrera pequeña de madera</t>
  </si>
  <si>
    <t>3.1.1.3.7</t>
  </si>
  <si>
    <t>Valla móvil Tipo 7. Barrera metálica grande</t>
  </si>
  <si>
    <t>3.1.1.4</t>
  </si>
  <si>
    <t>Avisos Preventivos fijos.</t>
  </si>
  <si>
    <t>3.1.1.5</t>
  </si>
  <si>
    <t>Caneca reflectiva.</t>
  </si>
  <si>
    <t>3.1.1.6</t>
  </si>
  <si>
    <t>Señal Luminosa</t>
  </si>
  <si>
    <t>3.1.1.7</t>
  </si>
  <si>
    <t>Malla de cerramiento con soportes</t>
  </si>
  <si>
    <t>3.1.1.8</t>
  </si>
  <si>
    <t>Barrera Plástica Tipo A</t>
  </si>
  <si>
    <t>3.1.1.9</t>
  </si>
  <si>
    <t>Barrera Plástica Tipo B</t>
  </si>
  <si>
    <t>3.1.1.10</t>
  </si>
  <si>
    <t>Caneca Reflectiva Pequeña para reparcheo de pavimento</t>
  </si>
  <si>
    <t>Seguridad en la obra</t>
  </si>
  <si>
    <t>3.1.2.1</t>
  </si>
  <si>
    <t>Paso peatonal</t>
  </si>
  <si>
    <t>3.1.2.2</t>
  </si>
  <si>
    <t>Paso vehicular con platina e= 12,50 mm (1/2")</t>
  </si>
  <si>
    <t>3.1.3</t>
  </si>
  <si>
    <t>Preliminares</t>
  </si>
  <si>
    <t>3.1.3.1</t>
  </si>
  <si>
    <t>Trazado y replanteo</t>
  </si>
  <si>
    <t>ml</t>
  </si>
  <si>
    <t>3.1.3.2</t>
  </si>
  <si>
    <t>Ha</t>
  </si>
  <si>
    <t>3.1.3.3</t>
  </si>
  <si>
    <t>3.1.3.4</t>
  </si>
  <si>
    <t>Mantenimiento estructura existente, incluye remoción de plantas</t>
  </si>
  <si>
    <t>gl</t>
  </si>
  <si>
    <t>Demoliciones</t>
  </si>
  <si>
    <t>Demolición de Pavimentos</t>
  </si>
  <si>
    <t>3.2.1.1.1</t>
  </si>
  <si>
    <t>Con mona (0.15 m&lt; e &lt; 0.25 m)</t>
  </si>
  <si>
    <t>m²</t>
  </si>
  <si>
    <t>3.2.1.1.2</t>
  </si>
  <si>
    <t>Con compresor manual (0.15 m&lt; e &lt; 0.25 m)</t>
  </si>
  <si>
    <t>3.2.1.1.3</t>
  </si>
  <si>
    <t>Con Retromartillo (0.15 m&lt; e &lt; 0.25 m)</t>
  </si>
  <si>
    <t>Demolición de Anden</t>
  </si>
  <si>
    <t>3.2.2.1</t>
  </si>
  <si>
    <t>Demolición de andén con mona</t>
  </si>
  <si>
    <t>3.2.2.2</t>
  </si>
  <si>
    <t>Demolición de andén con equipo mecánico</t>
  </si>
  <si>
    <t>3.2.3</t>
  </si>
  <si>
    <t>Demolición de Bordillo</t>
  </si>
  <si>
    <t>3.2.3.1</t>
  </si>
  <si>
    <t>Demolición de bordillo de mampostería</t>
  </si>
  <si>
    <t>3.2.3.2</t>
  </si>
  <si>
    <t xml:space="preserve">Demolición de bordillo de concreto </t>
  </si>
  <si>
    <t>3.2.4</t>
  </si>
  <si>
    <t>Demolición de Estructuras</t>
  </si>
  <si>
    <t>3.2.4.1</t>
  </si>
  <si>
    <t>Demolición de obras civiles en Mampostería con refuerzo o sin él</t>
  </si>
  <si>
    <t>3.2.4.2</t>
  </si>
  <si>
    <t>Demolición de obras civiles en concreto con refuerzo o sin él</t>
  </si>
  <si>
    <t>3.2.5</t>
  </si>
  <si>
    <t xml:space="preserve">Demolición de enrocado </t>
  </si>
  <si>
    <t>3.2.6</t>
  </si>
  <si>
    <t>Demolición de cuneta</t>
  </si>
  <si>
    <t>3.2.7</t>
  </si>
  <si>
    <t>Perfilaciones</t>
  </si>
  <si>
    <t>3.2.7.1</t>
  </si>
  <si>
    <t>Perfilada pavimento</t>
  </si>
  <si>
    <t>3.2.7.2</t>
  </si>
  <si>
    <t>Perfilada anden</t>
  </si>
  <si>
    <t>EXCAVACIONES Y ENTIBADOS</t>
  </si>
  <si>
    <t>Descapote y limpieza</t>
  </si>
  <si>
    <t>3.3.1.1</t>
  </si>
  <si>
    <t>Descapote y Limpieza</t>
  </si>
  <si>
    <t>tuber</t>
  </si>
  <si>
    <t>Excavación en zanja para redes de alcantarillado y acueducto</t>
  </si>
  <si>
    <t>3.3.2.1</t>
  </si>
  <si>
    <t>Excavación a mano en material común, roca descompuesta, a cualquier profundidad y bajo cualquier condición de humedad (incluye retiro a lugar autorizado).</t>
  </si>
  <si>
    <t>m³</t>
  </si>
  <si>
    <t>3.3.2.2</t>
  </si>
  <si>
    <t>Excavación a maquina en material común, roca descompuesta, a cualquier profundidad y bajo cualquier condición de humedad (incluye retiro a lugar autorizado).</t>
  </si>
  <si>
    <t>3.3.2.3</t>
  </si>
  <si>
    <t>Excavación a maquina (compresor) en roca,  a cualquier profundidad y bajo cualquier condición de humedad (incluye retiro a lugar autorizado).</t>
  </si>
  <si>
    <t>3.3.2.4</t>
  </si>
  <si>
    <t>Excavación a maquina (retromartillo) en roca,  a cualquier profundidad y bajo cualquier condición de humedad (incluye retiro a lugar autorizado).</t>
  </si>
  <si>
    <t>3.3.2.5</t>
  </si>
  <si>
    <t>Excavación a maquina (con explosivos) en roca,  a cualquier profundidad y bajo cualquier condición de humedad (incluye retiro a lugar autorizado).</t>
  </si>
  <si>
    <t>Excavaciones a cielo abierto</t>
  </si>
  <si>
    <t>3.3.3.1</t>
  </si>
  <si>
    <t>Excavación a mano en material común, roca descompuesta, a cualquier profundidad y bajo cualquier condición de humedad. Incluye retiro a lugar autorizado.</t>
  </si>
  <si>
    <t>3.3.3.2</t>
  </si>
  <si>
    <t>Excavación a maquina en material común, roca descompuesta, a cualquier profundidad y bajo cualquier condición de humedad. Material seleccionado para conformación de terraplenes</t>
  </si>
  <si>
    <t>3.3.3.3</t>
  </si>
  <si>
    <t>Excavación a maquina en material común, roca descompuesta, a cualquier profundidad y bajo cualquier condición de humedad. Incluye retiro a lugar autorizado 5 km</t>
  </si>
  <si>
    <t>3.3.3.4</t>
  </si>
  <si>
    <t>Excavación a maquina (pistola neumática o compresor) en roca,  a cualquier profundidad y bajo cualquier condición de humedad. Incluye retiro a lugar autorizado.</t>
  </si>
  <si>
    <t>3.3.3.5</t>
  </si>
  <si>
    <t>Excavación a maquina (retromartillo) en roca,  a cualquier profundidad y bajo cualquier condición de humedad. Incluye retiro a lugar autorizado.</t>
  </si>
  <si>
    <t>3.3.3.6</t>
  </si>
  <si>
    <t>Excavación a maquina (con explosivos) en roca,  a cualquier profundidad y bajo cualquier condición de humedad. Incluye retiro a lugar autorizado.</t>
  </si>
  <si>
    <t>Excavaciones para estructuras</t>
  </si>
  <si>
    <t>3.3.4.1</t>
  </si>
  <si>
    <t>3.3.4.2</t>
  </si>
  <si>
    <t>Excavación a maquina en material común, roca descompuesta, a cualquier profundidad y bajo cualquier condición de humedad. Incluye retiro a lugar autorizado.</t>
  </si>
  <si>
    <t>3.3.4.3</t>
  </si>
  <si>
    <t>3.3.4.4</t>
  </si>
  <si>
    <t>3.3.4.5</t>
  </si>
  <si>
    <t>Exvaciones con sistema Well Point</t>
  </si>
  <si>
    <t>3.3.5.1</t>
  </si>
  <si>
    <t>Sistema Well Point para manejo de nivel freático</t>
  </si>
  <si>
    <t>3.3.5.2</t>
  </si>
  <si>
    <t>3.3.6</t>
  </si>
  <si>
    <t>Dragados</t>
  </si>
  <si>
    <t>3.3.6.1</t>
  </si>
  <si>
    <t>Dragado Hidráulico</t>
  </si>
  <si>
    <t>m3</t>
  </si>
  <si>
    <t>3.3.6.2</t>
  </si>
  <si>
    <t>Dragado con Retroexcavadora</t>
  </si>
  <si>
    <t>3.3.6.3</t>
  </si>
  <si>
    <t>Dragado con Almeja</t>
  </si>
  <si>
    <t>3.3.7</t>
  </si>
  <si>
    <t>Entibados y tablestacados</t>
  </si>
  <si>
    <t>3.3.7.1</t>
  </si>
  <si>
    <t>Apuntalamiento</t>
  </si>
  <si>
    <t>3.3.7.2.1</t>
  </si>
  <si>
    <t>Entibado tipo 1. Discontinuo de madera</t>
  </si>
  <si>
    <t>3.3.7.2.2</t>
  </si>
  <si>
    <t>Entibado tipo 2. Discontinuo mixto. Metálico y madera</t>
  </si>
  <si>
    <t>3.3.7.2.3</t>
  </si>
  <si>
    <t>Entibado tipo 3. Discontinuo metálico</t>
  </si>
  <si>
    <t>3.3.7.3.1</t>
  </si>
  <si>
    <t>Entibado tipo 4. Continuo de madera</t>
  </si>
  <si>
    <t>3.3.7.3.2</t>
  </si>
  <si>
    <t>Entibado tipo 5. Continuo mixto.  Metálico y madera</t>
  </si>
  <si>
    <t>3.3.7.3.3</t>
  </si>
  <si>
    <t>Entibado tipo 6. Continuo metálico</t>
  </si>
  <si>
    <t>3.3.7.4.1</t>
  </si>
  <si>
    <t>Tablestacado metálico</t>
  </si>
  <si>
    <t>3.3.7.4.2</t>
  </si>
  <si>
    <t>Tablestacado de madera</t>
  </si>
  <si>
    <t>3.3.7.4.3</t>
  </si>
  <si>
    <t>Tablestacado de concreto</t>
  </si>
  <si>
    <t>3.3.8</t>
  </si>
  <si>
    <t>Afirmado compactado</t>
  </si>
  <si>
    <t>INSTALACIÓN Y CIMENTACIÓN DE TUBERÍA</t>
  </si>
  <si>
    <t>Instalación de tubería para domiciliarias de alcantarillado</t>
  </si>
  <si>
    <t>3.4.1.1</t>
  </si>
  <si>
    <t>Instalación de domiciliaria de alcantarillado con tubería de PVC de 160 mm (6"). Incluida Tee o Yee, codo o accesorios de derivación</t>
  </si>
  <si>
    <t>3.4.1.1.1</t>
  </si>
  <si>
    <t>Tipo 1. L &lt; 1,0 m.</t>
  </si>
  <si>
    <t>3.4.1.1.2</t>
  </si>
  <si>
    <t>Tipo 2.  1 &lt; L&lt;  3,0 m.</t>
  </si>
  <si>
    <t>3.4.1.1.3</t>
  </si>
  <si>
    <t>Tipo 3.  3 &lt; L &lt; 5,0 m.</t>
  </si>
  <si>
    <t>3.4.1.1.3.1</t>
  </si>
  <si>
    <t>Acometidas Domiciliarias (incluyen suministro e instalación de tuberia de 6", yee de 8x6", excavación, relleno y construcción de registro domiciliario)  L &lt; = 5 m</t>
  </si>
  <si>
    <t>3.4.1.1.3.2</t>
  </si>
  <si>
    <t>Acometidas Domiciliarias (incluyen suministro e instalación de tuberia de 6", yee de 10x6", excavación, relleno y construcción de registro domiciliario)  L &lt; = 5 m</t>
  </si>
  <si>
    <t>3.4.1.1.3.3</t>
  </si>
  <si>
    <t>Acometidas Domiciliarias (incluyen suministro e instalación de tuberia de 6", yee de 12x6", excavación, relleno y construcción de registro domiciliario)  L &lt; = 5 m</t>
  </si>
  <si>
    <t>3.4.1.1.3.4</t>
  </si>
  <si>
    <t>Acometidas Domiciliarias (incluyen suministro e instalación de tuberia de 6", yee de 14x6", excavación, relleno y construcción de registro domiciliario)  L &lt; = 5 m</t>
  </si>
  <si>
    <t>3.4.1.1.3.5</t>
  </si>
  <si>
    <t>Acometidas Domiciliarias (incluyen suministro e instalación de tuberia de 6", yee de 16x6", excavación, relleno y construcción de registro domiciliario)  L &lt; = 5 m</t>
  </si>
  <si>
    <t>3.4.1.1.3.6</t>
  </si>
  <si>
    <t>Acometidas Domiciliarias (incluyen suministro e instalación de tuberia de 6", yee de 18x6", excavación, relleno y construcción de registro domiciliario)  L &lt; = 5 m</t>
  </si>
  <si>
    <t>3.4.1.1.3.7</t>
  </si>
  <si>
    <t>Acometidas Domiciliarias (incluyen suministro e instalación de tuberia de 6", yee de 20x6", excavación, relleno y construcción de registro domiciliario)  L &lt; = 5 m</t>
  </si>
  <si>
    <t>3.4.1.1.3.8</t>
  </si>
  <si>
    <t>Acometidas Domiciliarias (incluyen suministro e instalación de tuberia de 6", yee de 24x6", excavación, relleno y construcción de registro domiciliario)  L &lt; = 5 m</t>
  </si>
  <si>
    <t>3.4.1.1.4</t>
  </si>
  <si>
    <t>Tipo 4.  5 &lt; L &lt; 6,0 m.</t>
  </si>
  <si>
    <t>3.4.1.1.5</t>
  </si>
  <si>
    <t>Tipo 5.  6 &lt; L &lt; 7,0 m.</t>
  </si>
  <si>
    <t>3.4.1.1.6</t>
  </si>
  <si>
    <t>Tipo 6. 7 &lt; L &lt; 9,0 m.</t>
  </si>
  <si>
    <t>3.4.1.1.7</t>
  </si>
  <si>
    <t>Tipo 7. L  &gt; 9,0 m.</t>
  </si>
  <si>
    <t>3.4.1.2</t>
  </si>
  <si>
    <t>Instalación de domiciliaria de alcantarillado con tubería de polietileno de 160 mm (6"). Incluida Tee o Yee, codo o accesorios de derivación</t>
  </si>
  <si>
    <t>3.4.1.2.1</t>
  </si>
  <si>
    <t>Tipo 1. L &lt;  1,0 m.</t>
  </si>
  <si>
    <t>3.4.1.2.2</t>
  </si>
  <si>
    <t>Tipo 2.  1 &lt; L&lt; 3,0 m.</t>
  </si>
  <si>
    <t>3.4.1.2.3</t>
  </si>
  <si>
    <t>3.4.1.2.4</t>
  </si>
  <si>
    <t>3.4.1.2.5</t>
  </si>
  <si>
    <t>3.4.1.2.6</t>
  </si>
  <si>
    <t>Tipo 6.  7 &lt; L &lt; 9,0 m.</t>
  </si>
  <si>
    <t>3.4.1.2.7</t>
  </si>
  <si>
    <t>3.4.2</t>
  </si>
  <si>
    <t>INSTALACIÓN DE TUBERÍAS PARA ALCANTARILLADO</t>
  </si>
  <si>
    <t>3.4.2.1</t>
  </si>
  <si>
    <t>Instalación de Tubería de Alcantarillado de PVC de Superficie Interna y Externa Lisa, Bajo Cualquier Condición de Humedad</t>
  </si>
  <si>
    <t>3.4.2.1.1</t>
  </si>
  <si>
    <t>Tubería de PVC de 160 mm (6")</t>
  </si>
  <si>
    <t>3.4.2.1.2</t>
  </si>
  <si>
    <t>Tubería de PVC de 200 mm (8”)</t>
  </si>
  <si>
    <t>3.4.2.1.3</t>
  </si>
  <si>
    <t>Tubería de PVC de 250 mm (10”)</t>
  </si>
  <si>
    <t>3.4.2.1.4</t>
  </si>
  <si>
    <t>Tubería de PVC de 300 mm (12”)</t>
  </si>
  <si>
    <t>3.4.2.2</t>
  </si>
  <si>
    <t>Instalación de Tubería de Alcantarillado de PVC  de Superficie Interior Lisa y Exterior Perfilada, Bajo Cualquier Condición de Humedad</t>
  </si>
  <si>
    <t>3.4.2.2.1</t>
  </si>
  <si>
    <t xml:space="preserve">Tubería de PVC de 160 mm (6") 
(Según Norma NTC 3722 Y NTC5055)          </t>
  </si>
  <si>
    <t>3.4.2.2.2</t>
  </si>
  <si>
    <t xml:space="preserve">Tubería de PVC de 200 mm (8”)
(Según Norma NTC 3722 Y NTC5055)          </t>
  </si>
  <si>
    <t>3.4.2.2.3</t>
  </si>
  <si>
    <t>Tubería de PVC de 250 mm (10”)
(Según Norma NTC 3722 Y NTC5055)</t>
  </si>
  <si>
    <t>3.4.2.2.4</t>
  </si>
  <si>
    <t>3.4.2.2.5</t>
  </si>
  <si>
    <t>Tubería de PVC de 350 mm (14”)</t>
  </si>
  <si>
    <t>3.4.2.2.6</t>
  </si>
  <si>
    <t>Tubería de PVC de 400 mm (16”)</t>
  </si>
  <si>
    <t>3.4.2.2.7</t>
  </si>
  <si>
    <t>Tubería de PVC de 450 mm (18”)</t>
  </si>
  <si>
    <t>3.4.2.2.8</t>
  </si>
  <si>
    <t>Tubería de PVC de 500 mm (20”)</t>
  </si>
  <si>
    <t>3.4.2.2.9</t>
  </si>
  <si>
    <t>Tubería de PVC de 600 mm (24”)</t>
  </si>
  <si>
    <t>3.4.2.3</t>
  </si>
  <si>
    <t>Instalación de Tubería de Alcantarillado de PVC Pared  Estructural Lisa, Bajo Cualquier Condición de Humedad</t>
  </si>
  <si>
    <t>3.4.2.3.1</t>
  </si>
  <si>
    <t>Tubería de PVC de 600 mm (24"), Incluye Unión</t>
  </si>
  <si>
    <t>3.4.2.3.2</t>
  </si>
  <si>
    <t>Tubería de PVC de 700 mm (27"), Incluye Unión</t>
  </si>
  <si>
    <t>3.4.2.3.3</t>
  </si>
  <si>
    <t>Tubería de PVC de 750 mm (30"), Incluye Unión</t>
  </si>
  <si>
    <t>Pulg=</t>
  </si>
  <si>
    <t>Cm</t>
  </si>
  <si>
    <t>3.4.2.3.4</t>
  </si>
  <si>
    <t>Tubería de PVC de 800 mm (31.5" - 32"), Incluye Unión</t>
  </si>
  <si>
    <t>3.4.2.3.5</t>
  </si>
  <si>
    <t>Tubería de PVC de 850 mm (33"), Incluye Unión</t>
  </si>
  <si>
    <t>3.4.2.3.6</t>
  </si>
  <si>
    <t>Tubería de PVC de 900 mm (36"), Incluye Unión</t>
  </si>
  <si>
    <t>3.4.2.3.7</t>
  </si>
  <si>
    <t>Tubería de PVC de 1000 mm (39"), Incluye Unión</t>
  </si>
  <si>
    <t>3.4.2.3.8</t>
  </si>
  <si>
    <t>Tubería de PVC de 1050 mm (42"), Incluye Unión</t>
  </si>
  <si>
    <t>3.4.2.3.9</t>
  </si>
  <si>
    <t>Tubería de PVC de 1144 mm (45"), Incluye Unión</t>
  </si>
  <si>
    <t>3.4.2.3.10</t>
  </si>
  <si>
    <t>Tubería de PVC de 1295 mm (51"), Incluye Unión</t>
  </si>
  <si>
    <t>3.4.2.3.11</t>
  </si>
  <si>
    <t>Union en PVC Pared Estructural Lisa d=850 mm (33")</t>
  </si>
  <si>
    <t>3.4.2.3.12</t>
  </si>
  <si>
    <t>Union  en PVC Pared Estructural Lisa d=900 mm (36")</t>
  </si>
  <si>
    <t>3.4.2.3.13</t>
  </si>
  <si>
    <t>Union en PVC Pared Estructural Lisa d=1000 mm (39")</t>
  </si>
  <si>
    <t>3.4.2.3.14</t>
  </si>
  <si>
    <t>Union en PVC Pared Estructural Lisa d=1050 mm (42")</t>
  </si>
  <si>
    <t>3.4.2.3.15</t>
  </si>
  <si>
    <t>Union en PVC Pared Estructural Lisa d=1144 mm (45")</t>
  </si>
  <si>
    <t>3.4.2.3.16</t>
  </si>
  <si>
    <t>Union en PVC Pared Estructural Lisa d=1295 mm (51")</t>
  </si>
  <si>
    <t>3.4.2.3.17</t>
  </si>
  <si>
    <t>Codo 90° PVC DN 315 mm (12")</t>
  </si>
  <si>
    <t>3.4.2.3.18</t>
  </si>
  <si>
    <t>Codo 90° PVC DN 450 mm (18")</t>
  </si>
  <si>
    <t>3.4.2.4</t>
  </si>
  <si>
    <t>Instalación de Tubería De Alcantarillado de PVC Perfilada Extruida Bajo Cualquier Condición de Humedad</t>
  </si>
  <si>
    <t>3.4.2.4.1</t>
  </si>
  <si>
    <t xml:space="preserve">Tubería de PVC de 600 mm </t>
  </si>
  <si>
    <t>3.4.2.4.2</t>
  </si>
  <si>
    <t xml:space="preserve">Tubería de PVC de 700 mm </t>
  </si>
  <si>
    <t>3.4.2.4.3</t>
  </si>
  <si>
    <t xml:space="preserve">Tubería de PVC de 800 mm </t>
  </si>
  <si>
    <t>3.4.2.4.4</t>
  </si>
  <si>
    <t xml:space="preserve">Tubería de PVC de 850 mm </t>
  </si>
  <si>
    <t>3.4.2.4.5</t>
  </si>
  <si>
    <t xml:space="preserve">Tubería de PVC de 900 mm </t>
  </si>
  <si>
    <t>3.4.2.4.6</t>
  </si>
  <si>
    <t xml:space="preserve">Tubería de PVC de 950 mm </t>
  </si>
  <si>
    <t>3.4.2.4.7</t>
  </si>
  <si>
    <t xml:space="preserve">Tubería de PVC de 1000 mm </t>
  </si>
  <si>
    <t>3.4.2.4.8</t>
  </si>
  <si>
    <t xml:space="preserve">Tubería de PVC de 1050 mm </t>
  </si>
  <si>
    <t>3.4.2.4.9</t>
  </si>
  <si>
    <t xml:space="preserve">Tubería de PVC de 1100 mm </t>
  </si>
  <si>
    <t>3.4.2.4.10</t>
  </si>
  <si>
    <t xml:space="preserve">Tubería de PVC de 1150 mm </t>
  </si>
  <si>
    <t>3.4.2.4.11</t>
  </si>
  <si>
    <t xml:space="preserve">Tubería de PVC de 1200 mm </t>
  </si>
  <si>
    <t>3.4.2.4.12</t>
  </si>
  <si>
    <t xml:space="preserve">Tubería de PVC de 1250 mm </t>
  </si>
  <si>
    <t>3.4.2.4.13</t>
  </si>
  <si>
    <t xml:space="preserve">Tubería de PVC de 1300 mm </t>
  </si>
  <si>
    <t>3.4.2.4.14</t>
  </si>
  <si>
    <t xml:space="preserve">Tubería de PVC de 1350 mm </t>
  </si>
  <si>
    <t>3.4.2.4.15</t>
  </si>
  <si>
    <t xml:space="preserve">Tubería de PVC de 1400 mm </t>
  </si>
  <si>
    <t>3.4.2.4.16</t>
  </si>
  <si>
    <t xml:space="preserve">Tubería de PVC de 1450 mm </t>
  </si>
  <si>
    <t>3.4.2.4.17</t>
  </si>
  <si>
    <t xml:space="preserve">Tubería de PVC de 1500 mm </t>
  </si>
  <si>
    <t>3.4.2.5</t>
  </si>
  <si>
    <t>Instalación de Tubería  de Alcantarillado de concreto sin refuerzo o de gres, bajo cualquier condición de humedad</t>
  </si>
  <si>
    <t>3.4.2.5.1</t>
  </si>
  <si>
    <t>Tubería de concreto S.R o de Gres 300 mm (12”)</t>
  </si>
  <si>
    <t>3.4.2.5.2</t>
  </si>
  <si>
    <t>Tubería de concreto S.R o de Gres 350 mm (14”)</t>
  </si>
  <si>
    <t>3.4.2.5.3</t>
  </si>
  <si>
    <t>Tubería de concreto S.R o de Gres 400 mm (16”)</t>
  </si>
  <si>
    <t>3.4.2.5.4</t>
  </si>
  <si>
    <t>Tubería de concreto S.R o de Gres 450 mm (18”)</t>
  </si>
  <si>
    <t>3.4.2.5.5</t>
  </si>
  <si>
    <t>Tubería de concreto S.R o de Gres 500 mm (20”)</t>
  </si>
  <si>
    <t>3.4.2.6</t>
  </si>
  <si>
    <t xml:space="preserve">Instalación De Tubería  De Alcantarillado De Concreto  Reforzado  o de  Gres, Bajo Cualquier Condición De Humedad   </t>
  </si>
  <si>
    <t>3.4.2.6.1</t>
  </si>
  <si>
    <t>Tubería de concreto C.R o de Gres 600 mm (24”)</t>
  </si>
  <si>
    <t>3.4.2.6.2</t>
  </si>
  <si>
    <t>Tubería de concreto C.R o de Gres 700 mm (27”)</t>
  </si>
  <si>
    <t>3.4.2.6.3</t>
  </si>
  <si>
    <t>Tubería de concreto C.R o de Gres 800 mm (30”)</t>
  </si>
  <si>
    <t>3.4.2.6.4</t>
  </si>
  <si>
    <t>Tubería de concreto C.R o de Gres 900 mm (36”)</t>
  </si>
  <si>
    <t>3.4.2.6.5</t>
  </si>
  <si>
    <t>Tubería de concreto C.R o de Gres 1000 mm (40”)</t>
  </si>
  <si>
    <t>3.4.2.6.6</t>
  </si>
  <si>
    <t>Tubería de concreto C.R o de Gres 1100 mm (44”)</t>
  </si>
  <si>
    <t>3.4.2.6.7</t>
  </si>
  <si>
    <t>Tubería de concreto C.R o de Gres 1200 mm (48”)</t>
  </si>
  <si>
    <t>3.4.2.6.8</t>
  </si>
  <si>
    <t>Tubería de concreto C.R o de Gres 1300 mm (52”)</t>
  </si>
  <si>
    <t>3.4.2.6.9</t>
  </si>
  <si>
    <t>Tubería de concreto C.R o de Gres 1400 mm (56”)</t>
  </si>
  <si>
    <t>3.4.2.7</t>
  </si>
  <si>
    <t>Instalación de Tubería de Alcantarillado de Poliester Reforzado con Fibra de Vidrio (Grp), Bajo Cualquier Condición de Humeda</t>
  </si>
  <si>
    <t>3.4.2.7.1</t>
  </si>
  <si>
    <t xml:space="preserve">Tubería de GRP de 300 mm </t>
  </si>
  <si>
    <t>3.4.2.7.2</t>
  </si>
  <si>
    <t xml:space="preserve">Tubería de GRP de 350 mm </t>
  </si>
  <si>
    <t>3.4.2.7.3</t>
  </si>
  <si>
    <t>Tubería de GRP de 400 mm</t>
  </si>
  <si>
    <t>3.4.2.7.4</t>
  </si>
  <si>
    <t>Tubería de GRP de 450 mm</t>
  </si>
  <si>
    <t>3.4.2.7.5</t>
  </si>
  <si>
    <t>Tubería de GRP de 500 mm</t>
  </si>
  <si>
    <t>3.4.2.7.6</t>
  </si>
  <si>
    <t>Tubería de GRP de 600 mm</t>
  </si>
  <si>
    <t>3.4.2.7.7</t>
  </si>
  <si>
    <t>Tubería de GRP de 700mm</t>
  </si>
  <si>
    <t>3.4.2.7.8</t>
  </si>
  <si>
    <t>Tubería de GRP de 800 mm</t>
  </si>
  <si>
    <t>3.4.2.7.9</t>
  </si>
  <si>
    <t>Tubería de GRP de 900 mm</t>
  </si>
  <si>
    <t>3.4.2.7.10</t>
  </si>
  <si>
    <t>Tubería de GRP de 1000 mm</t>
  </si>
  <si>
    <t>3.4.2.7.11</t>
  </si>
  <si>
    <t>Tubería de GRP de 1100 mm</t>
  </si>
  <si>
    <t>3.4.2.7.12</t>
  </si>
  <si>
    <t>Tubería de GRP de 1200 mm</t>
  </si>
  <si>
    <t>3.4.2.8</t>
  </si>
  <si>
    <t>Instalación de Tubería De Alcantarillado en Tubería de Polietileno, Bajo  Cualquier Condición de Humedad</t>
  </si>
  <si>
    <t>3.4.2.8.1</t>
  </si>
  <si>
    <t xml:space="preserve">Tubería de polietileno de alta densidad de 160 mm </t>
  </si>
  <si>
    <t>3.4.2.8.2</t>
  </si>
  <si>
    <t xml:space="preserve">Tubería de polietileno de alta densidad de 200 mm </t>
  </si>
  <si>
    <t>3.4.2.8.3</t>
  </si>
  <si>
    <t xml:space="preserve">Tubería de polietileno de alta densidad de  250 mm </t>
  </si>
  <si>
    <t>3.4.3</t>
  </si>
  <si>
    <t>Instalación de acometidas domiciliarias con collar de derivación de PVC para acueducto. Incluye excavación, instalación de tubería y accesorios,  cinta referenciadora y relleno, medidor chorro único, válvula de cierre y caja para medidor</t>
  </si>
  <si>
    <t>3.4.3.1</t>
  </si>
  <si>
    <t>Conexión domiciliaria de acueducto 60x20 mm</t>
  </si>
  <si>
    <t>3.4.3.2</t>
  </si>
  <si>
    <t>Conexión domiciliaria de acueducto 90x20 mm</t>
  </si>
  <si>
    <t>3.4.3.3</t>
  </si>
  <si>
    <t>Conexión domiciliaria de acueducto 100x20 mm</t>
  </si>
  <si>
    <t>3.4.3.4</t>
  </si>
  <si>
    <t>Conexión domiciliaria de acueducto 160x20 mm</t>
  </si>
  <si>
    <t>3.4.3.5</t>
  </si>
  <si>
    <t>Conexión domiciliaria de acueducto de 1/2" sobre tubería nueva de 3", 4" o 6" PVC</t>
  </si>
  <si>
    <t>3.4.3.6</t>
  </si>
  <si>
    <t>Instalación medidor sobre acometida domiciliaria existente de PVC</t>
  </si>
  <si>
    <t>3.4.3.7</t>
  </si>
  <si>
    <t>Tipo 1. Acometida en zona verde con cruce de vía sin pavimentar, con 0,0 m &lt; L &lt; 7,0 m y 16 mm &lt; d &lt; 50 mm.</t>
  </si>
  <si>
    <t>3.4.3.8</t>
  </si>
  <si>
    <t>Tipo 2. Acometida en zona verde con cruce de vía sin pavimentar, con 7,0 m &lt; L &lt; 15,0 m y 16 mm &lt; d &lt; 50 mm.</t>
  </si>
  <si>
    <t>3.4.3.9</t>
  </si>
  <si>
    <t>Tipo 3. Acometida en zona dura con cruce de vía sin pavimentar, con 0,0 m &lt; L &lt; 7,0 m y 16 mm &lt; d &lt; 50 mm.</t>
  </si>
  <si>
    <t>3.4.3.10</t>
  </si>
  <si>
    <t>Tipo 4. Acometida en zona verde con cruce de vía sin pavimentar, con 7,0 m &lt; L &lt; 15,0 m y 16 mm &lt; d &lt; 50 mm.</t>
  </si>
  <si>
    <t>3.4.3.11</t>
  </si>
  <si>
    <t>Tipo 9. Acometida en zona verde sin cruce de vía (a favor de la red), con 0,0 m &lt; L &lt; 7,0 m y 16 mm &lt; d &lt; 50 mm.</t>
  </si>
  <si>
    <t>3.4.3.12</t>
  </si>
  <si>
    <t>Tipo 10. Acometida en zona dura sin cruce de vía (a favor de la red), con 0,0 m &lt; L &lt; 7,0 m y 16 mm &lt; d &lt; 50 mm.</t>
  </si>
  <si>
    <t>3.4.3.13</t>
  </si>
  <si>
    <t>Tipo 5. Acometida en zona verde con cruce de vía  pavimentada usando equipo de perforación horizontal (topo), con 0,0 m &lt; L &lt; 10,0 m y 16 mm &lt; d &lt; 50 mm.</t>
  </si>
  <si>
    <t>3.4.3.14</t>
  </si>
  <si>
    <t>Tipo 6. Acometida en zona verde con cruce de vía  pavimentada usando equipo de perforación horizontal (topo), con 10,0 m &lt; L &lt; 15,0 m y 16 mm &lt; d &lt; 50 mm.</t>
  </si>
  <si>
    <t>3.4.3.15</t>
  </si>
  <si>
    <t>Tipo 7. Acometida en zona dura con cruce de vía  pavimentada usando equipo de perforación horizontal (topo), con 0,0 m &lt; L &lt; 10,0 m y 16 mm &lt; d &lt; 50 mm.</t>
  </si>
  <si>
    <t>3.4.3.16</t>
  </si>
  <si>
    <t>Tipo 8. Acometida en zona dura con cruce de vía  pavimentada usando equipo de perforación horizontal (topo), con 10,0 m &lt; L &lt; 15,0 m y 16 mm &lt; d &lt; 50 mm.</t>
  </si>
  <si>
    <t>3.4.4</t>
  </si>
  <si>
    <t>INSTALACIÓN TUBERÍAS DE ACUEDUCTO</t>
  </si>
  <si>
    <t>3.4.4.1</t>
  </si>
  <si>
    <t xml:space="preserve">Instalación de Tuberías de Polietileno de Alta Densidad (PEAD) y Accesorios, Para Acueducto  </t>
  </si>
  <si>
    <t>3.4.4.1.1</t>
  </si>
  <si>
    <t>Tubería PEAD de 63 mm</t>
  </si>
  <si>
    <t>3.4.4.1.2</t>
  </si>
  <si>
    <t>Tubería PEAD de 75 mm</t>
  </si>
  <si>
    <t>3.4.4.1.3</t>
  </si>
  <si>
    <t>Tubería  PEAD de 90 mm</t>
  </si>
  <si>
    <t>3.4.4.1.4</t>
  </si>
  <si>
    <t>Tubería  PEAD de 110 mm</t>
  </si>
  <si>
    <t>3.4.4.1.5</t>
  </si>
  <si>
    <t>Tubería  PEAD DE 160 mm</t>
  </si>
  <si>
    <t>3.4.4.1.6</t>
  </si>
  <si>
    <t>Tubería  PEAD de 200 mm</t>
  </si>
  <si>
    <t>3.4.4.1.7</t>
  </si>
  <si>
    <t>Tubería  PEAD de 250 mm</t>
  </si>
  <si>
    <t>3.4.4.1.8</t>
  </si>
  <si>
    <t>Tubería  PEAD de 300 mm</t>
  </si>
  <si>
    <t>3.4.4.1.9</t>
  </si>
  <si>
    <t>Tubería  PEAD de 350 mm</t>
  </si>
  <si>
    <t>3.4.4.2</t>
  </si>
  <si>
    <t xml:space="preserve">Instalación de Tubería de Hierro de Fundición Dúctil, Incluidos  Accesorios </t>
  </si>
  <si>
    <t>3.4.4.2.1</t>
  </si>
  <si>
    <t>Tipo campana espigo</t>
  </si>
  <si>
    <t>3.4.4.2.1.1</t>
  </si>
  <si>
    <t xml:space="preserve">Tubería HD de 75 mm </t>
  </si>
  <si>
    <t>3.4.4.2.1.2</t>
  </si>
  <si>
    <t>Tubería HD de 100 mm</t>
  </si>
  <si>
    <t>3.4.4.2.1.3</t>
  </si>
  <si>
    <t>Tubería HD de 150 mm</t>
  </si>
  <si>
    <t>3.4.4.2.1.4</t>
  </si>
  <si>
    <t>Tubería HD de 200 mm</t>
  </si>
  <si>
    <t>3.4.4.2.1.5</t>
  </si>
  <si>
    <t>Tubería HD de 250 mm</t>
  </si>
  <si>
    <t>3.4.4.2.1.6</t>
  </si>
  <si>
    <t>Tubería HD de 300 mm</t>
  </si>
  <si>
    <t>3.4.4.2.1.7</t>
  </si>
  <si>
    <t>Tubería HD DE 350 mm</t>
  </si>
  <si>
    <t>3.4.4.2.1.8</t>
  </si>
  <si>
    <t>Tubería HD de 400 mm</t>
  </si>
  <si>
    <t>3.4.4.2.1.9</t>
  </si>
  <si>
    <t>Tubería HD de 450 mm</t>
  </si>
  <si>
    <t>3.4.4.2.1.10</t>
  </si>
  <si>
    <t>Tubería HD de 500 mm</t>
  </si>
  <si>
    <t>3.4.4.2.1.11</t>
  </si>
  <si>
    <t>Tubería HD de 600 mm</t>
  </si>
  <si>
    <t>3.4.4.2.1.12</t>
  </si>
  <si>
    <t>Tubería HD de 700 mm</t>
  </si>
  <si>
    <t>3.4.4.2.1.13</t>
  </si>
  <si>
    <t>Tubería HD de 800 mm</t>
  </si>
  <si>
    <t>3.4.4.2.1.14</t>
  </si>
  <si>
    <t>Tubería HD de 900 mm</t>
  </si>
  <si>
    <t>3.4.4.2.1.15</t>
  </si>
  <si>
    <t>Tubería HD de 1000 mm</t>
  </si>
  <si>
    <t>3.4.4.2.1.16</t>
  </si>
  <si>
    <t>Tubería HD de 1100 mm</t>
  </si>
  <si>
    <t>3.4.4.2.1.17</t>
  </si>
  <si>
    <t>Tubería HD de 1200 mm</t>
  </si>
  <si>
    <t>3.4.4.2.1.18</t>
  </si>
  <si>
    <t>Tubería HD de 1400 mm</t>
  </si>
  <si>
    <t>3.4.4.2.1.19</t>
  </si>
  <si>
    <t>Tubería HD de 1500 mm</t>
  </si>
  <si>
    <t>3.4.4.2.1.20</t>
  </si>
  <si>
    <t>Tubería HD de 1600 mm</t>
  </si>
  <si>
    <t>3.4.4.2.1.21</t>
  </si>
  <si>
    <t>Tubería HD de 1800 mm</t>
  </si>
  <si>
    <t>3.4.4.2.2</t>
  </si>
  <si>
    <t>Tipo Brida por brida (Incluye suministro de tornillería y empaquetadura)</t>
  </si>
  <si>
    <t>3.4.4.2.2.1</t>
  </si>
  <si>
    <t>3.4.4.2.2.2</t>
  </si>
  <si>
    <t>3.4.4.2.2.3</t>
  </si>
  <si>
    <t>3.4.4.2.2.4</t>
  </si>
  <si>
    <t>3.4.4.2.2.5</t>
  </si>
  <si>
    <t>3.4.4.2.2.6</t>
  </si>
  <si>
    <t>3.4.4.2.2.7</t>
  </si>
  <si>
    <t>Tubería HD de 350 mm</t>
  </si>
  <si>
    <t>3.4.4.2.2.8</t>
  </si>
  <si>
    <t>3.4.4.2.2.9</t>
  </si>
  <si>
    <t>3.4.4.2.2.10</t>
  </si>
  <si>
    <t>3.4.4.2.2.11</t>
  </si>
  <si>
    <t>3.4.4.2.2.12</t>
  </si>
  <si>
    <t>3.4.4.2.2.13</t>
  </si>
  <si>
    <t>3.4.4.2.2.14</t>
  </si>
  <si>
    <t>3.4.4.2.2.15</t>
  </si>
  <si>
    <t>3.4.4.2.2.16</t>
  </si>
  <si>
    <t>3.4.4.2.2.17</t>
  </si>
  <si>
    <t>3.4.4.2.2.18</t>
  </si>
  <si>
    <t>3.4.4.2.2.19</t>
  </si>
  <si>
    <t>3.4.4.2.2.20</t>
  </si>
  <si>
    <t>3.4.4.2.2.21</t>
  </si>
  <si>
    <t>3.4.4.3</t>
  </si>
  <si>
    <t>Instalación de Tubería y Accesorios de Poliester Reforzado Con Fibra de Vidrio (Grp) Para Acueducto</t>
  </si>
  <si>
    <t>3.4.4.3.0</t>
  </si>
  <si>
    <t>Tubería de GRP de 300 mm</t>
  </si>
  <si>
    <t>3.4.4.3.1</t>
  </si>
  <si>
    <t>Tubería de GRP de 350 mm</t>
  </si>
  <si>
    <t>3.4.4.3.2</t>
  </si>
  <si>
    <t>3.4.4.3.3</t>
  </si>
  <si>
    <t>3.4.4.3.4</t>
  </si>
  <si>
    <t>3.4.4.3.5</t>
  </si>
  <si>
    <t>3.4.4.3.6</t>
  </si>
  <si>
    <t>Tubería de GRP de 700 mm</t>
  </si>
  <si>
    <t>3.4.4.3.7</t>
  </si>
  <si>
    <t>3.4.4.3.8</t>
  </si>
  <si>
    <t>3.4.4.9.9</t>
  </si>
  <si>
    <t>3.4.4.3.10</t>
  </si>
  <si>
    <t>3.4.4.3.11</t>
  </si>
  <si>
    <t>3.4.4.3.12</t>
  </si>
  <si>
    <t>Tubería de GRP de 1400 mm</t>
  </si>
  <si>
    <t>3.4.4.3.13</t>
  </si>
  <si>
    <t>Tubería de GRP de 1500 mm</t>
  </si>
  <si>
    <t>3.4.4.3.14</t>
  </si>
  <si>
    <t>Tubería de GRP de 1600 mm</t>
  </si>
  <si>
    <t>3.4.4.3.15</t>
  </si>
  <si>
    <t>Tubería de GRP de 1800 mm</t>
  </si>
  <si>
    <t>3.4.4.4</t>
  </si>
  <si>
    <t xml:space="preserve">Instalación De Tubería y Accesorios de PVC Para Acueducto </t>
  </si>
  <si>
    <t>3.4.4.4.1</t>
  </si>
  <si>
    <t>Tubería PVC RDE 21 3” (90 mm)</t>
  </si>
  <si>
    <t>3.4.4.4.2</t>
  </si>
  <si>
    <t>Tubería PVC RDE 21 4” (100 mm)</t>
  </si>
  <si>
    <t>3.4.4.4.3</t>
  </si>
  <si>
    <t>Tubería PVC RDE 21 6” (150 mm)</t>
  </si>
  <si>
    <t>3.4.4.4.4</t>
  </si>
  <si>
    <t>Tubería PVC RDE 21 8” (200 mm)</t>
  </si>
  <si>
    <t>3.4.4.4.5</t>
  </si>
  <si>
    <t>Tubería PVC RDE 21 10” (250 mm)</t>
  </si>
  <si>
    <t>3.4.4.4.6</t>
  </si>
  <si>
    <t>Tubería PVC RDE 21 12” (300 mm)</t>
  </si>
  <si>
    <t>3.4.4.4.7</t>
  </si>
  <si>
    <t>Tubería PVC RDE 21 14” (350 mm)</t>
  </si>
  <si>
    <t>3.4.4.4.8</t>
  </si>
  <si>
    <t>Tubería PVC RDE 21 16” (400 mm)</t>
  </si>
  <si>
    <t>3.4.4.4.9</t>
  </si>
  <si>
    <t>Tubería PVC RDE 21 18” (450 mm)</t>
  </si>
  <si>
    <t>3.4.4.4.10</t>
  </si>
  <si>
    <t>Tubería PVC RDE 21 20” (500 mm)</t>
  </si>
  <si>
    <t>3.4.5</t>
  </si>
  <si>
    <t>Cruce con equipo mecánico de perforación horizontal (topo)</t>
  </si>
  <si>
    <t>3.4.5.1</t>
  </si>
  <si>
    <t>Cruce con equipo mecánico, percusión o rotación,  D &lt;= 160 mm</t>
  </si>
  <si>
    <t>3.4.5.2</t>
  </si>
  <si>
    <t>Cruce con equipo mecánico, percusión o rotación,  D = 200 mm</t>
  </si>
  <si>
    <t>3.4.5.3</t>
  </si>
  <si>
    <t>Cruce con equipo mecánico, percusión o rotación,  D = 250 mm</t>
  </si>
  <si>
    <t>3.4.5.4</t>
  </si>
  <si>
    <t>Cruce con equipo mecánico, percusión o rotación,  D = 300 mm</t>
  </si>
  <si>
    <t>3.4.5.5</t>
  </si>
  <si>
    <t>Cruce con equipo mecánico, percusión o rotación,  D = 350 mm</t>
  </si>
  <si>
    <t>3.4.5.6</t>
  </si>
  <si>
    <t>Cruce con equipo mecánico, percusión o rotación,  D = 400 mm</t>
  </si>
  <si>
    <t>3.4.5.7</t>
  </si>
  <si>
    <t>Cruce con equipo mecánico, percusión o rotación,  D = 450 mm</t>
  </si>
  <si>
    <t>3.4.5.8</t>
  </si>
  <si>
    <t>Cruce con equipo mecánico, percusión o rotación,  D = 500 mm</t>
  </si>
  <si>
    <t>3.4.5.9</t>
  </si>
  <si>
    <t>Cruce con equipo mecánico, percusión o rotación,  D = 600 mm</t>
  </si>
  <si>
    <t>3.4.5.10</t>
  </si>
  <si>
    <t>Cruce con equipo mecánico, percusión o rotación,  D = 700 mm</t>
  </si>
  <si>
    <t>3.4.5.11</t>
  </si>
  <si>
    <t>Cruce con equipo mecánico, percusión o rotación,  D = 800 mm</t>
  </si>
  <si>
    <t>3.4.5.12</t>
  </si>
  <si>
    <t>Cruce con equipo mecánico, percusión o rotación,  D = 900 mm</t>
  </si>
  <si>
    <t>3.4.5.13</t>
  </si>
  <si>
    <t>Cruce con equipo mecánico, percusión o rotación,  D = 1000 mm</t>
  </si>
  <si>
    <t>3.4.6</t>
  </si>
  <si>
    <t>Empalme de tubería de alcantarillado a pozo de inspección  existente</t>
  </si>
  <si>
    <t>3.4.6.1</t>
  </si>
  <si>
    <t>Empalme de tuberías desde 160 mm (6") hasta 300 mm (12") a pozo existente</t>
  </si>
  <si>
    <t>3.4.6.2</t>
  </si>
  <si>
    <t>Empalme de tuberías desde 350 mm (14") hasta 500 mm (20") a pozo existente</t>
  </si>
  <si>
    <t>3.4.6.3</t>
  </si>
  <si>
    <t>Empalme de tuberías desde 600 mm (24") hasta 900 mm (36") a pozo existente</t>
  </si>
  <si>
    <t>3.4.6.4.</t>
  </si>
  <si>
    <t>Empalme de tuberías desde 1000 mm (40") hasta 1400 mm (56") a pozo existente</t>
  </si>
  <si>
    <t>3.4.7</t>
  </si>
  <si>
    <t>Limpieza de pozos de inspección existente</t>
  </si>
  <si>
    <t>3.4.8</t>
  </si>
  <si>
    <t>Cimentación de Tuberías</t>
  </si>
  <si>
    <t>3.4.8.1</t>
  </si>
  <si>
    <t>Cimentación de tubería con material granular (agregado grueso)</t>
  </si>
  <si>
    <t>3.4.8.2</t>
  </si>
  <si>
    <t>Cimentación de tubería con arena compactada al 70% de la densidad  relativa máxima</t>
  </si>
  <si>
    <t>3.4.8.3</t>
  </si>
  <si>
    <t>Relleno de zanjas con arena compactada al 70% de la densidad relativa máxima</t>
  </si>
  <si>
    <t>3.4.8.4</t>
  </si>
  <si>
    <t>Cimentación de tubería con concreto de 2500 psi in situ</t>
  </si>
  <si>
    <t>3.4.8.5</t>
  </si>
  <si>
    <t>Cimentación de tubería con concreto de 17,5 Mpa  (2500 psi) de central de mezcla</t>
  </si>
  <si>
    <t>3.4.8.6</t>
  </si>
  <si>
    <t>Cimentación de tubería con concreto ciclópeo</t>
  </si>
  <si>
    <t>Relleno de zanjas y obras de mampostería</t>
  </si>
  <si>
    <t>3.5.1.1</t>
  </si>
  <si>
    <t xml:space="preserve">Relleno de zanjas y obras de mampostería con material seleccionado de sitio, compactado al 90% del proctor modificado </t>
  </si>
  <si>
    <t>3.5.1.2</t>
  </si>
  <si>
    <t xml:space="preserve">Relleno de zanjas y obras de mampostería con material seleccionado de cantera, compactado al 95% del proctor modificado </t>
  </si>
  <si>
    <t>3.5.1.3</t>
  </si>
  <si>
    <t>Relleno de zanjas y obras de mampostería con arena, compactada al 70% de la densidad relativa</t>
  </si>
  <si>
    <t>3.5.1.4</t>
  </si>
  <si>
    <t>Estabilización de la cimentación con piedra ciclópea ó similar</t>
  </si>
  <si>
    <t>3.5.1.5</t>
  </si>
  <si>
    <t>Relleno con Material Granular Tipo 1 Compactado</t>
  </si>
  <si>
    <t>3.5.1.5.1</t>
  </si>
  <si>
    <t>Relleno fluido para zanjas de densidad controlada f’c= 0,5 Mpa (5 Kgf/cm2)</t>
  </si>
  <si>
    <t>Conformación de terraplenes</t>
  </si>
  <si>
    <t>3.5.2.1</t>
  </si>
  <si>
    <t>Terraplén compactado al 95% del proctor modificado, con material de sitio tipo B</t>
  </si>
  <si>
    <t>3.5.2.2</t>
  </si>
  <si>
    <t>Terraplén compactado al 95% del proctor modificado, con material de cantera tipo B</t>
  </si>
  <si>
    <t>3.5.2.3</t>
  </si>
  <si>
    <t>Terraplén compactado al 90% del proctor modificado, con material de sitio tipo B</t>
  </si>
  <si>
    <t>3.5.2.4</t>
  </si>
  <si>
    <t>Terraplén compactado al 90% del proctor modificado, con material de cantera tipo B</t>
  </si>
  <si>
    <t>3.5.2.5</t>
  </si>
  <si>
    <t>Terraplén compactado al 95% del proctor modificado, con material de sitio tipo C</t>
  </si>
  <si>
    <t>3.5.2.6</t>
  </si>
  <si>
    <t>Terraplén compactado al 95% del proctor modificado, con material de cantera tipo C</t>
  </si>
  <si>
    <t>3.5.2.7</t>
  </si>
  <si>
    <t>Terraplén compactado al 90% del proctor modificado, con material de sitio tipo C</t>
  </si>
  <si>
    <t>3.5.2.8</t>
  </si>
  <si>
    <t>Terraplén compactado al 90% del proctor modificado, con material de cantera tipo C</t>
  </si>
  <si>
    <t>3.5.2.9</t>
  </si>
  <si>
    <t>Terraplén compactado al 90% del proctor modificado, con material de sitio tipo D</t>
  </si>
  <si>
    <t>3.5.2.10</t>
  </si>
  <si>
    <t>Terraplén compactado al 90% del proctor modificado, con material de cantera tipo D</t>
  </si>
  <si>
    <t>3.5.2.11</t>
  </si>
  <si>
    <t xml:space="preserve">Relleno de zanjas con material selecionado </t>
  </si>
  <si>
    <t>3.5.2.12</t>
  </si>
  <si>
    <t>Relleno de zanjas con material de sitio</t>
  </si>
  <si>
    <t>Conformación de subbase  granular</t>
  </si>
  <si>
    <t>Conformación de base</t>
  </si>
  <si>
    <t>3.5.4.1</t>
  </si>
  <si>
    <t>Conformación de base  Suelo - Cemento</t>
  </si>
  <si>
    <t>3.5.4.1.1</t>
  </si>
  <si>
    <t>Base de suelo cemento procedente de central de mezclas con resistencia a la compresión de 3,5 Mpa, con proporción de cemento del 6%</t>
  </si>
  <si>
    <t>3.5.4.1.2</t>
  </si>
  <si>
    <t>Base de suelo cemento elaborado en sitio con resistencia a la compresión de 3,5 Mpa, con proporción de cemento del 6%</t>
  </si>
  <si>
    <t>3.5.4.1.3</t>
  </si>
  <si>
    <t>Con Suelo Cemento 1:20 de Planta Compactado al 95% del P.M.</t>
  </si>
  <si>
    <t>Conformación de base en relleno fluido</t>
  </si>
  <si>
    <t>3.5.4.2.1</t>
  </si>
  <si>
    <t>Relleno fluido de densidad controlada f´c= 5.0 Mpa (50,0 kgf/cm²)</t>
  </si>
  <si>
    <t>CONSTRUCCIÓN DE PAVIMENTOS</t>
  </si>
  <si>
    <t>Construcción de pavimentos en concreto asfáltico</t>
  </si>
  <si>
    <t>3.6.1.1</t>
  </si>
  <si>
    <t>Para reparcheos (Colocado y compactado con motoniveladora y minicompactador Micky)</t>
  </si>
  <si>
    <t>3.6.1.1.1</t>
  </si>
  <si>
    <t>Pavimento de concreto asfáltico e = 0.03 m</t>
  </si>
  <si>
    <t>3.6.1.1.2</t>
  </si>
  <si>
    <t>Pavimento de concreto asfáltico e = 0.05 m</t>
  </si>
  <si>
    <t>3.6.1.1.3</t>
  </si>
  <si>
    <t>Pavimento de concreto asfáltico e = 0.07 m</t>
  </si>
  <si>
    <t>3.6.1.1.4</t>
  </si>
  <si>
    <t>Pavimento de concreto asfáltico e = 0.10 m</t>
  </si>
  <si>
    <t>3.6.1.2.</t>
  </si>
  <si>
    <t>Para vías (Colocado y compactado con Terminadora de asfalto y compactador Tandem)</t>
  </si>
  <si>
    <t>3.6.1.2.1</t>
  </si>
  <si>
    <t>3.6.1.2.2</t>
  </si>
  <si>
    <t>3.6.1.2.3</t>
  </si>
  <si>
    <t>3.6.1.2.4</t>
  </si>
  <si>
    <t>Pavimento de concreto asfáltico e = 0,10 m</t>
  </si>
  <si>
    <t>Construcción de pavimento en concreto para reparcheo</t>
  </si>
  <si>
    <t>3.6.2.1</t>
  </si>
  <si>
    <t>Pavimento de concreto para reparcheo f'c= 21,0 Mpa (3000psi), e= 0.15 m</t>
  </si>
  <si>
    <t>3.6.2.2</t>
  </si>
  <si>
    <t>Pavimento de concreto para reparcheo f'c= 21,0 Mpa (3000psi) e= 0.20 m</t>
  </si>
  <si>
    <t>3.6.2.3</t>
  </si>
  <si>
    <t>Pavimento de concreto para reparcheo f'c= 21,0 Mpa (3000psi) e= 0.25 m</t>
  </si>
  <si>
    <t>3.6.2.4</t>
  </si>
  <si>
    <t>Construcción de pavimento en adoquín</t>
  </si>
  <si>
    <t>3.6.2.5</t>
  </si>
  <si>
    <t>Pavimento de concreto para reparcheo f'c= 24,5 Mpa (3500psi) e= 0,15 m</t>
  </si>
  <si>
    <t>3.6.2.6</t>
  </si>
  <si>
    <t>Pavimento de concreto para reparcheo f'c= 24,5 Mpa (3500psi) e= 0,20 m</t>
  </si>
  <si>
    <t>3.6.2.7</t>
  </si>
  <si>
    <t>Pavimento de concreto para reparcheo f'c= 24,5 Mpa (3500psi) e= 0,25 m</t>
  </si>
  <si>
    <t>3.6.2.8</t>
  </si>
  <si>
    <t>Pavimento de concreto para reparcheo f'c= 24,5 Mpa (3500psi) e= 0,30 m</t>
  </si>
  <si>
    <t>3.6.2.9</t>
  </si>
  <si>
    <t>Pavimento de concreto para reparcheo f'c= 28,0 Mpa (4000psi) e= 0,15 m</t>
  </si>
  <si>
    <t>3.6.2.10</t>
  </si>
  <si>
    <t>Pavimento de concreto para reparcheo f'c= 28,0 Mpa (4000psi) e= 0,20 m</t>
  </si>
  <si>
    <t>3.6.2.11</t>
  </si>
  <si>
    <t>Pavimento de concreto para reparcheo f'c= 28,0 Mpa (4000psi) e= 0,25 m</t>
  </si>
  <si>
    <t>3.6.2.12</t>
  </si>
  <si>
    <t>Pavimento de concreto para reparcheo f'c= 28,0 Mpa (4000psi) e= 0,30 m</t>
  </si>
  <si>
    <t>3.6.2.13</t>
  </si>
  <si>
    <t>Pavimento de concreto para reparcheo Mr = 3,9 Mpa (550psi) e = 0,15 m</t>
  </si>
  <si>
    <t>3.6.2.14</t>
  </si>
  <si>
    <t>Pavimento de concreto para reparcheo Mr = 3,9 Mpa (550psi) e = 0,20 m</t>
  </si>
  <si>
    <t>3.6.2.15</t>
  </si>
  <si>
    <t>Pavimento de concreto para reparcheo Mr = 3,9 Mpa (550psi) e = 0,25 m</t>
  </si>
  <si>
    <t>3.6.2.16</t>
  </si>
  <si>
    <t>Pavimento de concreto para reparcheo Mr = 3,9 Mpa (550psi) e = 0,30 m</t>
  </si>
  <si>
    <t>3.6.2.17</t>
  </si>
  <si>
    <t>Pavimento de concreto para reparcheo Mr = 4,2 Mpa (600psi) e = 0,15 m</t>
  </si>
  <si>
    <t>3.6.2.18</t>
  </si>
  <si>
    <t>Pavimento de concreto para reparcheo Mr = 4,2 Mpa (600psi) e = 0,20 m</t>
  </si>
  <si>
    <t>3.6.2.19</t>
  </si>
  <si>
    <t>Pavimento de concreto para reparcheo Mr = 4,2 Mpa (600psi) e = 0,25 m</t>
  </si>
  <si>
    <t>3.6.2.20</t>
  </si>
  <si>
    <t>Pavimento de concreto para reparcheo Mr = 4,2 Mpa (600psi) e = 0,30 m</t>
  </si>
  <si>
    <t>Aditivos</t>
  </si>
  <si>
    <t>3.6.3.1</t>
  </si>
  <si>
    <t>Aditivos acelerantes</t>
  </si>
  <si>
    <t>3.6.3.1.1</t>
  </si>
  <si>
    <t>Aditivos acelerados a 12 horas</t>
  </si>
  <si>
    <t>3.6.3.1.2</t>
  </si>
  <si>
    <t>Aditivos acelerados a 24 horas</t>
  </si>
  <si>
    <t>3.6.3.1.3</t>
  </si>
  <si>
    <t>Otros aditivos acelerantes</t>
  </si>
  <si>
    <t>3.6.3.1.3.1</t>
  </si>
  <si>
    <t>Aditivos acelerantes a 3 días</t>
  </si>
  <si>
    <t>3.6.3.1.3.2</t>
  </si>
  <si>
    <t>Aditivos acelerantes a 7 días</t>
  </si>
  <si>
    <t>3.6.3.2</t>
  </si>
  <si>
    <t>Otros aditivos (Aditivo indicado por el diseño o la Interventoría)</t>
  </si>
  <si>
    <t>3.6.3.3</t>
  </si>
  <si>
    <t>Aditivos endurecedores de piso</t>
  </si>
  <si>
    <t>3.6.3.3.1</t>
  </si>
  <si>
    <t>Aditivo endurecedor de piso para tráfico liviano</t>
  </si>
  <si>
    <t>3.6.3.3.2</t>
  </si>
  <si>
    <t>Aditivo endurecedor de piso para tráfico pesado</t>
  </si>
  <si>
    <t>3.6.4</t>
  </si>
  <si>
    <t>Construcción de andenes, bordillos y cunetas</t>
  </si>
  <si>
    <t>3.6.4.1</t>
  </si>
  <si>
    <t>Construcción de andenes</t>
  </si>
  <si>
    <t>3.6.4.1.1</t>
  </si>
  <si>
    <t>Construcción de andén en mortero, 1:3 e = 0,05 m</t>
  </si>
  <si>
    <t>3.6.4.1.2</t>
  </si>
  <si>
    <t>Construcción de andén en mortero 1:3 con colorante mineral e = 0,05 m</t>
  </si>
  <si>
    <t>3.6.4.1.3</t>
  </si>
  <si>
    <t>Construcción de andén de concreto f´c = 21,0 Mpa (3000 psi) e = 0,10 m. Tamaño máximo del agregado: 25 mm (1”) de Central de Mezclas</t>
  </si>
  <si>
    <t>3.6.4.1.4</t>
  </si>
  <si>
    <t>Construcción de andén de concreto f´c = 21 Mpa (3000 psi) e = 0,07 m. Tamaño máximo del agregado: 25 mm (1”) de Central de Mezclas</t>
  </si>
  <si>
    <t>3.6.4.1.5</t>
  </si>
  <si>
    <t>Construcción de andén de concreto f´c = 21 Mpa (3000 psi) e = 0,05 m. Tamaño máximo del agregado: 19 mm (3/4”)  de Central de Mezclas</t>
  </si>
  <si>
    <t>3.6.4.1.6</t>
  </si>
  <si>
    <t>Construcción de andén de concreto f´c = 17,5 Mpa (2500 psi) e = 0,10 m. Tamaño máximo del agregado: 25 mm (1”) de Central de Mezclas</t>
  </si>
  <si>
    <t>3.6.4.1.7</t>
  </si>
  <si>
    <t>Construcción de andén de concreto f´c = 17,5 Mpa (2500 psi) e = 0,07 m. Tamaño máximo del agregado 25 mm (1”) de Central de Mezclas</t>
  </si>
  <si>
    <t>3.6.4.1.8</t>
  </si>
  <si>
    <t>Construcción de andén de concreto f´c = 17,5 Mpa (2500 psi) e = 0,05 m. Tamaño máximo del agregado 19 mm (3/4”) de Central de Mezclas</t>
  </si>
  <si>
    <t>3.6.4.1.9</t>
  </si>
  <si>
    <t xml:space="preserve">Construcción de andén de concreto f´c = 14 Mpa (2000 psi) e = 0,10 m. Tamaño máximo del agregado 25 mm (1”) preparado en obra </t>
  </si>
  <si>
    <t>3.6.4.1.10</t>
  </si>
  <si>
    <t xml:space="preserve">Construcción de andén de concreto f´c = 14 Mpa (2000 psi) e = 0,07m. Tamaño máximo del agregado 25 mm (1”) preparado en obra </t>
  </si>
  <si>
    <t>3.6.4.1.11</t>
  </si>
  <si>
    <t xml:space="preserve">Construcción de andén de concreto  f´c = 14 Mpa (2000 psi) e= 0,05 m. Tamaño máximo del agregado 19 mm (3/4”) preparado en obra </t>
  </si>
  <si>
    <t>3.6.4.1.12</t>
  </si>
  <si>
    <t>Construcción de  andén en baldosa o tablón de gres</t>
  </si>
  <si>
    <t>3.6.4.1.13</t>
  </si>
  <si>
    <t>Construcción de  andén en mosaico</t>
  </si>
  <si>
    <t>3.6.4.1.14</t>
  </si>
  <si>
    <t>Construcción de  andén en baldosa cerámica</t>
  </si>
  <si>
    <t>3.6.4.1.15</t>
  </si>
  <si>
    <t>Construcción de  andén en tablón con juntas de granito o piedra china</t>
  </si>
  <si>
    <t>3.6.4.1.16</t>
  </si>
  <si>
    <t>Construcción de  andén en granito pulido a máquina</t>
  </si>
  <si>
    <t>3.6.4.1.17</t>
  </si>
  <si>
    <t>Construcción de  andén en granito</t>
  </si>
  <si>
    <t>3.6.4.1.18</t>
  </si>
  <si>
    <t>Construcción de  andén en piedra china</t>
  </si>
  <si>
    <t>3.6.4.1.19</t>
  </si>
  <si>
    <t>Construcción de andén en cerámica importada</t>
  </si>
  <si>
    <t>3.6.4.1.20</t>
  </si>
  <si>
    <t>Construcción de andén peatonal en adoquín de arcilla</t>
  </si>
  <si>
    <t>3.6.4.1.21</t>
  </si>
  <si>
    <t>Construcción de andén vehicular en adoquín de arcilla</t>
  </si>
  <si>
    <t>3.6.4.1.22</t>
  </si>
  <si>
    <t>Construcción de andén peatonal en adoquín de concreto</t>
  </si>
  <si>
    <t>3.3.4.1.23</t>
  </si>
  <si>
    <t>Construcción de andén vehicular en adoquín de concreto</t>
  </si>
  <si>
    <t>3.6.4.2</t>
  </si>
  <si>
    <t>Construcción de bordillos</t>
  </si>
  <si>
    <t>3.6.4.2.1</t>
  </si>
  <si>
    <t>Construcción de bordillo de concreto de 0,15 m x 0,15 m; f´c = 21,0 Mpa (3000 psi)</t>
  </si>
  <si>
    <t>3.6.4.2.2</t>
  </si>
  <si>
    <t>Construcción de bordillo de concreto de 0,15 mx0,30 m; f´c = 21,0 Mpa (3000 psi)</t>
  </si>
  <si>
    <t>3.6.4.2.3</t>
  </si>
  <si>
    <t>Construcción de bordillo prefabricado de concreto h = 0,50 m f´c = 21,0 Mpa (3000 psi)</t>
  </si>
  <si>
    <t>3.6.4.2.4</t>
  </si>
  <si>
    <t>Construcción de bordillo prefabricado de concreto h = 0,70 m f´c= 21,0 Mpa (3000 psi)</t>
  </si>
  <si>
    <t>3.6.4.2.5</t>
  </si>
  <si>
    <t>Construcción de bordillo  de ladrillo con altura &lt;= 0,20 m</t>
  </si>
  <si>
    <t>3.6.4.2.6</t>
  </si>
  <si>
    <t>Construcción de bordillo  de ladrillo con altura  &gt;  0,20 m</t>
  </si>
  <si>
    <t>3.6.4.3</t>
  </si>
  <si>
    <t>Construcción de cunetas</t>
  </si>
  <si>
    <t>3.6.4.3.1</t>
  </si>
  <si>
    <t>Construcción de cuneta de concreto,  f´c = 21,0 Mpa (3000 psi)</t>
  </si>
  <si>
    <t>3.6.4.3.2</t>
  </si>
  <si>
    <t>Construcción de cuneta prefabricada de concreto f´c = 21,0Mpa (3000 psi)</t>
  </si>
  <si>
    <t>3.6.4.3.3</t>
  </si>
  <si>
    <t>Construcción de cuneta en tierra tipo 1</t>
  </si>
  <si>
    <t>3.6.4.3.4</t>
  </si>
  <si>
    <t>Construcción de cuneta en tierra tipo 2</t>
  </si>
  <si>
    <t>3.6.4.4</t>
  </si>
  <si>
    <t>Concreto simple para solado</t>
  </si>
  <si>
    <t>3.6.4.4.1</t>
  </si>
  <si>
    <t>Concreto simple para solado de 2000 psi</t>
  </si>
  <si>
    <t>3.6.4.4.2</t>
  </si>
  <si>
    <t>Concreto simple para solado de 2500 psi</t>
  </si>
  <si>
    <t>3.7.</t>
  </si>
  <si>
    <t>CONSTRUCCIÓN DE OBRAS ACCESORIAS</t>
  </si>
  <si>
    <t xml:space="preserve">Mampostería en ladrillo </t>
  </si>
  <si>
    <t>3.7.1.1.1</t>
  </si>
  <si>
    <t>Mampostería de ladrillo macizo de arcilla e = 0,10</t>
  </si>
  <si>
    <t>3.7.1.1.2</t>
  </si>
  <si>
    <t>Mampostería de ladrillo macizo de arcilla e = 0,20</t>
  </si>
  <si>
    <t>3.7.1.1.3</t>
  </si>
  <si>
    <t>Mampostería de ladrillo macizo de concreto e = 0,10</t>
  </si>
  <si>
    <t>3.7.1.1.4</t>
  </si>
  <si>
    <t>Mampostería de ladrillo macizo de concreto e = 0,15</t>
  </si>
  <si>
    <t>3.7.1.1.5</t>
  </si>
  <si>
    <t>Mampostería de ladrillo macizo de concreto e = 0,20</t>
  </si>
  <si>
    <t>3.7.1.2.1</t>
  </si>
  <si>
    <t>Mampostería doble con unidades macizas de arcilla e = 0,20 m</t>
  </si>
  <si>
    <t>3.7.1.2.2</t>
  </si>
  <si>
    <t>Mampostería doble con unidades macizas de concreto e = 0,20 m</t>
  </si>
  <si>
    <t>3.7.1.3</t>
  </si>
  <si>
    <t>Pañetes</t>
  </si>
  <si>
    <t>3.7.1.3.1</t>
  </si>
  <si>
    <t>Pañete impermeabilizado de mortero 1 : 3</t>
  </si>
  <si>
    <t>3.7.1.3.2</t>
  </si>
  <si>
    <t>Pañete impermeabilizado de mortero 1 : 4</t>
  </si>
  <si>
    <t>3.7.1.3.3</t>
  </si>
  <si>
    <t>Pañete simple de mortero 1 : 3</t>
  </si>
  <si>
    <t>3.7.1.3.4</t>
  </si>
  <si>
    <t>Pañete simple de mortero 1 : 4</t>
  </si>
  <si>
    <t>3.7.1.3.5</t>
  </si>
  <si>
    <t>Pañete simple de mortero 1 : 5</t>
  </si>
  <si>
    <t>Obras de mampostería en bloque</t>
  </si>
  <si>
    <t>3.7.2.1</t>
  </si>
  <si>
    <t>Mampostería reforzada en bloque vibrado de concreto relleno con mortero</t>
  </si>
  <si>
    <t>3.7.2.1.1</t>
  </si>
  <si>
    <t>Mampostería en bloque vibrado de concreto relleno con mortero e = 0,08 m</t>
  </si>
  <si>
    <t>3.7.2.1.2</t>
  </si>
  <si>
    <t>Mampostería en bloque vibrado de concreto relleno con mortero e = 0,10 m</t>
  </si>
  <si>
    <t>3.7.2.1.3</t>
  </si>
  <si>
    <t>Mampostería en bloque vibrado de concreto relleno con mortero e = 0,12 m</t>
  </si>
  <si>
    <t>3.7.2.1.4</t>
  </si>
  <si>
    <t>Mampostería en bloque vibrado de concreto relleno con mortero e = 0,15 m</t>
  </si>
  <si>
    <t>3.7.2.1.5</t>
  </si>
  <si>
    <t>Mampostería en bloque vibrado de concreto relleno con mortero e = 0,20 m</t>
  </si>
  <si>
    <t>3.7.2.1.6</t>
  </si>
  <si>
    <t>Mampostería en bloque vibrado de concreto relleno con mortero e = 0,25 m</t>
  </si>
  <si>
    <t>3.7.2.1.7</t>
  </si>
  <si>
    <t>Mampostería en bloque vibrado de concreto relleno con mortero e = 0,30 m</t>
  </si>
  <si>
    <t>3.7.2.2</t>
  </si>
  <si>
    <t xml:space="preserve">Mampostería reforzada en bloque de arcilla relleno con mortero </t>
  </si>
  <si>
    <t>3.7.2.2.1</t>
  </si>
  <si>
    <t>Mampostería en bloque de arcilla relleno con mortero e = 0,10 m</t>
  </si>
  <si>
    <t>3.7.2.2.2</t>
  </si>
  <si>
    <t>Mampostería en bloque de arcilla relleno con mortero e = 0,12 m</t>
  </si>
  <si>
    <t>3.7.2.2.3</t>
  </si>
  <si>
    <t>Mampostería en bloque de arcilla relleno con mortero e = 0,15 m</t>
  </si>
  <si>
    <t>3.7.2.2.4</t>
  </si>
  <si>
    <t>Mampostería en bloque de arcilla relleno con mortero e = 0,20 m</t>
  </si>
  <si>
    <t>3.7.2.3</t>
  </si>
  <si>
    <t>Mampostería en bloque de arcilla con perforaciones horizontales</t>
  </si>
  <si>
    <t>3.7.2.3.1</t>
  </si>
  <si>
    <t>Mampostería en bloque de arcilla con perforaciones horizontales e = 0,10 m</t>
  </si>
  <si>
    <t>3.7.2.3.2</t>
  </si>
  <si>
    <t>Mampostería en bloque de arcilla con perforaciones horizontales e = 0,12 m</t>
  </si>
  <si>
    <t>3.7.2.3.3</t>
  </si>
  <si>
    <t>Mampostería en bloque de arcilla con perforaciones horizontales e = 0,15 m</t>
  </si>
  <si>
    <t>3.7.2.3.4</t>
  </si>
  <si>
    <t>Mampostería en bloque de arcilla con perforaciones horizontales e = 0,20 m</t>
  </si>
  <si>
    <t>3.7.2.4</t>
  </si>
  <si>
    <t>Levante calados persiana</t>
  </si>
  <si>
    <t>3.7.3</t>
  </si>
  <si>
    <t>Estructuras en concreto reforzado</t>
  </si>
  <si>
    <t>3.7.3.1</t>
  </si>
  <si>
    <t>Concretos de losa de fondo, superiores (incluye instalación de la tapa), y muros en estructuras hidráulicas y cajas válvulas. Incluye formaletas</t>
  </si>
  <si>
    <t>3.7.3.1.1</t>
  </si>
  <si>
    <t>Concreto impermeabilizado de 21,0 Mpa (3000 psi) para placas de fondo</t>
  </si>
  <si>
    <t>3.7.3.1.2</t>
  </si>
  <si>
    <t>Concreto impermeabilizado de 24,5 Mpa (3500 psi) para placas de fondo</t>
  </si>
  <si>
    <t>3.7.3.1.3</t>
  </si>
  <si>
    <t>Concreto impermeabilizado de 21,0 Mpa (3000 psi) para losa superior</t>
  </si>
  <si>
    <t>3.7.3.1.4</t>
  </si>
  <si>
    <t>Concreto impermeabilizado de 24,5 Mpa (3500 psi) para losa superior</t>
  </si>
  <si>
    <t>3.7.3.1.5</t>
  </si>
  <si>
    <t>Concreto de 21,0 Mpa (3000 psi) para losas superiores e = 0,10 m</t>
  </si>
  <si>
    <t>3.7.3.1.6</t>
  </si>
  <si>
    <t>Concreto de 21,0 Mpa (3000 psi) para losas superiores e = 0,15 m</t>
  </si>
  <si>
    <t>3.7.3.1.7</t>
  </si>
  <si>
    <t>Concreto de 21,0 Mpa (3000 psi) para losas superiores e = 0,20 m</t>
  </si>
  <si>
    <t>3.7.3.1.8</t>
  </si>
  <si>
    <t>Concreto de 24,5 Mpa (3500 psi) para losas superiores e = 0,10 m</t>
  </si>
  <si>
    <t>3.7.3.1.9</t>
  </si>
  <si>
    <t>Concreto de 24,5 Mpa (3500 psi) para losas superiores e = 0,15 m</t>
  </si>
  <si>
    <t>3.7.3.1.10</t>
  </si>
  <si>
    <t>Concreto de 24,5 Mpa (3500 psi) para losas superiores e = 0,20 m</t>
  </si>
  <si>
    <t>3.7.3.1.11</t>
  </si>
  <si>
    <t>Concreto impermeabilizado de 21,0 Mpa (3000 psi) para muros</t>
  </si>
  <si>
    <t>3.7.3.1.12</t>
  </si>
  <si>
    <t>Concreto impermeabilizado de 24,5 Mpa (3500 psi) para muros</t>
  </si>
  <si>
    <t>3.7.3.1.13</t>
  </si>
  <si>
    <t>Muro de concreto impermeabilizado de 21,0 Mpa (3000 psi) e = 0,20 m</t>
  </si>
  <si>
    <t>3.7.3.1.14</t>
  </si>
  <si>
    <t>Muro de concreto impermeabilizado de 21,0 Mpa (3000 psi) e = 0,25 m</t>
  </si>
  <si>
    <t>3.7.3.1.15</t>
  </si>
  <si>
    <t>Muro de concreto impermeabilizado de 21,0 Mpa (3000 psi) e = 0,30 m</t>
  </si>
  <si>
    <t>3.7.3.1.16</t>
  </si>
  <si>
    <t>Muro de concreto impermeabilizado de 21,0 Mpa (3000 psi) e = 0,35 m</t>
  </si>
  <si>
    <t>3.7.3.1.17</t>
  </si>
  <si>
    <t>Muro de concreto impermeabilizado de 21,0 Mpa (3000 psi) e = 0,40 m</t>
  </si>
  <si>
    <t>3.7.3.1.18</t>
  </si>
  <si>
    <t>Muro de concreto impermeabilizado de 24,5 Mpa (3500 psi) e = 0,20 m</t>
  </si>
  <si>
    <t>3.7.3.1.19</t>
  </si>
  <si>
    <t>Muro de concreto impermeabilizado de 24,5 Mpa (3500 psi) e = 0,25 m</t>
  </si>
  <si>
    <t>3.7.3.1.20</t>
  </si>
  <si>
    <t>Muro de concreto impermeabilizado de 24,5 Mpa (3500 psi) e = 0,30 m</t>
  </si>
  <si>
    <t>3.7.3.1.21</t>
  </si>
  <si>
    <t>Muro de concreto impermeabilizado de 24,5 Mpa (3500 psi) e = 0,35 m</t>
  </si>
  <si>
    <t>3.7.3.1.22</t>
  </si>
  <si>
    <t>Muro de concreto impermeabilizado de 24,5 Mpa (3500 psi) e = 0,40 m</t>
  </si>
  <si>
    <t>3.7.3.1.23</t>
  </si>
  <si>
    <t>Concreto de 28 Mpa (4000 psi) para losas, muros, vigas y columnas</t>
  </si>
  <si>
    <t>3.7.3.1.24</t>
  </si>
  <si>
    <t>Concreto de 21,0 Mpa (3000 psi)</t>
  </si>
  <si>
    <t>3.7.3.2</t>
  </si>
  <si>
    <t>Concreto para estructuras tipo edificaciones</t>
  </si>
  <si>
    <t>3.7.3.2.1</t>
  </si>
  <si>
    <t>Vigas, Columnas, Zapatas. Incluye formaletas</t>
  </si>
  <si>
    <t>3.7.3.2.1.1</t>
  </si>
  <si>
    <t>Concreto para vigas f´c = 21,0 Mpa (3000 psi)</t>
  </si>
  <si>
    <t>3.7.3.2.1.2</t>
  </si>
  <si>
    <t>Concreto para columnas f´c = 21,0 Mpa (3000 psi)</t>
  </si>
  <si>
    <t>3.7.3.2.1.3</t>
  </si>
  <si>
    <t>Concreto para zapatas f´c = 21,0 Mpa (3000 psi)</t>
  </si>
  <si>
    <t>3.7.3.2.1.4</t>
  </si>
  <si>
    <t>Concreto para vigas de amarre f´c = 21,0 Mpa (3000 psi)</t>
  </si>
  <si>
    <t>3.7.3.2.1.5</t>
  </si>
  <si>
    <t>Concreto para vigas f´c = 24,5 Mpa (3500 psi)</t>
  </si>
  <si>
    <t>3.7.3.2.1.6</t>
  </si>
  <si>
    <t>Concreto para columnas f´c = 24,5 Mpa (3500 psi)</t>
  </si>
  <si>
    <t>3.7.3.2.1.7</t>
  </si>
  <si>
    <t>Concreto para vigas f´c = 28,0 Mpa (4000 psi)</t>
  </si>
  <si>
    <t>3.7.3.2.1.8</t>
  </si>
  <si>
    <t>Concreto para columnas f´c = 28,0 Mpa (4000 psi)</t>
  </si>
  <si>
    <t>3.7.3.2.1.9</t>
  </si>
  <si>
    <t>Concreto para escalera</t>
  </si>
  <si>
    <t>3.7.3.2.1.10</t>
  </si>
  <si>
    <t>Concreto para vigas dintel y corona de 0.15 x 0.20 m (3000 psi)</t>
  </si>
  <si>
    <t>3.7.3.2.2</t>
  </si>
  <si>
    <t>Losas macisas. Incluye formaletas</t>
  </si>
  <si>
    <t>3.7.3.2.2.1</t>
  </si>
  <si>
    <t>Losa maciza e = 0,10 m f´c = 21,0 Mpa (3000 psi). Incluye refuerzo en malla electrosoldada de 6mm 15 x 15 cm</t>
  </si>
  <si>
    <t>3.7.3.2.2.2</t>
  </si>
  <si>
    <t>Losa maciza e = 0,20 m f´c = 21,0 Mpa (3000 psi). Incluye refuerzo en malla electrosoldada de 5mm 15 x 15 cm</t>
  </si>
  <si>
    <t>3.7.3.2.2.3</t>
  </si>
  <si>
    <t>Losa maciza e = 0,10 m f´c = 24,5 Mpa (3500 psi)</t>
  </si>
  <si>
    <t>3.7.3.2.2.4</t>
  </si>
  <si>
    <t>Losa maciza e = 0,20 m f´c = 24,5 Mpa (3500 psi)</t>
  </si>
  <si>
    <t>3.7.3.2.3</t>
  </si>
  <si>
    <t>Losas aligeradas. Incluye formaletas</t>
  </si>
  <si>
    <t>3.7.3.2.3.1</t>
  </si>
  <si>
    <t>Losa aligerada e = 0.25 m f´c = 21,0 Mpa (3000 psi)</t>
  </si>
  <si>
    <t>3.7.3.2.3.2</t>
  </si>
  <si>
    <t>Losa aligerada e = 0.30 m f´c = 21,0 Mpa (3000 psi)</t>
  </si>
  <si>
    <t>3.7.3.2.3.3</t>
  </si>
  <si>
    <t>Losa aligerada e = 0.35 m f´c = 21,0 Mpa (3000 psi)</t>
  </si>
  <si>
    <t>3.7.3.2.3.4</t>
  </si>
  <si>
    <t>Losa aligerada e = 0.25 m f´c = 24,5 Mpa (3500 psi)</t>
  </si>
  <si>
    <t>3.7.3.2.3.5</t>
  </si>
  <si>
    <t>Losa aligerada e = 0.30 m f´c = 24,5 Mpa (3500 psi)</t>
  </si>
  <si>
    <t>3.7.3.2.3.6</t>
  </si>
  <si>
    <t>Losa aligerada e = 0.35 m f´c = 24,5 Mpa (3500 psi)</t>
  </si>
  <si>
    <t>3.7.3.3</t>
  </si>
  <si>
    <t>Acero de refuerzo. Incluye figurada</t>
  </si>
  <si>
    <t>3.7.3.3.1</t>
  </si>
  <si>
    <t>Acero fy = 420 Mpa (60000 psi)</t>
  </si>
  <si>
    <t>kg</t>
  </si>
  <si>
    <t>3.7.3.3.2</t>
  </si>
  <si>
    <t>Acero fy = 280 Mpa (40000 psi)</t>
  </si>
  <si>
    <t>3.7.3.4</t>
  </si>
  <si>
    <t>Losa superior prefabricada de concreto para pozo de inspección, e= 0.20 m. Incluye instalación de tapa</t>
  </si>
  <si>
    <t>3.7.3.4.1</t>
  </si>
  <si>
    <t>Diámetro 1,50 m</t>
  </si>
  <si>
    <t>3.7.3.4.2</t>
  </si>
  <si>
    <t>Diámetro 1,60 m</t>
  </si>
  <si>
    <t>3.7.3.5</t>
  </si>
  <si>
    <t>Juntas de Cinta de PVC</t>
  </si>
  <si>
    <t>3.7.3.5.1</t>
  </si>
  <si>
    <t>Juntas de Cinta de PVC V-15</t>
  </si>
  <si>
    <t>3.7.3.5.2</t>
  </si>
  <si>
    <t>Juntas de Cinta de PVC V-22</t>
  </si>
  <si>
    <t>3.7.4</t>
  </si>
  <si>
    <t>Pozo de inspección - Incluida losa superior y tapa</t>
  </si>
  <si>
    <t>3.7.4.1</t>
  </si>
  <si>
    <t>Construcción de pozo de inspección en mampostería con ladrillo macizo    (tolete)</t>
  </si>
  <si>
    <t>3.7.4.1.1</t>
  </si>
  <si>
    <t>Para tuberías de diámetros entre los 200 mm (8 pulgadas)  y 700 mm (27 pulgadas),  diámetro del cilindro 1,20 m</t>
  </si>
  <si>
    <t>3.7.4.1.1.1</t>
  </si>
  <si>
    <r>
      <t xml:space="preserve">Pozo de inspección 1,00 m &lt; H </t>
    </r>
    <r>
      <rPr>
        <u/>
        <sz val="11"/>
        <color indexed="64"/>
        <rFont val="Swis721 Lt BT"/>
        <family val="2"/>
      </rPr>
      <t>&lt;</t>
    </r>
    <r>
      <rPr>
        <sz val="11"/>
        <color indexed="64"/>
        <rFont val="Swis721 Lt BT"/>
        <family val="2"/>
      </rPr>
      <t xml:space="preserve"> 1,45 m</t>
    </r>
  </si>
  <si>
    <t>3.7.4.1.1.2</t>
  </si>
  <si>
    <r>
      <t xml:space="preserve">Pozo de inspección 1,45 m &lt; H </t>
    </r>
    <r>
      <rPr>
        <u/>
        <sz val="11"/>
        <color indexed="64"/>
        <rFont val="Swis721 Lt BT"/>
        <family val="2"/>
      </rPr>
      <t>&lt;</t>
    </r>
    <r>
      <rPr>
        <sz val="11"/>
        <color indexed="64"/>
        <rFont val="Swis721 Lt BT"/>
        <family val="2"/>
      </rPr>
      <t xml:space="preserve"> 1,80 m</t>
    </r>
  </si>
  <si>
    <t>3.7.4.1.1.3</t>
  </si>
  <si>
    <r>
      <t xml:space="preserve">Pozo de inspección 1,80 m &lt; H </t>
    </r>
    <r>
      <rPr>
        <u/>
        <sz val="11"/>
        <color indexed="64"/>
        <rFont val="Swis721 Lt BT"/>
        <family val="2"/>
      </rPr>
      <t>&lt;</t>
    </r>
    <r>
      <rPr>
        <sz val="11"/>
        <color indexed="64"/>
        <rFont val="Swis721 Lt BT"/>
        <family val="2"/>
      </rPr>
      <t xml:space="preserve"> 3,00 m</t>
    </r>
  </si>
  <si>
    <t>3.7.4.1.2</t>
  </si>
  <si>
    <t>Para tuberías de diámetros entre los 750 mm (30 pulgadas)  y 900 mm (36 pulgadas),  diámetro del cilindro 1,50 m.</t>
  </si>
  <si>
    <t>3.7.4.1.2.1</t>
  </si>
  <si>
    <t>Pozo de inspección 1,45 m &lt; H &lt;  1,80 m</t>
  </si>
  <si>
    <t>3.7.4.1.2.2</t>
  </si>
  <si>
    <t>Pozo de inspección 1,80 m &lt; H &lt;  3,00 m</t>
  </si>
  <si>
    <t>3.7.4.1.3</t>
  </si>
  <si>
    <t>Para tuberías de diámetros entre los 1000 mm (40 pulgadas)  y 1100 mm (44 pulgadas),  diámetro del cilindro 1,80 m</t>
  </si>
  <si>
    <t>3.7.4.1.3.1</t>
  </si>
  <si>
    <t xml:space="preserve">Pozo de inspección 1,80 m &lt; H &lt; 3,00 m </t>
  </si>
  <si>
    <t>3.7.4.1.4</t>
  </si>
  <si>
    <t>Para tuberías de diámetros entre los 1200 mm (48 pulgadas)  y 1300 mm (52 pulgadas),  diámetro del cilindro 2,00 m.</t>
  </si>
  <si>
    <t>3.7.4.1.4.1</t>
  </si>
  <si>
    <t>3.7.4.1.5</t>
  </si>
  <si>
    <t>Para tuberías de diámetros entre los 1400 mm (56 pulgadas)  y 1500 mm (60 pulgadas),  diámetro del cilindro 2,20 m</t>
  </si>
  <si>
    <t>3.7.4.1.5.1</t>
  </si>
  <si>
    <t>3.7.4.2</t>
  </si>
  <si>
    <t xml:space="preserve">Construcción de pozo de inspección de concreto. </t>
  </si>
  <si>
    <t>3.7.4.2.1</t>
  </si>
  <si>
    <t>Para tuberías de diámetro entre los 200 mm (8 pulgadas) y 700 mm (27 pulgadas),  diámetro del cilindro 1,20 m.</t>
  </si>
  <si>
    <t>3.7.4.2.1.1</t>
  </si>
  <si>
    <t>Pozo de inspección 1,00 m &lt; H &lt; 1,45 m</t>
  </si>
  <si>
    <t>3.7.4.2.1.2</t>
  </si>
  <si>
    <t>Pozo de inspección 1,45 m &lt; H &lt; 1,80 m</t>
  </si>
  <si>
    <t>3.7.4.2.1.3</t>
  </si>
  <si>
    <t>Pozo de inspección 1,80 m &lt; H &lt; 3,00 m</t>
  </si>
  <si>
    <t>3.7.4.2.1.4</t>
  </si>
  <si>
    <t>Pozo de inspección 3,00 m &lt; H &lt; 4,50 m</t>
  </si>
  <si>
    <t>3.7.4.2.1.5</t>
  </si>
  <si>
    <t>Pozo de inspección 4,50 m &lt; H &lt; 6,00 m</t>
  </si>
  <si>
    <t>3.7.4.2.1.6</t>
  </si>
  <si>
    <t>Pozo de inspección 6,00 m &lt; H &lt; 7,50 m</t>
  </si>
  <si>
    <t>3.7.4.2.1.7</t>
  </si>
  <si>
    <t>Pozo de inspección 7,50 m &lt; H &lt; 9,00 m</t>
  </si>
  <si>
    <t>3.7.4.2.2</t>
  </si>
  <si>
    <t>3.7.4.2.2.1</t>
  </si>
  <si>
    <t>3.7.4.2.2.2</t>
  </si>
  <si>
    <t>Pozo de inspección 1,45 m &lt;H &lt; 1,80 m</t>
  </si>
  <si>
    <t>3.7.4.2.2.3</t>
  </si>
  <si>
    <t>Pozo de inspección 1,80 m &lt; H &lt; 3,0 m</t>
  </si>
  <si>
    <t>3.7.4.2.2.4</t>
  </si>
  <si>
    <t>Pozo de inspección H &gt; 3,00 m</t>
  </si>
  <si>
    <t>3.7.4.2.3</t>
  </si>
  <si>
    <t>Para tuberías de diámetros entre los 990 mm (39 pulgadas)  y 1144 mm (45 pulgadas),  diámetro del cilindro 1,80 m.</t>
  </si>
  <si>
    <t>3.7.4.2.3.1</t>
  </si>
  <si>
    <t>3.7.4.2.3.2</t>
  </si>
  <si>
    <t>3.7.4.2.4</t>
  </si>
  <si>
    <t>3.7.4.2.4.1</t>
  </si>
  <si>
    <t>Pozo de inspección 1,80 m &lt; H &lt;= 3,0 m</t>
  </si>
  <si>
    <t>3.7.4.2.4.2</t>
  </si>
  <si>
    <t>3.7.4.2.5</t>
  </si>
  <si>
    <t>3.7.4.2.5.1</t>
  </si>
  <si>
    <t>3.7.4.2.5.2</t>
  </si>
  <si>
    <t>3.7.4.3</t>
  </si>
  <si>
    <t>Construcción de pozo de inspección mixto</t>
  </si>
  <si>
    <t>3.7.4.3.1</t>
  </si>
  <si>
    <t xml:space="preserve">Base en mampostería o concreto reforzado, suplementado con elementos prefabricados de diámetro interno 1,20 m; tubería entre 200 mm (8 pulgadas) y 700 mm (27 pulgadas). </t>
  </si>
  <si>
    <t>3.7.4.3.1.1</t>
  </si>
  <si>
    <t>Pozo de inspección base de concreto 1,45 m &lt;H &lt; 1,80 m</t>
  </si>
  <si>
    <t>3.7.4.3.1.2</t>
  </si>
  <si>
    <t>Pozo de inspección base de concreto 1,80 m &lt;H &lt; 3,00 m</t>
  </si>
  <si>
    <t>3.7.4.3.1.3</t>
  </si>
  <si>
    <t>Pozo de inspección base de concreto H &gt; 3,00 m</t>
  </si>
  <si>
    <t>3.7.4.3.1.4</t>
  </si>
  <si>
    <t>Pozo de inspección base de mampostería 1,45 m &lt;H &lt; 1,80 m</t>
  </si>
  <si>
    <t>3.7.4.3.1.5</t>
  </si>
  <si>
    <t>Pozo de inspección base de mampostería 1,80 m &lt;H &lt; 3,00 m</t>
  </si>
  <si>
    <t>3.7.4.3.2</t>
  </si>
  <si>
    <t xml:space="preserve">Base en concreto reforzado, suplementado con cilindro de mampostería de diámetro interno de 1,20 m; con diámetros entre 200 mm (8 pulgadas) y 700 mm (27 pulgadas). </t>
  </si>
  <si>
    <t>3.7.4.3.2.1</t>
  </si>
  <si>
    <t>3.7.4.3.2.2</t>
  </si>
  <si>
    <t>Pozo de inspección 1,80 m &lt;H &lt;  3,00 m</t>
  </si>
  <si>
    <t>3.7.4.3.2.3</t>
  </si>
  <si>
    <t xml:space="preserve">3.7.4.4 </t>
  </si>
  <si>
    <t>Instalación de Pozo de inspección prefabricado de concreto</t>
  </si>
  <si>
    <t xml:space="preserve">3.7.4.4.1 </t>
  </si>
  <si>
    <t>Sobre losa prefabricada, diámetro interno 1,20 m para diametro de tuberias desde 200 mm (8") hasta 500 mm (20")</t>
  </si>
  <si>
    <t xml:space="preserve">3.7.4.4.1.1 </t>
  </si>
  <si>
    <t>Pozo de inspección 1.00 m&lt;H&lt;=1.45 m (Cilindricos)</t>
  </si>
  <si>
    <t xml:space="preserve">3.7.4.4.1.2 </t>
  </si>
  <si>
    <t>Pozo de inspección 1.45 m&lt;H&lt;=1.80 m</t>
  </si>
  <si>
    <t xml:space="preserve">3.7.4.4.1.3 </t>
  </si>
  <si>
    <t>Pozo de inspección 1.8 m&lt;H&lt;=3.0 m</t>
  </si>
  <si>
    <t xml:space="preserve">3.7.4.4.1.4 </t>
  </si>
  <si>
    <t>Pozo de inspección H &gt;3.0 m</t>
  </si>
  <si>
    <t xml:space="preserve">3.7.4.4.2 </t>
  </si>
  <si>
    <t>Sobre caja de concreto reforzado construida en sitio para diámetro desde 750 mm (30") hasta 900 mm (36"). Ancho y altura de la caja 1,50 m</t>
  </si>
  <si>
    <t xml:space="preserve">3.7.4.4.2.1 </t>
  </si>
  <si>
    <t>Pozo de inspección 1.80 m &lt; H &lt;= 3.00 m</t>
  </si>
  <si>
    <t xml:space="preserve">3.7.4.4.2.2 </t>
  </si>
  <si>
    <t>Pozo de inspección H &gt; 3.00 m</t>
  </si>
  <si>
    <t xml:space="preserve">3.7.4.4.3 </t>
  </si>
  <si>
    <t>Sobre caja de concreto reforzado construida en sitio para diámetros desde 1000 mm (40") hasta 1100 mm (44"). Ancho y altura de la caja 1,80 m</t>
  </si>
  <si>
    <t xml:space="preserve">3.7.4.4.3.1 </t>
  </si>
  <si>
    <t>Pozo de inspección 1.80 m&lt;H&lt;=3.00 m</t>
  </si>
  <si>
    <t xml:space="preserve">3.7.4.4.3.2 </t>
  </si>
  <si>
    <t>Pozo de inspección H&gt;3.0 m</t>
  </si>
  <si>
    <t xml:space="preserve">3.7.4.4.4 </t>
  </si>
  <si>
    <t>Sobre caja de concreto reforzado construida en sitio para diámetros desde 1200 mm (48") hasta 1300 mm (52"). Ancho y altura de la caja 2,00 m</t>
  </si>
  <si>
    <t xml:space="preserve">3.7.4.4.4.1 </t>
  </si>
  <si>
    <t xml:space="preserve">3.7.4.4.4.2 </t>
  </si>
  <si>
    <t>Pozo de inspección H&gt;3.00 m</t>
  </si>
  <si>
    <t xml:space="preserve">3.7.4.4.5 </t>
  </si>
  <si>
    <t>Sobre caja de concreto reforzado construida en sitio para diámetros desde 1400 mm (56") hasta 1500 mm (60"), Ancho y altura de la caja 2.00 m</t>
  </si>
  <si>
    <t xml:space="preserve">3.7.4.4.5.1 </t>
  </si>
  <si>
    <t>Pozo de inspección 1.80 m&lt;H&lt; 3.00 m</t>
  </si>
  <si>
    <t xml:space="preserve">3.7.4.4.5.2 </t>
  </si>
  <si>
    <t xml:space="preserve">3.7.4.4.6 </t>
  </si>
  <si>
    <t>Sobre base tipo chimenea y diametros de tuberias desde 1000 mm (40") hasta 1500 mm (60")</t>
  </si>
  <si>
    <t xml:space="preserve">3.7.4.4.6.1 </t>
  </si>
  <si>
    <t>Pozo sobre base de 1000 mm (40") o 1100 mm (44") con 1.80 m&lt;H&lt; 3.00 m</t>
  </si>
  <si>
    <t>3.7.4.4.6.2</t>
  </si>
  <si>
    <t>Pozo sobre base de 1000 mm (40") o 1100 mm (44") con H&gt;3.00 m</t>
  </si>
  <si>
    <t xml:space="preserve">3.7.4.4.6.3 </t>
  </si>
  <si>
    <t>Pozo sobre base de 1200 mm (48") o 1300 mm (52") con 1.80 m&lt;H&lt; 3.00 m</t>
  </si>
  <si>
    <t xml:space="preserve">3.7.4.4.6.4 </t>
  </si>
  <si>
    <t>Pozo sobre base de 1200 mm (48") o 1300 mm (52") con  H&gt;3.00 m</t>
  </si>
  <si>
    <t xml:space="preserve">3.7.4.4.6.5 </t>
  </si>
  <si>
    <t>Pozo sobre base de 1400 mm (56") o 1500 mm (60") con 1.80 m&lt;H&lt; 3.00 m</t>
  </si>
  <si>
    <t xml:space="preserve">3.7.4.4.6.6 </t>
  </si>
  <si>
    <t>Pozo sobre base de 1400 mm (56") o 1500 mm (60") con H&gt;3.00 m</t>
  </si>
  <si>
    <t>3.7.5</t>
  </si>
  <si>
    <t>Cámaras de caída</t>
  </si>
  <si>
    <t>3.7.5.1</t>
  </si>
  <si>
    <t>Cámaras de caída menores o iguales a 1.80 m</t>
  </si>
  <si>
    <t>3.7.5.1.1</t>
  </si>
  <si>
    <t>Pozo de inspección H &lt; 1.8 m con cámara de caída con tee de PVC</t>
  </si>
  <si>
    <t>3.7.5.2</t>
  </si>
  <si>
    <t>Cámaras de caída mayores de 1.80 m</t>
  </si>
  <si>
    <t>3.7.5.2.1</t>
  </si>
  <si>
    <t>Pozo de inspección 1,80 m &lt; H &lt; 3,0 m con cámara de caída con tee de PVC</t>
  </si>
  <si>
    <t>3.7.5.2.2</t>
  </si>
  <si>
    <t>Pozo de inspección 3,00 m &lt; H &lt; 4,5 m con cámara de caída con tee de PVC</t>
  </si>
  <si>
    <t>3.7.5.2.3</t>
  </si>
  <si>
    <t>Pozo de inspección 4.5 m &lt; H &lt; 6.0 m con cámara de caída con tee de PVC</t>
  </si>
  <si>
    <t>3.7.5.2.4</t>
  </si>
  <si>
    <t>Pozo de inspección 6.0 m &lt; H &lt; 7.5 m con cámara de caída con tee de PVC</t>
  </si>
  <si>
    <t>3.7.5.2.5</t>
  </si>
  <si>
    <t>Pozo de inspección 7.5 m &lt; H &lt; 9.0 m con cámara de caída con tee de PVC</t>
  </si>
  <si>
    <t>3.7.6</t>
  </si>
  <si>
    <t>Caja de inspección para alcantarillado, diámetros de tuberías desde 800 mm (30") hasta 2000 mm (80")</t>
  </si>
  <si>
    <t>3.7.6.1</t>
  </si>
  <si>
    <t>Caja de concreto reforzado</t>
  </si>
  <si>
    <t>3.7.6.1.1</t>
  </si>
  <si>
    <t>Para diámetros de tuberías desde 800 mm (30")  hasta 1100 mm (44");  h &lt; 1,8 m</t>
  </si>
  <si>
    <t>3.7.6.1.2</t>
  </si>
  <si>
    <t>Para diámetros de tuberías desde 800 mm (30")  hasta 1100 mm (44"); 1,8 m &lt; h &lt;  3,0 m.</t>
  </si>
  <si>
    <t>3.7.6.1.3</t>
  </si>
  <si>
    <t>Para diámetros de tuberías desde 800 mm (30")  hasta 1100 mm (44"); 3,0 m &lt; h &lt; 4,0 m.</t>
  </si>
  <si>
    <t>3.7.6.1.4</t>
  </si>
  <si>
    <t>Para diámetros de tuberías desde 1200 mm (48")  hasta 1500 mm (60"); 1.8 m &lt; h &lt; 3,0 m.</t>
  </si>
  <si>
    <t>3.7.6.1.5</t>
  </si>
  <si>
    <t>Para diámetros de tuberías desde 1200 mm (48")  hasta 1500 mm (60"); 3,0 m &lt; h &lt; 4,0 m.</t>
  </si>
  <si>
    <t>3.7.6.1.6</t>
  </si>
  <si>
    <t>Para diámetros de tuberías desde 1600 mm (64")  hasta 2000 mm (80"); 1,8 m &lt; h &lt; 3,0 m.</t>
  </si>
  <si>
    <t>3.7.6.1.7</t>
  </si>
  <si>
    <t>Para diámetros de tuberías desde 1600 mm (64")  hasta 2000 mm (80");  3,0 m &lt; h &lt; 4,0 m.</t>
  </si>
  <si>
    <t>3.7.6.2</t>
  </si>
  <si>
    <t>Caja de Mampostería reforzada</t>
  </si>
  <si>
    <t>3.7.6.2.1</t>
  </si>
  <si>
    <t>3.7.6.2.2</t>
  </si>
  <si>
    <t>3.7.6.2.3</t>
  </si>
  <si>
    <t>3.7.6.2.4</t>
  </si>
  <si>
    <t>3.7.6.2.5</t>
  </si>
  <si>
    <t>3.7.6.2.6</t>
  </si>
  <si>
    <t>Para diámetros de tuberías desde 1600 mm (64")  hasta 2000 mm (80"); 1,8 m &lt; h &lt; 3,0 m</t>
  </si>
  <si>
    <t>3.7.6.2.7</t>
  </si>
  <si>
    <t>3.7.7</t>
  </si>
  <si>
    <t>Registro de conexión domiciliaria para alcantarillado</t>
  </si>
  <si>
    <t>3.7.7.1</t>
  </si>
  <si>
    <t>Registro de conexión domiciliaria sifónico</t>
  </si>
  <si>
    <t>3.7.7.1.1</t>
  </si>
  <si>
    <t>En zona dura de 0,60 m x 0,60 m  H &lt;= 1,40 m. Bifamiliar</t>
  </si>
  <si>
    <t>3.7.7.1.2</t>
  </si>
  <si>
    <t>En zona dura de 1,00 m x 1,00 m H &lt;= 1,40 m. Multifamiliar</t>
  </si>
  <si>
    <t>3.7.7.1.3</t>
  </si>
  <si>
    <t>En zona dura de 1,00 m x 1,00 m H &gt; 1,40 m. Bifamiliar o multifamiliar</t>
  </si>
  <si>
    <t>3.7.7.1.4</t>
  </si>
  <si>
    <t xml:space="preserve"> En zona verde de 0,60 m x 0,60 m H &lt;= 1,40 m. Bifamiliar</t>
  </si>
  <si>
    <t>3.7.7.1.5</t>
  </si>
  <si>
    <t>En zona verde de 1,00 m x 1,00 m H &lt;= 1,40 m. Multifamiliar</t>
  </si>
  <si>
    <t>3.7.7.1.6</t>
  </si>
  <si>
    <t>En zona verde de 1,00 m x 1,00 m H &gt; 1,40 m. Bifamiliar o Multifamiliar</t>
  </si>
  <si>
    <t>3.7.7.2</t>
  </si>
  <si>
    <t>Registro De Conexión Domiciliario No Sifónico</t>
  </si>
  <si>
    <t>3.7.7.2.1</t>
  </si>
  <si>
    <t>En zona dura de 0,60 m x 0,60 m H &lt; 1,40 m. Bifamiliar</t>
  </si>
  <si>
    <t>3.7.7.2.2</t>
  </si>
  <si>
    <t>En zona dura de 1,00 m x 1,00 m H &lt; 1,40 m. Multifamiliar</t>
  </si>
  <si>
    <t>3.7.7.2.3</t>
  </si>
  <si>
    <t>En zona dura de 1,00 m x 1,00 m H &gt; 1,40 m. Bifamiliar o Multifamiliar</t>
  </si>
  <si>
    <t>3.7.7.2.4</t>
  </si>
  <si>
    <t>En zona verde de 0,60 m x 0,60 m H &lt; 1,40 m. Bifamiliar</t>
  </si>
  <si>
    <t>3.7.7.2.5</t>
  </si>
  <si>
    <t>En zona verde de 1,00 m x 1,00 m H &lt; 1,40 m. Multifamiliar</t>
  </si>
  <si>
    <t>3.7.7.2.6</t>
  </si>
  <si>
    <t xml:space="preserve">3.7.7.3 </t>
  </si>
  <si>
    <t>Registro De Conexión Domiciliario No Sifónico Para Trafico Pesado. Vía Vehicular</t>
  </si>
  <si>
    <t>3.7.7.3.1</t>
  </si>
  <si>
    <t>Bifamiliar de 0.60 m x 0,60 m H &lt;= 1,40 m</t>
  </si>
  <si>
    <t>3.7.7.3.2</t>
  </si>
  <si>
    <t>Multifamiliar de 1,00 m x 1,00 m H &lt;= 1,40 m</t>
  </si>
  <si>
    <t>3.7.7.3.3</t>
  </si>
  <si>
    <t>Multifamiliar o Bifamiliar de 1,00 m x 1,00 m H &gt; 1,40 m</t>
  </si>
  <si>
    <t xml:space="preserve">3.7.7.4 </t>
  </si>
  <si>
    <t>Construcción De Registro De Unión Domiciliaria De 0,30 x 0,30 M</t>
  </si>
  <si>
    <t>3.7.7.4.1</t>
  </si>
  <si>
    <t>Registro en zona dura</t>
  </si>
  <si>
    <t>3.7.7.4.2</t>
  </si>
  <si>
    <t>Registro en zona verde</t>
  </si>
  <si>
    <t xml:space="preserve">3.7.8.  </t>
  </si>
  <si>
    <t>Cajas de válvulas y bajantes de operación</t>
  </si>
  <si>
    <t>3.7.8.1.1</t>
  </si>
  <si>
    <t>Para H &lt; 2,0 m</t>
  </si>
  <si>
    <t>3.7.8.1.1.1</t>
  </si>
  <si>
    <t>Caja de mampostería para tuberías entre  250 mm (10") y  400 mm (16").</t>
  </si>
  <si>
    <t>3.7.8.1.1.2</t>
  </si>
  <si>
    <t>Caja de mampostería para tuberías entre  450 mm (18") y  500 mm (20").</t>
  </si>
  <si>
    <t>3.7.8.1.1.3</t>
  </si>
  <si>
    <t>Caja de mampostería reforzada para tuberías entre  250 mm (10") y  400 mm (16").</t>
  </si>
  <si>
    <t>3.7.8.1.1.4</t>
  </si>
  <si>
    <t>Caja de mampostería reforzada para tuberías entre  450 mm (18") y  600 mm (24").</t>
  </si>
  <si>
    <t>3.7.8.1.1.5</t>
  </si>
  <si>
    <t>Caja de mampostería reforzada para tuberías entre  700 mm (30") y  900 mm (36").</t>
  </si>
  <si>
    <t>3.7.8.1.1.6</t>
  </si>
  <si>
    <t>Caja de mampostería reforzada para tuberías entre 1000 mm (40") y 1200 mm (48").</t>
  </si>
  <si>
    <t>3.7.8.1.1.7</t>
  </si>
  <si>
    <t>Caja de concreto reforzado para tuberías entre  90 mm (3") y  400 mm (16").</t>
  </si>
  <si>
    <t>3.7.8.1.1.8</t>
  </si>
  <si>
    <t>Caja de concreto reforzado para tuberías entre  450 mm (18") y  600 mm (24").</t>
  </si>
  <si>
    <t>3.7.8.1.1.9</t>
  </si>
  <si>
    <t>Caja de concreto reforzado para tuberías entre  700 mm (30") y  900 mm (36").</t>
  </si>
  <si>
    <t>3.7.8.1.1.10</t>
  </si>
  <si>
    <t>Caja de concreto reforzado para tuberías entre  1000 mm (40") y  1200 mm (48").</t>
  </si>
  <si>
    <t>3.7.8.1.2</t>
  </si>
  <si>
    <t>Para 2,0 m &lt; H &lt; 3,0 m</t>
  </si>
  <si>
    <t>3.7.8.1.2.1</t>
  </si>
  <si>
    <t>3.7.8.1.2.2</t>
  </si>
  <si>
    <t>3.7.8.1.2.3</t>
  </si>
  <si>
    <t>3.7.8.1.2.4</t>
  </si>
  <si>
    <t>3.7.8.1.2.5</t>
  </si>
  <si>
    <t>Caja de concreto reforzado para tuberías entre  250 mm (10") y  400 mm (16").</t>
  </si>
  <si>
    <t>3.7.8.1.2.6</t>
  </si>
  <si>
    <t>3.7.8.1.2.7</t>
  </si>
  <si>
    <t>3.7.8.1.2.8</t>
  </si>
  <si>
    <t>Caja de concreto reforzado para tuberías entre 1000 mm (40") y 1200 mm (48").</t>
  </si>
  <si>
    <t>3.7.8.1.3</t>
  </si>
  <si>
    <t>Para 3,0 m &lt; H &lt;= 4,0 m</t>
  </si>
  <si>
    <t>3.7.8.1.3.1</t>
  </si>
  <si>
    <t>3.7.8.1.3.2</t>
  </si>
  <si>
    <t>3.7.8.1.3.3</t>
  </si>
  <si>
    <t>3.7.8.1.3.4</t>
  </si>
  <si>
    <t>3.7.8.2</t>
  </si>
  <si>
    <t>Instalación tubo de operación para válvulas entre 80 mm y 200 mm</t>
  </si>
  <si>
    <t xml:space="preserve">3.7.9  </t>
  </si>
  <si>
    <t>Micromedición</t>
  </si>
  <si>
    <t>3.7.9.1</t>
  </si>
  <si>
    <t xml:space="preserve">Registro para medidores de 12.7 mm  (1/2”) </t>
  </si>
  <si>
    <t xml:space="preserve">3.7.9.1.1  </t>
  </si>
  <si>
    <t>Cajas construidas en mampostería</t>
  </si>
  <si>
    <t xml:space="preserve">3.7.9.1.2  </t>
  </si>
  <si>
    <t>Cajas prefabricadas de piso (en concreto)</t>
  </si>
  <si>
    <t xml:space="preserve">3.7.9.1.3  </t>
  </si>
  <si>
    <t>Tapas metálicas de hierro dúctil para medidores de acueducto</t>
  </si>
  <si>
    <t xml:space="preserve">3.7.9.1.4  </t>
  </si>
  <si>
    <t>Cajas Metálicas de pared</t>
  </si>
  <si>
    <t xml:space="preserve">3.7.9.2  </t>
  </si>
  <si>
    <t>Registro para medidores de diámetro 19.0 mm (¾”)</t>
  </si>
  <si>
    <t xml:space="preserve">3.7.9.2.1  </t>
  </si>
  <si>
    <t>3.7.9.2.2</t>
  </si>
  <si>
    <t>3.7.9.2.3</t>
  </si>
  <si>
    <t>3.7.9.2.4</t>
  </si>
  <si>
    <t>3.7.9.3</t>
  </si>
  <si>
    <t>Registro para medidores de diámetro de  25.0 mm (1”) a 50.0 mm (2”)</t>
  </si>
  <si>
    <t xml:space="preserve">3.7.9.3.1  </t>
  </si>
  <si>
    <t>3.7.9.3.2</t>
  </si>
  <si>
    <t>3.7.9.3.3</t>
  </si>
  <si>
    <t>3.7.9.3.4</t>
  </si>
  <si>
    <t>3.7.10.</t>
  </si>
  <si>
    <t xml:space="preserve">Cajas para elementos de control perdida </t>
  </si>
  <si>
    <t>3.7.10.1</t>
  </si>
  <si>
    <t>Filtro instalado en tubería de 90 mm o 110 mm con h &lt;= 1.50 m</t>
  </si>
  <si>
    <t>3.7.10.2</t>
  </si>
  <si>
    <t>Filtro instalado en tubería de 90 mm o 110 mm con  1.50 m &lt; h &lt;= 2.50 m</t>
  </si>
  <si>
    <t>3.7.10.3</t>
  </si>
  <si>
    <t>Filtro instalado en tubería de 160 mm o  200 mm con h &lt;= 1.50 m</t>
  </si>
  <si>
    <t>3.7.10.4</t>
  </si>
  <si>
    <t>Filtro instalado en tubería de 160 mm o 200 mm con  1.50 m &lt; h &lt;= 2.50m</t>
  </si>
  <si>
    <t>3.7.10.5</t>
  </si>
  <si>
    <t>Filtro instalado en tubería de 250 mm o 300 mm con h &lt;= 1.50 m</t>
  </si>
  <si>
    <t>3.7.10.6</t>
  </si>
  <si>
    <t>Filtro instalado en tubería de 250 mm o 300 mm con  1.50 m &lt; h &lt;= 2.50 m</t>
  </si>
  <si>
    <t>3.7.10.7</t>
  </si>
  <si>
    <t>Filtro, Macromedidor y Válvula Reguladora instalados en tubería de 90 mm a 110 mm con h &lt;= 1.50 m</t>
  </si>
  <si>
    <t>3.7.10.8</t>
  </si>
  <si>
    <t>Filtro, Macromedidor y Válvula Reguladora instalados en tubería de 90 mm a 110 mm con  1.50 m &lt;h &lt;= 2.50 m</t>
  </si>
  <si>
    <t>3.7.10.9</t>
  </si>
  <si>
    <t>Filtro, Macromedidor y Válvula Reguladora instalados en tubería de 160 mm a 200 mm con h &lt;= 1.50 m</t>
  </si>
  <si>
    <t>3.7.10.10</t>
  </si>
  <si>
    <t>Filtro, Macromedidor y Válvula Reguladora instalados en tubería de 160 mm a 200 mm con  1.50 m &lt; h &lt;=  2.50 m</t>
  </si>
  <si>
    <t>3.7.10.11</t>
  </si>
  <si>
    <t>Filtro, Macromedidor Hélice Woltman  y Válvula Reguladora instalados en tubería de 250 mm a 300 mm con h &lt;= 1.50 m</t>
  </si>
  <si>
    <t>3.7.10.12</t>
  </si>
  <si>
    <t>Filtro, Macromedidor Hélice Woltman y Válvula Reguladora instalados en tubería de 250 mm a 300 mm con  1.50 m &lt; h &lt;=  2.50 m</t>
  </si>
  <si>
    <t>3.7.10.13</t>
  </si>
  <si>
    <t>Macromedidor Ultrasónico o  Electromagnético instalados en tubería de 200 mm a 450 mm con h &lt;= 1.50 m</t>
  </si>
  <si>
    <t>3.7.10.14</t>
  </si>
  <si>
    <t>Macromedidor Ultrasónico o Electromagnético instalados en tubería de 200 mm a 450 mm con  1.50 m &lt; h &lt; 2.50 m</t>
  </si>
  <si>
    <t>3.7.10.15</t>
  </si>
  <si>
    <t xml:space="preserve">Macromedidor Ultrasónico o Electromagnético instalados en tubería de 500 mm a 1200 mm con h &lt;= 2.20m </t>
  </si>
  <si>
    <t>3.7.10.16</t>
  </si>
  <si>
    <t>Macromedidor Ultrasónico o Electromagnético instalados en tubería de 500 mm a 1200 mm con   2.20 m &lt; h &lt; 3.00 m</t>
  </si>
  <si>
    <t>3.7.10.17</t>
  </si>
  <si>
    <t xml:space="preserve">Macromedidor Ultrasónico o Electromagnético instalados en tubería de 1300 mm a 2000 mm con h &lt;= 2.30 m </t>
  </si>
  <si>
    <t>3.7.10.18</t>
  </si>
  <si>
    <t>Macromedidor Ultrasónico o Electromagnético instalados en tubería de 1300 mm a 2000 mm con   2.30 m &lt; h &lt;  3.00 m</t>
  </si>
  <si>
    <t>3.7.10.19</t>
  </si>
  <si>
    <t>Filtro y Válvula Reguladora instalados en tubería de 90 mm a 110 mm con h &lt;= 1.50 m</t>
  </si>
  <si>
    <t>3.7.10.20</t>
  </si>
  <si>
    <t>Filtro y Válvula Reguladora instalados en tubería de 90mm a 110 mm con  1.50 m &lt;h &lt;=  2.50 m</t>
  </si>
  <si>
    <t>3.7.10.21</t>
  </si>
  <si>
    <t>Filtro y Válvula Reguladora instalados en tubería de 160mm a 200 mm con h &lt;= 1.50 m</t>
  </si>
  <si>
    <t>3.7.10.22</t>
  </si>
  <si>
    <t>Filtro y Válvula Reguladora instalados en tubería de 160 mm a 200 mm con  1.50m &lt; h &lt;= 2.50 m</t>
  </si>
  <si>
    <t>3.7.10.23</t>
  </si>
  <si>
    <t>Filtro y Válvula Reguladora instalados en tubería de 250 mm a 300 mm con h &lt;= 1.50 m</t>
  </si>
  <si>
    <t>3.7.10.24</t>
  </si>
  <si>
    <t>Filtro y Válvula Reguladora instalados en tubería de 250 mm a 300 mm y  1.50 m &lt;h &lt;= 2.50 m</t>
  </si>
  <si>
    <t>3.7.10.25</t>
  </si>
  <si>
    <t>Filtro, Macromedidor Hélice Woltman en tubería de 90 mm a 110 mm y h&lt;=1.50 m</t>
  </si>
  <si>
    <t>3.7.10.26</t>
  </si>
  <si>
    <t>Filtro,   Macromedidor Hélice Woltman en tubería de 90 mm a 110 mm y  1.50  m&lt;h&lt;=2.50 m</t>
  </si>
  <si>
    <t>3.7.10.27</t>
  </si>
  <si>
    <t>Filtro, Macromedidor Hélice Woltman en tubería de 160 mm a 200 mm y h&lt;=1.50 m</t>
  </si>
  <si>
    <t>3.7.10.28</t>
  </si>
  <si>
    <t>Filtro,   Macromedidor Hélice Woltman en tubería de 160 mm a 200 mm y  1.50  m&lt;h&lt;=2.50 m</t>
  </si>
  <si>
    <t>3.7.10.29</t>
  </si>
  <si>
    <t>Filtro, Macromedidor Electromagnético o Ultrasónico y Válvula Reguladora en tubería de 90 a 110 mm y h&lt;=1.50 m</t>
  </si>
  <si>
    <t>3.7.10.30</t>
  </si>
  <si>
    <t>Filtro, Macromedidor Electromagnético o Ultrasónico y Válvula Reguladora en tubería de 90 a 110 mm y 1.50 m &lt;h&lt;=2.5 m</t>
  </si>
  <si>
    <t>3.7.10.31</t>
  </si>
  <si>
    <t>Filtro, Macromedidor Electromagnético o Ultrasónico y Válvula Reguladora en tubería de 160 a 200 mm y h&lt;=1.50 m</t>
  </si>
  <si>
    <t>3.7.10.32</t>
  </si>
  <si>
    <t>Filtro, Macromedidor Electromagnético o Ultrasónico y Válvula Reguladora en tubería de 160 a 200 mm y 1.50 m &lt;h&lt;=2.50 m</t>
  </si>
  <si>
    <t>3.7.10.33</t>
  </si>
  <si>
    <t>Filtro y Macromedidor Hélice Woltman en tubería de 250 mm y h&lt;=1.50 m</t>
  </si>
  <si>
    <t>3.7.10.34</t>
  </si>
  <si>
    <t>Filtro  y  Macromedidor  Hélice  Woltman  en  tubería  de   250 mm y 1.50 m &lt;h&lt;=2.50 m</t>
  </si>
  <si>
    <t>3.7.10.35</t>
  </si>
  <si>
    <t>Filtro y Macromedidor Hélice Woltman en tubería de 300 mm y h&lt;=1.50 m</t>
  </si>
  <si>
    <t>3.7.10.36</t>
  </si>
  <si>
    <t>Filtro y Macromedidor Hélice Woltman en tubería de 300 mm y 1.50 m &lt;h&lt;=2.50 m</t>
  </si>
  <si>
    <t>3.7.10.37</t>
  </si>
  <si>
    <t>Macromedidor Electromagnético o Ultrasónico y Válvula Reguladora en tubería de 250 mm y h&lt;= 1.50 m</t>
  </si>
  <si>
    <t>3.7.10.38</t>
  </si>
  <si>
    <t>Macromedidor Electromagnético o Ultrasónico y Válvula Reguladora en tubería de 250 mm y 1.50 m &lt;h&lt;=2.50 m</t>
  </si>
  <si>
    <t>3.7.10.39</t>
  </si>
  <si>
    <t>Macromedidor Electromagnético o Ultrasónico y Válvula Reguladora en tubería de 300 mm y h&lt;= 1.50 m</t>
  </si>
  <si>
    <t>3.7.10.40</t>
  </si>
  <si>
    <t>Macromedidor Electromagnético o Ultrasónico y Válvula Reguladora en tubería de 300 mm y 1.50 m &lt;h&lt;=2.50 m</t>
  </si>
  <si>
    <t>3.7.11</t>
  </si>
  <si>
    <t>Instalación de tapa y aro de 600 mm (24”) en losa existente</t>
  </si>
  <si>
    <t>3.7.12</t>
  </si>
  <si>
    <t>Concreto Para Anclajes</t>
  </si>
  <si>
    <t>3.7.12.1</t>
  </si>
  <si>
    <t>Concreto para anclajes de 17,5 Mpa (2500 psi)</t>
  </si>
  <si>
    <t>3.7.12.2</t>
  </si>
  <si>
    <t>Concreto para anclajes de 21,0 Mpa (3000 psi)</t>
  </si>
  <si>
    <t>3.7.13</t>
  </si>
  <si>
    <t>Camisa en tubería de acero al carbono para cruces de arroyos. Tubería de segunda</t>
  </si>
  <si>
    <t xml:space="preserve">3.7.13.1 </t>
  </si>
  <si>
    <t>Camisa en tubería de acero al carbono (de segunda) para cruce de arroyo con tuberías de polietileno.</t>
  </si>
  <si>
    <t xml:space="preserve">3.7.13.1.1 </t>
  </si>
  <si>
    <t>Camisa de acero para tubería de polietileno de 90 mm.</t>
  </si>
  <si>
    <t xml:space="preserve">3.7.13.1.2 </t>
  </si>
  <si>
    <t>Camisa de acero para tubería de polietileno de 110 mm.</t>
  </si>
  <si>
    <t xml:space="preserve">3.7.13.1.3 </t>
  </si>
  <si>
    <t>Camisa de acero para tubería de polietileno de 160 mm.</t>
  </si>
  <si>
    <t xml:space="preserve">3.7.13.1.4 </t>
  </si>
  <si>
    <t>Camisa de acero para tubería de polietileno de 200 mm.</t>
  </si>
  <si>
    <t xml:space="preserve">3.7.13.2 </t>
  </si>
  <si>
    <t>Camisa en tubería de acero al carbono (de segunda) para cruce de arroyo con tuberías de hierro dúctil (HD).</t>
  </si>
  <si>
    <t xml:space="preserve">3.7.13.2.1 </t>
  </si>
  <si>
    <t>Camisa de acero para tubería de hierro dúctil de 250 mm.</t>
  </si>
  <si>
    <t xml:space="preserve">3.7.13.2.2 </t>
  </si>
  <si>
    <t>Camisa de acero para tubería de hierro dúctil de 300 mm.</t>
  </si>
  <si>
    <t xml:space="preserve">3.7.13.2.3 </t>
  </si>
  <si>
    <t>Camisa de acero para tubería de hierro dúctil de 350 mm.</t>
  </si>
  <si>
    <t>3.7.13.2.4</t>
  </si>
  <si>
    <t>Camisa de acero para tubería de hierro dúctil de 400 mm.</t>
  </si>
  <si>
    <t xml:space="preserve">3.7.13.2.5 </t>
  </si>
  <si>
    <t>Camisa de acero para tubería de hierro dúctil de 450 mm.</t>
  </si>
  <si>
    <t>3.7.13.2.6</t>
  </si>
  <si>
    <t>Camisa de acero para tubería de hierro dúctil de 500 mm.</t>
  </si>
  <si>
    <t xml:space="preserve">3.7.13.2.7 </t>
  </si>
  <si>
    <t xml:space="preserve">Camisa de acero para tubería de hierro dúctil de 600 mm. </t>
  </si>
  <si>
    <t>3.7.14</t>
  </si>
  <si>
    <t>Estructuras para pasos aéreos de tuberías de acueducto</t>
  </si>
  <si>
    <t>3.7.14.1</t>
  </si>
  <si>
    <t>Camisa de acero para pasos aéreos de tuberías de polietileno</t>
  </si>
  <si>
    <t>3.7.14.1.1</t>
  </si>
  <si>
    <t>Camisa de acero de 160 mm para tubería de polietileno de 90  mm a 110 mm</t>
  </si>
  <si>
    <t>3.7.14.1.2</t>
  </si>
  <si>
    <t>Camisa de acero de 250 mm para tubería de polietileno de 160  mm a 200 mm</t>
  </si>
  <si>
    <t>3.7.14.2</t>
  </si>
  <si>
    <t>Pasos aéreos de tuberías de hierro dúctil y elementos bridados</t>
  </si>
  <si>
    <t>3.7.14.2.1</t>
  </si>
  <si>
    <t>Con tuberías y elementos bridados de hierro dúctil para diámetro de 250 mm</t>
  </si>
  <si>
    <t>3.7.14.2.2</t>
  </si>
  <si>
    <t>Con tuberías y elementos bridados de hierro dúctil para diámetro de 300 mm</t>
  </si>
  <si>
    <t>3.7.14.2.3</t>
  </si>
  <si>
    <t>Con tuberías y elementos bridados de hierro dúctil para diámetro de 350 mm</t>
  </si>
  <si>
    <t>3.7.14.2.4</t>
  </si>
  <si>
    <t>Con tuberías y elementos bridados de hierro dúctil para diámetro de 400 mm</t>
  </si>
  <si>
    <t>3.7.14.2.5</t>
  </si>
  <si>
    <t>Con tuberías y elementos bridados de hierro dúctil para diámetro de 450 mm</t>
  </si>
  <si>
    <t>3.7.14.2.6</t>
  </si>
  <si>
    <t>Con tuberías y elementos bridados de hierro dúctil para diámetro de 500 mm</t>
  </si>
  <si>
    <t>3.7.14.2.7</t>
  </si>
  <si>
    <t>Con tuberías y elementos bridados de hierro dúctil para diámetro de 600 mm</t>
  </si>
  <si>
    <t>3.7.14.3</t>
  </si>
  <si>
    <t>Camisas de acero más fijación para pasos aéreos de tuberías de polietileno</t>
  </si>
  <si>
    <t>3.7.14.3.1</t>
  </si>
  <si>
    <t>Camisa de acero de 160 mm más fijación para tuberías de polietileno de 90 mm a 110 mm</t>
  </si>
  <si>
    <t>3.7.14.3.2</t>
  </si>
  <si>
    <t>Camisa de acero de 250 mm más fijación para tuberías de polietileno de 160 mm a 200 mm</t>
  </si>
  <si>
    <t>3.7.14.4</t>
  </si>
  <si>
    <t>Pasos aéreos de tuberías de hierro dúctil y elementos bridados. Incluye fijaciones</t>
  </si>
  <si>
    <t>3.7.14.4.1</t>
  </si>
  <si>
    <t>Con tuberías y elementos bridados de hierro dúctil más fijación para diámetro de 250 mm</t>
  </si>
  <si>
    <t>3.7.14.4.2</t>
  </si>
  <si>
    <t>Con tuberías y elementos bridados de hierro dúctil más fijación para diámetro de 300 mm</t>
  </si>
  <si>
    <t>3.7.14.4.3</t>
  </si>
  <si>
    <t>Con tuberías y elementos bridados de hierro dúctil más fijación para diámetro de 350 mm</t>
  </si>
  <si>
    <t>3.7.15</t>
  </si>
  <si>
    <t>Suministro e instalacion de geomembranas y geotextiles</t>
  </si>
  <si>
    <t>3.7.15.1</t>
  </si>
  <si>
    <t>Geomembranas</t>
  </si>
  <si>
    <t>3.7.15.1.1</t>
  </si>
  <si>
    <t xml:space="preserve">Geomembrana con espesor de 0,51 mm (20 mils) </t>
  </si>
  <si>
    <t>3.7.15.1.2</t>
  </si>
  <si>
    <t xml:space="preserve">Geomembrana con espesor de 0,76 mm (30 mils) </t>
  </si>
  <si>
    <t>3.7.15.1.3</t>
  </si>
  <si>
    <t>Geomembrana con espesor de 1,02 mm (40 mils)</t>
  </si>
  <si>
    <t>3.7.15.1.4</t>
  </si>
  <si>
    <t>Geomembrana con espesor de 1,27,mm (50 mils)</t>
  </si>
  <si>
    <t>3.7.15.1.5</t>
  </si>
  <si>
    <t>Geomembrana con espesor de 1,52 mm (60 mils)</t>
  </si>
  <si>
    <t>3.7.15.1.6</t>
  </si>
  <si>
    <t>Geomembrana con espesor de 2,03 mm (80 mils)</t>
  </si>
  <si>
    <t>3.7.15.2</t>
  </si>
  <si>
    <t>Geotextiles</t>
  </si>
  <si>
    <t>3.7.15.2.1</t>
  </si>
  <si>
    <t xml:space="preserve">Geotextil tejido (T) 1050 </t>
  </si>
  <si>
    <t>3.7.15.2.2</t>
  </si>
  <si>
    <t xml:space="preserve">Geotextil tejido (T) 1400 </t>
  </si>
  <si>
    <t>3.7.15.2.3</t>
  </si>
  <si>
    <t>Geotextil tejido (T) 1700</t>
  </si>
  <si>
    <t>3.7.15.2.4</t>
  </si>
  <si>
    <t>Geotextil tejido (T) 2100</t>
  </si>
  <si>
    <t>3.7.15.2.5</t>
  </si>
  <si>
    <t>Geotextil tejido (T) 2400</t>
  </si>
  <si>
    <t>3.7.15.2.6</t>
  </si>
  <si>
    <t>Geotextil tejido (TR) 4000</t>
  </si>
  <si>
    <t>3.7.15.2.7</t>
  </si>
  <si>
    <t>Geotextil no tejido (NT) 1600</t>
  </si>
  <si>
    <t>3.7.15.2.8</t>
  </si>
  <si>
    <t>Geotextil no tejido (NT) 1800</t>
  </si>
  <si>
    <t>3.7.15.2.9</t>
  </si>
  <si>
    <t>Geotextil no tejido (NT) 2000</t>
  </si>
  <si>
    <t>3.7.15.2.10</t>
  </si>
  <si>
    <t>Geotextil no tejido (NT) 3000</t>
  </si>
  <si>
    <t>3.7.15.2.11</t>
  </si>
  <si>
    <t>Geotextil no tejido (NT) 4000</t>
  </si>
  <si>
    <t>3.7.15.2.12</t>
  </si>
  <si>
    <t>Geotextil no tejido (NT) 5000</t>
  </si>
  <si>
    <t>3.7.15.2.13</t>
  </si>
  <si>
    <t>Geotextil no tejido (NT) 6000</t>
  </si>
  <si>
    <t>3.7.15.2.14</t>
  </si>
  <si>
    <t>Geotextil no tejido (NT) 7000</t>
  </si>
  <si>
    <t>3.7.15.2.15</t>
  </si>
  <si>
    <t>Geotextil no tejido (Repav) 400</t>
  </si>
  <si>
    <t>3.7.15.2.16</t>
  </si>
  <si>
    <t xml:space="preserve">Geotextil no tejido (Repav) 450 </t>
  </si>
  <si>
    <t>3.7.15.2.17</t>
  </si>
  <si>
    <t>Revegetación con Landlok TRM 450 - Manto Permanente</t>
  </si>
  <si>
    <t>3.7.15.2.18</t>
  </si>
  <si>
    <t>Refuerzo base de terraplenes con geotextil</t>
  </si>
  <si>
    <t>3.7.16</t>
  </si>
  <si>
    <t>Obras de protección</t>
  </si>
  <si>
    <t>3.7.16.1</t>
  </si>
  <si>
    <t>Construcción de gaviones</t>
  </si>
  <si>
    <t>3.7.16.2</t>
  </si>
  <si>
    <t>Construcción de enrocado</t>
  </si>
  <si>
    <t>3.7.16.2.1</t>
  </si>
  <si>
    <t>Construcción de enrocado e=0,20</t>
  </si>
  <si>
    <t>3.7.16.2.2</t>
  </si>
  <si>
    <t>Construcción de enrocado e=0,25</t>
  </si>
  <si>
    <t>3.7.16.3</t>
  </si>
  <si>
    <t>Muro de contención de concreto ciclópeo f'c = 17,5 Mpa (2500 psi)</t>
  </si>
  <si>
    <t>3.7.16.4</t>
  </si>
  <si>
    <t>Muros De Contención De Suelos Reforzados Con Geotextil.</t>
  </si>
  <si>
    <t>3.7.16.4.1</t>
  </si>
  <si>
    <t>Muros de contención reforzados con geotextil de resistencia a la tensión de  T 1700</t>
  </si>
  <si>
    <t>3.7.16.4.2</t>
  </si>
  <si>
    <t>Muros de contención reforzados con geotextil de resistencia a la tensión de T 2100</t>
  </si>
  <si>
    <t>3.7.16.4.3</t>
  </si>
  <si>
    <t>Muros de contención reforzados con geotextil de resistencia a la tensión de T 2400</t>
  </si>
  <si>
    <t>3.7.16.4.4</t>
  </si>
  <si>
    <t>Muros de contención reforzados con geotextil de resistencia a la tensión de TR 4000</t>
  </si>
  <si>
    <t>3.7.16.5</t>
  </si>
  <si>
    <t>Dique de suelo reforzado con geotextil e  impermeabilizados con geomembrana</t>
  </si>
  <si>
    <t>3.7.16.5.1</t>
  </si>
  <si>
    <t>Diques de suelo reforzados con geotextil de resistencia a la tensión de T 1700 e impermeabilizado con geomembrana de 20 mils</t>
  </si>
  <si>
    <t>3.7.16.5.2</t>
  </si>
  <si>
    <t>Diques de suelo reforzados con geotextil de resistencia a la tensión de T 2100 e impermeabilizado con geomembrana de 20 mils</t>
  </si>
  <si>
    <t>3.7.16.5.3</t>
  </si>
  <si>
    <t>Diques de suelo reforzados con geotextil de resistencia a la tensión de T 2400 e impermeabilizado con geomembrana de 20 mils</t>
  </si>
  <si>
    <t>3.7.16.5.4</t>
  </si>
  <si>
    <t>Diques de suelo reforzados con geotextil de resistencia a la tensión de TR 4000 e impermeabilizado con geomembrana de 20 mils</t>
  </si>
  <si>
    <t>3.7.16.5.5</t>
  </si>
  <si>
    <t>Diques de suelo reforzados con geotextil de resistencia a la tensión de T 1700 e impermeabilizado con geomembrana de 30 mils</t>
  </si>
  <si>
    <t>3.7.16.5.6</t>
  </si>
  <si>
    <t>Diques de suelo reforzados con geotextil de resistencia a la tensión de T 2100 e impermeabilizado con geomembrana de 30 mils</t>
  </si>
  <si>
    <t>3.7.16.5.7</t>
  </si>
  <si>
    <t>Diques de suelo reforzados con geotextil de resistencia a la tensión de T 2400 e impermeabilizado con geomembrana de 30 mils</t>
  </si>
  <si>
    <t>3.7.16.5.8</t>
  </si>
  <si>
    <t>Diques de suelo reforzados con geotextil de resistencia a la tensión de TR 4000 e impermeabilizado con geomembrana de 30 mils</t>
  </si>
  <si>
    <t>3.7.16.5.9</t>
  </si>
  <si>
    <t>Diques de suelo reforzados con geotextil de resistencia a la tensión de T 1700 e impermeabilizado con geomembrana de 40 mils</t>
  </si>
  <si>
    <t>3.7.16.5.10</t>
  </si>
  <si>
    <t>Diques de suelo reforzados con geotextil de resistencia a la tensión de T 2100 e impermeabilizado con geomembrana de 40 mils</t>
  </si>
  <si>
    <t>3.7.16.5.11</t>
  </si>
  <si>
    <t>Diques de suelo reforzados con geotextil de resistencia a la tensión de T 2400 e impermeabilizado con geomembrana de 40 mils</t>
  </si>
  <si>
    <t>3.7.16.5.12</t>
  </si>
  <si>
    <t>Diques de suelo reforzados con geotextil de resistencia a la tensión de TR 4000 e impermeabilizado con geomembrana de 40 mils</t>
  </si>
  <si>
    <t>3.7.16.6</t>
  </si>
  <si>
    <t>Suministro y colocación de material drenante para filtros</t>
  </si>
  <si>
    <t>3.7.16.7</t>
  </si>
  <si>
    <t>Construcción de obras de protección con Bolsacreto</t>
  </si>
  <si>
    <t>3.7.16.8</t>
  </si>
  <si>
    <t>Protección temporal para taludes con mortero reforzado con malla tipo gallinero</t>
  </si>
  <si>
    <t>3.7.16.8.1</t>
  </si>
  <si>
    <t>Protección temporal para taludes con mortero reforzado con malla tipo gallinero e=0,03 m</t>
  </si>
  <si>
    <t>3.7.16.8.2</t>
  </si>
  <si>
    <t>Protección temporal para taludes con mortero reforzado con malla tipo gallinero e=0,05 m</t>
  </si>
  <si>
    <t>3.7.16.9</t>
  </si>
  <si>
    <t>Enrocado con piedras tipo tajamar</t>
  </si>
  <si>
    <t>Instalación de elementos de acueducto</t>
  </si>
  <si>
    <t>3.8.1.1</t>
  </si>
  <si>
    <t>Instalación de válvula de compuerta brida x brida norma ISO PN 10, Incluye el suministro e instalación de tornillería y empaquetadura para el montaje</t>
  </si>
  <si>
    <t>3.8.1.1.1</t>
  </si>
  <si>
    <t>d = 50 mm (2")</t>
  </si>
  <si>
    <t>3.8.1.1.2</t>
  </si>
  <si>
    <t>d = 80 mm (3")</t>
  </si>
  <si>
    <t>3.8.1.1.3</t>
  </si>
  <si>
    <t>d = 100 mm (4")</t>
  </si>
  <si>
    <t>3.8.1.1.4</t>
  </si>
  <si>
    <t>d = 150 mm (6")</t>
  </si>
  <si>
    <t>3.8.1.1.5</t>
  </si>
  <si>
    <t>d = 200 mm (8")</t>
  </si>
  <si>
    <t>3.8.1.1.6</t>
  </si>
  <si>
    <t>d = 250 mm (10")</t>
  </si>
  <si>
    <t>3.8.1.1.7</t>
  </si>
  <si>
    <t>d = 300mm (12")</t>
  </si>
  <si>
    <t>3.8.1.1.8</t>
  </si>
  <si>
    <t>d = 350mm (14")</t>
  </si>
  <si>
    <t>3.8.1.1.9</t>
  </si>
  <si>
    <t>d = 400mm (16")</t>
  </si>
  <si>
    <t>3.8.1.1.10</t>
  </si>
  <si>
    <t>d = 450mm (18")</t>
  </si>
  <si>
    <t>3.8.1.1.11</t>
  </si>
  <si>
    <t>d = 500mm (20")</t>
  </si>
  <si>
    <t>3.8.1.1.12</t>
  </si>
  <si>
    <t>d = 600mm (24")</t>
  </si>
  <si>
    <t>3.8.1.1.13</t>
  </si>
  <si>
    <t>d = 700mm (28")</t>
  </si>
  <si>
    <t>3.8.1.1.14</t>
  </si>
  <si>
    <t>d = 750 mm (30")</t>
  </si>
  <si>
    <t>3.8.1.1.15</t>
  </si>
  <si>
    <t>d = 900 mm (36")</t>
  </si>
  <si>
    <t>3.8.1.1.16</t>
  </si>
  <si>
    <t>d = 1050 mm (42")</t>
  </si>
  <si>
    <t>3.8.1.1.17</t>
  </si>
  <si>
    <t>d = 1200 mm (48")</t>
  </si>
  <si>
    <t>3.8.1.2</t>
  </si>
  <si>
    <t>Instalación de válvula de mariposa  brida x brida norma ISO PN 10, Incluye el suministro e instalación de tornillería y empaquetadura para el montaje</t>
  </si>
  <si>
    <t>3.8.1.2.1</t>
  </si>
  <si>
    <t>3.8.1.2.2</t>
  </si>
  <si>
    <t>d = 300 mm (12")</t>
  </si>
  <si>
    <t>3.8.1.2.3</t>
  </si>
  <si>
    <t>d = 350 mm (14")</t>
  </si>
  <si>
    <t>3.8.1.2.4</t>
  </si>
  <si>
    <t>d = 400 mm (16")</t>
  </si>
  <si>
    <t>3.8.1.2.5</t>
  </si>
  <si>
    <t>d = 450 mm (18")</t>
  </si>
  <si>
    <t>3.8.1.2.6</t>
  </si>
  <si>
    <t>d = 500 mm (20")</t>
  </si>
  <si>
    <t>3.8.1.2.7</t>
  </si>
  <si>
    <t>d = 600 mm (24")</t>
  </si>
  <si>
    <t>3.8.1.2.8</t>
  </si>
  <si>
    <t>3.8.1.2.9</t>
  </si>
  <si>
    <t>3.8.1.2.10</t>
  </si>
  <si>
    <t>3.8.1.2.11</t>
  </si>
  <si>
    <t>3.8.1.2.12</t>
  </si>
  <si>
    <t>d = 1350 mm (54")</t>
  </si>
  <si>
    <t>3.8.1.2.13</t>
  </si>
  <si>
    <t>d = 1500 mm (60")</t>
  </si>
  <si>
    <t>3.8.1.2.14</t>
  </si>
  <si>
    <t>d = 1650 mm (66")</t>
  </si>
  <si>
    <t>3.8.1.2.15</t>
  </si>
  <si>
    <t>d = 1800 mm (72")</t>
  </si>
  <si>
    <t>3.8.1.2.16</t>
  </si>
  <si>
    <t>d = 2000 mm (80")</t>
  </si>
  <si>
    <t>3.8.1.3</t>
  </si>
  <si>
    <t>Instalación de válvula de mariposa  brida x brida norma ISO PN 16, Incluye el suministro e instalación de tornillería y empaquetadura para el montaje</t>
  </si>
  <si>
    <t>3.8.1.3.1</t>
  </si>
  <si>
    <t>3.8.1.3.2</t>
  </si>
  <si>
    <t>3.8.1.3.3</t>
  </si>
  <si>
    <t>3.8.1.3.4</t>
  </si>
  <si>
    <t>3.8.1.3.5</t>
  </si>
  <si>
    <t>3.8.1.3.6</t>
  </si>
  <si>
    <t>3.8.1.3.7</t>
  </si>
  <si>
    <t>3.8.1.3.8</t>
  </si>
  <si>
    <t>3.8.1.3.9</t>
  </si>
  <si>
    <t>3.8.1.3.10</t>
  </si>
  <si>
    <t>3.8.1.3.11</t>
  </si>
  <si>
    <t>3.8.1.3.12</t>
  </si>
  <si>
    <t>3.8.1.3.13</t>
  </si>
  <si>
    <t>3.8.1.3.14</t>
  </si>
  <si>
    <t>3.8.1.3.15</t>
  </si>
  <si>
    <t>3.8.1.3.16</t>
  </si>
  <si>
    <t>3.8.1.4</t>
  </si>
  <si>
    <t>Instalación de hidrante tipo trafico norma ISO PN 10, Incluye el suministro e instalación de tornillería y empaquetadura para el montaje</t>
  </si>
  <si>
    <t>3.8.1.4.1</t>
  </si>
  <si>
    <t>3.8.1.4.2</t>
  </si>
  <si>
    <t>3.8.1.4.3</t>
  </si>
  <si>
    <t>3.8.1.4.4</t>
  </si>
  <si>
    <t>d = 100 mm (4") de piso</t>
  </si>
  <si>
    <t>3.8.1.5</t>
  </si>
  <si>
    <t>Instalación de ventosa de acción simple norma ISO PN 10, Incluye el suministro e instalación de tornillería y empaquetadura para el montaje</t>
  </si>
  <si>
    <t>3.8.1.5.1</t>
  </si>
  <si>
    <t>3.8.1.5.2</t>
  </si>
  <si>
    <t>3.8.1.5.3</t>
  </si>
  <si>
    <t>3.8.1.6</t>
  </si>
  <si>
    <t>Instalación de ventosa de doble acción norma ISO PN 10, Incluye el suministro e instalación de tornillería y empaquetadura para el montaje</t>
  </si>
  <si>
    <t>3.8.1.6.1</t>
  </si>
  <si>
    <t>3.8.1.6.2</t>
  </si>
  <si>
    <t>3.8.1.6.3</t>
  </si>
  <si>
    <t>3.8.1.6.4</t>
  </si>
  <si>
    <t>3.8.1.7</t>
  </si>
  <si>
    <t>Instalación de ventosa de triple acción norma ISO PN 10, Incluye el suministro e instalación de tornillería y empaquetadura para el montaje</t>
  </si>
  <si>
    <t>3.8.1.7.1</t>
  </si>
  <si>
    <t>3.8.1.7.2</t>
  </si>
  <si>
    <t>d = 75 mm (3")</t>
  </si>
  <si>
    <t>3.8.1.7.3</t>
  </si>
  <si>
    <t>3.8.1.8</t>
  </si>
  <si>
    <t>Válvulas de control hidráulico</t>
  </si>
  <si>
    <t>3.8.1.8.1</t>
  </si>
  <si>
    <t>Instalación de válvula reguladora de presión incluye el suministro e Instalación de tornillería empaquetadura y pilotaje norma ISO PN 10</t>
  </si>
  <si>
    <t>3.8.1.8.1.1</t>
  </si>
  <si>
    <t>3.8.1.8.1.2</t>
  </si>
  <si>
    <t>3.8.1.8.1.3</t>
  </si>
  <si>
    <t>3.8.1.8.1.4</t>
  </si>
  <si>
    <t>3.8.1.8.1.5</t>
  </si>
  <si>
    <t>3.8.1.8.1.6</t>
  </si>
  <si>
    <t>3.8.1.8.1.7</t>
  </si>
  <si>
    <t>3.8.1.8.1.8</t>
  </si>
  <si>
    <t>3.8.1.8.1.9</t>
  </si>
  <si>
    <t>3.8.1.8.1.10</t>
  </si>
  <si>
    <t>3.8.1.8.1.11</t>
  </si>
  <si>
    <t>3.8.1.8.2</t>
  </si>
  <si>
    <t xml:space="preserve"> Instalación de válvula reguladora de presión incluye el suministro e Instalación de tornillería empaquetadura y pilotaje  norma ISO PN 16</t>
  </si>
  <si>
    <t>3.8.1.8.2.1</t>
  </si>
  <si>
    <t>3.8.1.8.2.2</t>
  </si>
  <si>
    <t>3.8.1.8.2.3</t>
  </si>
  <si>
    <t>3.8.1.8.2.4</t>
  </si>
  <si>
    <t>3.8.1.8.2.5</t>
  </si>
  <si>
    <t>3.8.1.8.2.6</t>
  </si>
  <si>
    <t>3.8.1.8.2.7</t>
  </si>
  <si>
    <t>3.8.1.8.2.8</t>
  </si>
  <si>
    <t>3.8.1.8.2.9</t>
  </si>
  <si>
    <t>3.8.1.8.2.10</t>
  </si>
  <si>
    <t>3.8.1.8.2.11</t>
  </si>
  <si>
    <t>3.8.1.8.3</t>
  </si>
  <si>
    <t>Instalación de válvula reguladora de caudal incluye el suministro e Instalación de tornillería empaquetadura y pilotaje norma ISO PN 10</t>
  </si>
  <si>
    <t>3.8.1.8.3.1</t>
  </si>
  <si>
    <t>3.8.1.8.3.2</t>
  </si>
  <si>
    <t>3.8.1.8.3.3</t>
  </si>
  <si>
    <t>3.8.1.8.3.4</t>
  </si>
  <si>
    <t>3.8.1.8.3.5</t>
  </si>
  <si>
    <t>3.8.1.8.3.6</t>
  </si>
  <si>
    <t>3.8.1.8.3.7</t>
  </si>
  <si>
    <t>3.8.1.8.3.8</t>
  </si>
  <si>
    <t>3.8.1.8.3.9</t>
  </si>
  <si>
    <t>3.8.1.8.3.10</t>
  </si>
  <si>
    <t>3.8.1.8.3.11</t>
  </si>
  <si>
    <t>3.8.1.8.4</t>
  </si>
  <si>
    <t>Instalación de válvula reguladora de caudal incluye Instalación de tornillería empaquetadura y pilotaje norma ISO PN 16</t>
  </si>
  <si>
    <t>3.8.1.8.4.1</t>
  </si>
  <si>
    <t>3.8.1.8.4.2</t>
  </si>
  <si>
    <t>3.8.1.8.4.3</t>
  </si>
  <si>
    <t>3.8.1.8.4.4</t>
  </si>
  <si>
    <t>3.8.1.8.4.5</t>
  </si>
  <si>
    <t>3.8.1.8.4.6</t>
  </si>
  <si>
    <t>3.8.1.8.4.7</t>
  </si>
  <si>
    <t>3.8.1.8.4.8</t>
  </si>
  <si>
    <t>3.8.1.8.4.9</t>
  </si>
  <si>
    <t>3.8.1.8.4.10</t>
  </si>
  <si>
    <t>3.8.1.8.4.11</t>
  </si>
  <si>
    <t>3.8.1.9</t>
  </si>
  <si>
    <t>Instalación de medidor de hélice Woltman, Incluye el suministro e instalación de tornillería y empaquetadura para el montaje</t>
  </si>
  <si>
    <t>3.8.1.9.1</t>
  </si>
  <si>
    <t>3.8.1.9.2</t>
  </si>
  <si>
    <t>3.8.1.9.3</t>
  </si>
  <si>
    <t>3.8.1.9.4</t>
  </si>
  <si>
    <t>3.8.1.9.5</t>
  </si>
  <si>
    <t>3.8.1.9.6</t>
  </si>
  <si>
    <t>3.8.1.10</t>
  </si>
  <si>
    <t>Instalación de medidor electromagnético de cuerpo entero, Incluye el suministro e instalación de tornillería y empaquetadura para el montaje</t>
  </si>
  <si>
    <t>3.8.1.10.1</t>
  </si>
  <si>
    <t>3.8.1.10.2</t>
  </si>
  <si>
    <t>3.8.1.10.3</t>
  </si>
  <si>
    <t>3.8.1.10.4</t>
  </si>
  <si>
    <t>3.8.1.10.5</t>
  </si>
  <si>
    <t>3.8.1.10.6</t>
  </si>
  <si>
    <t>3.8.1.10.7</t>
  </si>
  <si>
    <t>3.8.1.10.8</t>
  </si>
  <si>
    <t>3.8.1.10.9</t>
  </si>
  <si>
    <t>3.8.1.10.10</t>
  </si>
  <si>
    <t>3.8.1.10.11</t>
  </si>
  <si>
    <t>3.8.1.10.12</t>
  </si>
  <si>
    <t>3.8.1.10.13</t>
  </si>
  <si>
    <t>d = 700 mm (28")</t>
  </si>
  <si>
    <t>3.8.1.11</t>
  </si>
  <si>
    <t>Instalación de medidor ultrasónico, Incluye el suministro e instalación de tornillería y empaquetadura para el montaje</t>
  </si>
  <si>
    <t>3.8.1.11.1</t>
  </si>
  <si>
    <t>3.8.1.11.2</t>
  </si>
  <si>
    <t>3.8.1.11.3</t>
  </si>
  <si>
    <t>3.8.1.11.4</t>
  </si>
  <si>
    <t>3.8.1.11.5</t>
  </si>
  <si>
    <t>3.8.1.11.6</t>
  </si>
  <si>
    <t>3.8.1.12</t>
  </si>
  <si>
    <t>Instalación de medidor electromagnético de inserción, Incluye el suministro e instalación de tornillería y empaquetadura para el montaje</t>
  </si>
  <si>
    <t>3.8.1.12.1</t>
  </si>
  <si>
    <t>3.8.1.12.2</t>
  </si>
  <si>
    <t>3.8.1.12.3</t>
  </si>
  <si>
    <t>3.8.1.12.4</t>
  </si>
  <si>
    <t>3.8.1.12.5</t>
  </si>
  <si>
    <t>3.8.1.12.6</t>
  </si>
  <si>
    <t>3.8.1.12.7</t>
  </si>
  <si>
    <t>3.8.1.12.8</t>
  </si>
  <si>
    <t>3.8.1.12.9</t>
  </si>
  <si>
    <t>3.8.1.12.10</t>
  </si>
  <si>
    <t>3.8.1.13</t>
  </si>
  <si>
    <t>Instalación de filtro en Yee. Brida x Brida  Norma ISO PN 10, Incluye el suministro e instalación de tornillería y empaquetadura para el montaje</t>
  </si>
  <si>
    <t>3.8.1.13.1</t>
  </si>
  <si>
    <t>d = 90 mm (3")</t>
  </si>
  <si>
    <t>3.8.1.13.2</t>
  </si>
  <si>
    <t>d = 110 mm (4")</t>
  </si>
  <si>
    <t>3.8.1.13.3</t>
  </si>
  <si>
    <t>d = 160 mm (6")</t>
  </si>
  <si>
    <t>3.8.1.13.4</t>
  </si>
  <si>
    <t>3.8.1.13.5</t>
  </si>
  <si>
    <t>3.8.1.13.6</t>
  </si>
  <si>
    <t>3.8.1.14</t>
  </si>
  <si>
    <t>Instalación de filtro en Yee. Brida x Brida  Norma ISO PN 16, Incluye el suministro e instalación de tornillería y empaquetadura para el montaje</t>
  </si>
  <si>
    <t>3.8.1.14.1</t>
  </si>
  <si>
    <t>3.8.1.14.2</t>
  </si>
  <si>
    <t>3.8.1.14.3</t>
  </si>
  <si>
    <t>3.8.1.14.4</t>
  </si>
  <si>
    <t>3.8.1.14.5</t>
  </si>
  <si>
    <t>3.8.1.14.6</t>
  </si>
  <si>
    <t>3.8.1.15</t>
  </si>
  <si>
    <t>Instalación de brida ciega HD norma ISO PN 16, Incluye el suministro e instalación de tornillería y empaquetadura para el montaje</t>
  </si>
  <si>
    <t>3.8.1.15.1</t>
  </si>
  <si>
    <t>3.8.1.15.2</t>
  </si>
  <si>
    <t>3.8.1.15.3</t>
  </si>
  <si>
    <t>3.8.1.15.4</t>
  </si>
  <si>
    <t>3.8.1.15.5</t>
  </si>
  <si>
    <t>3.8.1.15.6</t>
  </si>
  <si>
    <t>3.8.1.15.7</t>
  </si>
  <si>
    <t>3.8.1.15.8</t>
  </si>
  <si>
    <t>3.8.1.15.9</t>
  </si>
  <si>
    <t>3.8.1.15.10</t>
  </si>
  <si>
    <t>3.8.1.15.11</t>
  </si>
  <si>
    <t>3.8.1.15.12</t>
  </si>
  <si>
    <t>3.8.1.15.13</t>
  </si>
  <si>
    <t>3.8.1.15.14</t>
  </si>
  <si>
    <t>3.8.1.15.15</t>
  </si>
  <si>
    <t>3.8.1.15.16</t>
  </si>
  <si>
    <t>3.8.1.15.17</t>
  </si>
  <si>
    <t>3.8.1.15.18</t>
  </si>
  <si>
    <t>3.8.1.15.19</t>
  </si>
  <si>
    <t>3.8.1.15.20</t>
  </si>
  <si>
    <t>3.8.1.15.21</t>
  </si>
  <si>
    <t>3.8.1.15.22</t>
  </si>
  <si>
    <t>3.8.1.15.23</t>
  </si>
  <si>
    <t>3.8.1.16</t>
  </si>
  <si>
    <t>Instalación de brida ciega de acero norma ISO PN 16, Incluye el suministro e instalación de tornillería y empaquetadura para el montaje</t>
  </si>
  <si>
    <t>3.8.1.16.1</t>
  </si>
  <si>
    <t>3.8.1.16.2</t>
  </si>
  <si>
    <t>3.8.1.16.3</t>
  </si>
  <si>
    <t>3.8.1.16.4</t>
  </si>
  <si>
    <t>3.8.1.16.5</t>
  </si>
  <si>
    <t>3.8.1.16.6</t>
  </si>
  <si>
    <t>3.8.1.16.7</t>
  </si>
  <si>
    <t>3.8.1.16.8</t>
  </si>
  <si>
    <t>3.8.1.16.9</t>
  </si>
  <si>
    <t>3.8.1.16.10</t>
  </si>
  <si>
    <t>3.8.1.16.11</t>
  </si>
  <si>
    <t>3.8.1.16.12</t>
  </si>
  <si>
    <t>3.8.1.16.13</t>
  </si>
  <si>
    <t>3.8.1.16.14</t>
  </si>
  <si>
    <t>3.8.1.16.15</t>
  </si>
  <si>
    <t>3.8.1.16.16</t>
  </si>
  <si>
    <t>3.8.1.16.17</t>
  </si>
  <si>
    <t>3.8.1.16.18</t>
  </si>
  <si>
    <t>3.8.1.16.19</t>
  </si>
  <si>
    <t>3.8.1.16.20</t>
  </si>
  <si>
    <t>3.8.1.17</t>
  </si>
  <si>
    <t>Instalación de pasamuro HD. Norma ISO. PN 10, longitud según planos, Incluye el suministro e instalación de tornillería y empaquetadura para el montaje</t>
  </si>
  <si>
    <t>3.8.1.17.1</t>
  </si>
  <si>
    <t>d = 250 mm (10”)</t>
  </si>
  <si>
    <t>3.8.1.17.2</t>
  </si>
  <si>
    <t>d = 300 mm (12”)</t>
  </si>
  <si>
    <t>3.8.1.17.3</t>
  </si>
  <si>
    <t>d = 350 mm (14”)</t>
  </si>
  <si>
    <t>3.8.1.17.4</t>
  </si>
  <si>
    <t>d = 400 mm (16”)</t>
  </si>
  <si>
    <t>3.8.1.17.5</t>
  </si>
  <si>
    <t>d = 450 mm (18”)</t>
  </si>
  <si>
    <t>3.8.1.17.6</t>
  </si>
  <si>
    <t>d = 500 mm (20”)</t>
  </si>
  <si>
    <t>3.8.1.17.7</t>
  </si>
  <si>
    <t>d = 600 mm (24”)</t>
  </si>
  <si>
    <t>3.8.1.17.8</t>
  </si>
  <si>
    <t>d = 750 mm (30”)</t>
  </si>
  <si>
    <t>3.8.1.17.9</t>
  </si>
  <si>
    <t>d = 900 mm (36”)</t>
  </si>
  <si>
    <t>3.8.1.17.10</t>
  </si>
  <si>
    <t>d = 1050 mm (42)</t>
  </si>
  <si>
    <t>3.8.1.17.11</t>
  </si>
  <si>
    <t>d = 1200 mm (48”)</t>
  </si>
  <si>
    <t>3.8.1.17.12</t>
  </si>
  <si>
    <t>d = 1350 mm (54”)</t>
  </si>
  <si>
    <t>3.8.1.17.13</t>
  </si>
  <si>
    <t>d = 1500 mm (60”)</t>
  </si>
  <si>
    <t>3.8.1.17.14</t>
  </si>
  <si>
    <t>d = 1650 mm (66”)</t>
  </si>
  <si>
    <t>3.8.1.17.15</t>
  </si>
  <si>
    <t>d = 1800 mm (72”)</t>
  </si>
  <si>
    <t>3.8.1.17.16</t>
  </si>
  <si>
    <t>d = 2000 mm (80”)</t>
  </si>
  <si>
    <t>3.8.1.17.17</t>
  </si>
  <si>
    <t>3.8.1.17.18</t>
  </si>
  <si>
    <t>3.8.1.17.19</t>
  </si>
  <si>
    <t>3.8.1.17.20</t>
  </si>
  <si>
    <t>3.8.1.18</t>
  </si>
  <si>
    <t>Instalación de pasamuro HD. Norma ISO. PN 16, longitud según planos, Incluye el suministro e instalación de tornillería y empaquetadura para el montaje</t>
  </si>
  <si>
    <t>3.8.1.18.1</t>
  </si>
  <si>
    <t>3.8.1.18.2</t>
  </si>
  <si>
    <t>3.8.1.18.3</t>
  </si>
  <si>
    <t>3.8.1.18.4</t>
  </si>
  <si>
    <t>3.8.1.18.5</t>
  </si>
  <si>
    <t>3.8.1.18.6</t>
  </si>
  <si>
    <t>3.8.1.18.7</t>
  </si>
  <si>
    <t>3.8.1.18.8</t>
  </si>
  <si>
    <t>3.8.1.18.9</t>
  </si>
  <si>
    <t>3.8.1.18.10</t>
  </si>
  <si>
    <t>3.8.1.18.11</t>
  </si>
  <si>
    <t>3.8.1.18.12</t>
  </si>
  <si>
    <t>3.8.1.18.13</t>
  </si>
  <si>
    <t>3.8.1.18.14</t>
  </si>
  <si>
    <t>3.8.1.18.15</t>
  </si>
  <si>
    <t>3.8.1.18.16</t>
  </si>
  <si>
    <t>3.8.1.18.17</t>
  </si>
  <si>
    <t>3.8.1.18.18</t>
  </si>
  <si>
    <t>3.8.1.18.19</t>
  </si>
  <si>
    <t>3.8.1.18.20</t>
  </si>
  <si>
    <t>3.8.1.19</t>
  </si>
  <si>
    <t>Instalación de Tee Partida A Inox. Norma ISO. PN 16</t>
  </si>
  <si>
    <t>3.8.1.19.1</t>
  </si>
  <si>
    <t>Tee partida 400 x 90 mm</t>
  </si>
  <si>
    <t>3.8.1.19.2</t>
  </si>
  <si>
    <t>Tee partida 400 x 110 mm</t>
  </si>
  <si>
    <t>3.8.1.19.3</t>
  </si>
  <si>
    <t>Tee partida 400 x 160 mm</t>
  </si>
  <si>
    <t>3.8.1.19.4</t>
  </si>
  <si>
    <t>Tee partida 600 x 90 mm</t>
  </si>
  <si>
    <t>3.8.1.19.5</t>
  </si>
  <si>
    <t>Tee partida 600 x 110 mm</t>
  </si>
  <si>
    <t>3.8.1.19.6</t>
  </si>
  <si>
    <t>Tee partida 600 x 160 mm</t>
  </si>
  <si>
    <t>3.8.1.19.7</t>
  </si>
  <si>
    <t>Tee partida 600 x 200 mm</t>
  </si>
  <si>
    <t>3.8.1.20</t>
  </si>
  <si>
    <t>Instalación de tee y cruces bridados en HD</t>
  </si>
  <si>
    <t>3.8.1.20.1</t>
  </si>
  <si>
    <t>3.8.1.20.2</t>
  </si>
  <si>
    <t>3.8.1.20.3</t>
  </si>
  <si>
    <t>3.8.1.20.4</t>
  </si>
  <si>
    <t>3.8.1.20.5</t>
  </si>
  <si>
    <t>3.8.1.20.6</t>
  </si>
  <si>
    <t>3.8.1.20.7</t>
  </si>
  <si>
    <t>3.8.1.20.8</t>
  </si>
  <si>
    <t>3.8.2</t>
  </si>
  <si>
    <t>Elementos de acueducto y/o alcantarillado</t>
  </si>
  <si>
    <t>3.8.2.1</t>
  </si>
  <si>
    <t>Pozos de inspección de concreto prefabricado</t>
  </si>
  <si>
    <t>3.8.2.2</t>
  </si>
  <si>
    <t>Instalación de válvulas antirreflujo, Incluye el suministro e instalación de tornillería y empaquetadura para el montaje</t>
  </si>
  <si>
    <t>3.8.2.2.1</t>
  </si>
  <si>
    <t>Instalación de válvulas planas</t>
  </si>
  <si>
    <t>3.8.2.2.1.1</t>
  </si>
  <si>
    <t>Válvula plana Ø 100 mm (4”)</t>
  </si>
  <si>
    <t>3.8.2.2.1.2</t>
  </si>
  <si>
    <t>Válvula plana Ø 150 mm (6”)</t>
  </si>
  <si>
    <t>3.8.2.2.1.3</t>
  </si>
  <si>
    <t>Válvula plana Ø 200 mm (8”)</t>
  </si>
  <si>
    <t>3.8.2.2.2</t>
  </si>
  <si>
    <t>Instalación de válvulas para fondo de caja</t>
  </si>
  <si>
    <t>3.8.2.2.2.1</t>
  </si>
  <si>
    <t>Válvula para fondo de caja Ø 150 mm (6”)</t>
  </si>
  <si>
    <t>3.8.2.2.2.2</t>
  </si>
  <si>
    <t>Válvula para fondo de caja Ø 200 mm (8”)</t>
  </si>
  <si>
    <t>3.8.2.2.3</t>
  </si>
  <si>
    <t>Instalación de conjunto obturador</t>
  </si>
  <si>
    <t>3.8.2.2.3.1</t>
  </si>
  <si>
    <t>Conjunto obturador Ø 250 mm (10”)</t>
  </si>
  <si>
    <t>3.8.2.2.3.2</t>
  </si>
  <si>
    <t>Conjunto obturador Ø 300 mm (12”)</t>
  </si>
  <si>
    <t>3.8.2.2.4</t>
  </si>
  <si>
    <t>Instalación de válvulas planas combinadas con bomba eyectora</t>
  </si>
  <si>
    <t>3.8.2.2.4.1</t>
  </si>
  <si>
    <t>Válvula plana con bomba eyectora Ø 100 mm (4”)</t>
  </si>
  <si>
    <t>3.8.2.2.4.2</t>
  </si>
  <si>
    <t>Válvula plana con bomba eyectora Ø 150 mm (6”)</t>
  </si>
  <si>
    <t>3.8.2.2.4.3</t>
  </si>
  <si>
    <t>Válvula plana con bomba eyectora Ø 200 mm (8”)</t>
  </si>
  <si>
    <t>3.8.2.3.2</t>
  </si>
  <si>
    <t>Instalación de Válvulas de Guillotina</t>
  </si>
  <si>
    <t>3.8.2.3.2.1</t>
  </si>
  <si>
    <t>Válvula de guillotina Ø 50 mm</t>
  </si>
  <si>
    <t>3.8.2.3.2.2</t>
  </si>
  <si>
    <t>Válvula de guillotina Ø 65 mm</t>
  </si>
  <si>
    <t>3.8.2.3.2.3</t>
  </si>
  <si>
    <t>Válvula de guillotina Ø 80 mm</t>
  </si>
  <si>
    <t>3.8.2.3.2.4</t>
  </si>
  <si>
    <t>Válvula de guillotina Ø 100 mm</t>
  </si>
  <si>
    <t>3.8.2.3.2.5</t>
  </si>
  <si>
    <t>Válvula de guillotina Ø 125 mm</t>
  </si>
  <si>
    <t>3.8.2.3.2.6</t>
  </si>
  <si>
    <t>Válvula de guillotina Ø 150 mm</t>
  </si>
  <si>
    <t>3.8.2.3.2.7</t>
  </si>
  <si>
    <t>Válvula de guillotina Ø 200 mm</t>
  </si>
  <si>
    <t>3.8.2.3.2.8</t>
  </si>
  <si>
    <t>Válvula de guillotina Ø 250 mm</t>
  </si>
  <si>
    <t>3.8.2.3.2.9</t>
  </si>
  <si>
    <t>Válvula de guillotina Ø 300 mm</t>
  </si>
  <si>
    <t>3.8.2.3.2.10</t>
  </si>
  <si>
    <t>Válvula de guillotina Ø 350 mm</t>
  </si>
  <si>
    <t>3.8.2.3.2.11</t>
  </si>
  <si>
    <t>Válvula de guillotina Ø 400 mm</t>
  </si>
  <si>
    <t>3.8.2.4</t>
  </si>
  <si>
    <t>Instalación de compuertas, Incluye el suministro e instalación de tornillería y empaquetadura para el montaje</t>
  </si>
  <si>
    <t>3.8.2.4.1</t>
  </si>
  <si>
    <t>Compuerta lateral deslizante</t>
  </si>
  <si>
    <t>3.8.2.4.1.1</t>
  </si>
  <si>
    <t>Ø 100 mm (4”)</t>
  </si>
  <si>
    <t>3.8.2.4.1.2</t>
  </si>
  <si>
    <t>Ø 150 mm (6”)</t>
  </si>
  <si>
    <t>3.8.2.4.1.3</t>
  </si>
  <si>
    <t>Ø 200 mm (8”)</t>
  </si>
  <si>
    <t>3.9.2.4.1.4</t>
  </si>
  <si>
    <t>Ø 250 mm (10”)</t>
  </si>
  <si>
    <t>3.8.2.4.1.5</t>
  </si>
  <si>
    <t>Ø 300 mm (12”)</t>
  </si>
  <si>
    <t>3.8.2.4.1.6</t>
  </si>
  <si>
    <t>Ø 350 mm (14”)</t>
  </si>
  <si>
    <t>3.8.2.4.1.7</t>
  </si>
  <si>
    <t>Ø 400 mm (16”)</t>
  </si>
  <si>
    <t>3.8.2.4.1.8</t>
  </si>
  <si>
    <t>Ø 450 mm (18”)</t>
  </si>
  <si>
    <t>3.8.2.4.1.9</t>
  </si>
  <si>
    <t>Ø 500 mm (20”)</t>
  </si>
  <si>
    <t>3.8.2.4.1.10</t>
  </si>
  <si>
    <t>Ø 600 mm (24”)</t>
  </si>
  <si>
    <t>3.8.2.4.2</t>
  </si>
  <si>
    <t>Compuerta lateral positivo negativa.</t>
  </si>
  <si>
    <t>3.8.2.4.2.1</t>
  </si>
  <si>
    <t>De cuerpo circular</t>
  </si>
  <si>
    <t>3.8.2.4.2.1.1</t>
  </si>
  <si>
    <t>3.8.2.4.2.1.2</t>
  </si>
  <si>
    <t>3.8.2.4.2.1.3</t>
  </si>
  <si>
    <t>3.8.2.4.2.1.4</t>
  </si>
  <si>
    <t>3.8.2.4.2.1.5</t>
  </si>
  <si>
    <t>3.8.2.4.2.1.6</t>
  </si>
  <si>
    <t>3.8.2.4.2.1.7</t>
  </si>
  <si>
    <t>3.8.2.4.2.1.8</t>
  </si>
  <si>
    <t>3.8.2.4.2.1.9</t>
  </si>
  <si>
    <t>3.8.2.4.2.1.10</t>
  </si>
  <si>
    <t>3.8.2.4.2.1.11</t>
  </si>
  <si>
    <t>Ø 750 mm (30”)</t>
  </si>
  <si>
    <t>3.8.2.4.2.1.12</t>
  </si>
  <si>
    <t>Ø 900 mm (36”)</t>
  </si>
  <si>
    <t>3.8.2.4.2.1.13</t>
  </si>
  <si>
    <t>Ø 1000 mm (40”)</t>
  </si>
  <si>
    <t>3.8.2.4.2.1.14</t>
  </si>
  <si>
    <t>Ø 1050 mm (42”)</t>
  </si>
  <si>
    <t>3.8.2.4.2.1.15</t>
  </si>
  <si>
    <t>Ø 1200 mm (48”)</t>
  </si>
  <si>
    <t>3.8.2.4.2.1.16</t>
  </si>
  <si>
    <t>Ø 1500 mm (60”)</t>
  </si>
  <si>
    <t>3.8.2.4.2.2</t>
  </si>
  <si>
    <t>De cuerpo cuadrado</t>
  </si>
  <si>
    <t>3.8.2.4.2.2.1</t>
  </si>
  <si>
    <t>H = 100 mm (4”), L = 100 mm (4”)</t>
  </si>
  <si>
    <t>3.8.2.4.2.2.2</t>
  </si>
  <si>
    <t>H = 150 mm (6”), L = 150 mm (6”)</t>
  </si>
  <si>
    <t>3.8.2.4.2.2.3</t>
  </si>
  <si>
    <t>H = 200 mm (8”), L = 200 mm (8”)</t>
  </si>
  <si>
    <t>3.8.2.4.2.2.4</t>
  </si>
  <si>
    <t>H = 250 mm (10”), L = 250 mm (10”)</t>
  </si>
  <si>
    <t>3.8.2.4.2.2.5</t>
  </si>
  <si>
    <t>H = 300 mm (12”), L = 300 mm (12”)</t>
  </si>
  <si>
    <t>3.8.2.4.2.2.6</t>
  </si>
  <si>
    <t>H = 350 mm (14”), L = 350 mm (14”)</t>
  </si>
  <si>
    <t>3.8.2.4.2.2.7</t>
  </si>
  <si>
    <t>H = 400 mm (16”), L = 400 mm (16”)</t>
  </si>
  <si>
    <t>3.8.2.4.2.2.8</t>
  </si>
  <si>
    <t>H = 450 mm (18”), L = 450 mm (18”)</t>
  </si>
  <si>
    <t>3.8.2.4.2.2.9</t>
  </si>
  <si>
    <t>H = 500 mm (20”), L = 500 mm (20”)</t>
  </si>
  <si>
    <t>3.8.2.4.2.2.10</t>
  </si>
  <si>
    <t>H = 600 mm (24”), L = 600 mm (24”)</t>
  </si>
  <si>
    <t>3.8.2.4.2.2.11</t>
  </si>
  <si>
    <t>H = 750 mm (30”), L = 750 mm (30”)</t>
  </si>
  <si>
    <t>3.8.2.4.2.2.12</t>
  </si>
  <si>
    <t>H = 900 mm (36”), L = 900 mm (36”)</t>
  </si>
  <si>
    <t>3.8.2.4.2.2.13</t>
  </si>
  <si>
    <t>H = 1000 mm (40”), L = 1000 mm (40”)</t>
  </si>
  <si>
    <t>3.8.2.4.2.2.14</t>
  </si>
  <si>
    <t>H = 1050 mm (42”), L = 1050 mm (42”)</t>
  </si>
  <si>
    <t>3.8.2.4.2.2.15</t>
  </si>
  <si>
    <t>H = 1200 mm (48”), L = 1200 mm (48”)</t>
  </si>
  <si>
    <t>3.8.2.4.2.2.16</t>
  </si>
  <si>
    <t>H = 1500 mm (60”), L = 1500 mm (60”)</t>
  </si>
  <si>
    <t>3.8.2.4.3</t>
  </si>
  <si>
    <t>Compuerta tipo guillotina positivo negativa</t>
  </si>
  <si>
    <t>3.8.2.4.3.1</t>
  </si>
  <si>
    <t>3.8.2.4.3.1.1</t>
  </si>
  <si>
    <t>3.8.2.4.3.1.2</t>
  </si>
  <si>
    <t>3.8.2.4.3.1.3</t>
  </si>
  <si>
    <t>3.8.2.4.3.1.4</t>
  </si>
  <si>
    <t>3.8.2.4.3.1.5</t>
  </si>
  <si>
    <t>3.8.2.4.3.1.6</t>
  </si>
  <si>
    <t>3.8.2.4.3.1.7</t>
  </si>
  <si>
    <t>3.8.2.4.3.1.8</t>
  </si>
  <si>
    <t>3.8.2.4.3.1.9</t>
  </si>
  <si>
    <t>3.8.2.4.3.1.10</t>
  </si>
  <si>
    <t>3.8.2.4.3.1.11</t>
  </si>
  <si>
    <t>3.8.2.4.3.2</t>
  </si>
  <si>
    <t>De cuerpo rectangular</t>
  </si>
  <si>
    <t xml:space="preserve"> 3.8.2.4.3.2.1</t>
  </si>
  <si>
    <t>3.8.2.4.3.2.2</t>
  </si>
  <si>
    <t>3.8.2.4.3.2.3</t>
  </si>
  <si>
    <t>3.8.2.4.3.2.4</t>
  </si>
  <si>
    <t>H = 300 mm (12”), L = 400 mm (16”)</t>
  </si>
  <si>
    <t>3.8.2.4.3.2.5</t>
  </si>
  <si>
    <t>H = 300 mm (12”), L = 450 mm (18”)</t>
  </si>
  <si>
    <t>3.8.2.4.3.2.6</t>
  </si>
  <si>
    <t>H = 300 mm (12”), L = 500 mm (20”)</t>
  </si>
  <si>
    <t>3.8.2.4.3.2.7</t>
  </si>
  <si>
    <t>H = 300 mm (12”), L = 600 mm (24”)</t>
  </si>
  <si>
    <t>3.8.2.4.3.2.8</t>
  </si>
  <si>
    <t>3.8.2.4.3.2.9</t>
  </si>
  <si>
    <t>H = 400 mm (16”), L = 300 mm (12”)</t>
  </si>
  <si>
    <t>3.8.2.4.3.2.10</t>
  </si>
  <si>
    <t>3.8.2.4.3.2.11</t>
  </si>
  <si>
    <t>H = 450 mm (18”), L = 300 mm (12”)</t>
  </si>
  <si>
    <t>3.8.2.4.3.2.12</t>
  </si>
  <si>
    <t>3.8.2.4.3.2.13</t>
  </si>
  <si>
    <t>H = 450 mm (18”), L = 600 mm (24”)</t>
  </si>
  <si>
    <t>3.8.2.4.3.2.14</t>
  </si>
  <si>
    <t>3.8.2.4.3.2.15</t>
  </si>
  <si>
    <t>H = 600 mm (24”), L = 300 mm (12”)</t>
  </si>
  <si>
    <t>3.8.2.4.3.2.16</t>
  </si>
  <si>
    <t>H = 600 mm (24”), L = 450 mm (18”)</t>
  </si>
  <si>
    <t>ESPECIALES</t>
  </si>
  <si>
    <t>E.1</t>
  </si>
  <si>
    <t>Pintura de vinilo Tipo 1 sobre muro</t>
  </si>
  <si>
    <t>E.2</t>
  </si>
  <si>
    <t>Pintura para protección tubería expuesta a la intemperie</t>
  </si>
  <si>
    <t>Gl</t>
  </si>
  <si>
    <t>E.3</t>
  </si>
  <si>
    <t>Cerramiento en malla eslabonada plastificada (incluye malla, tubo galvanizado, muro abuzardado, concertina, porton frontal, pintura y esmalte)</t>
  </si>
  <si>
    <t>Ml</t>
  </si>
  <si>
    <t>E.4</t>
  </si>
  <si>
    <t>Edificación para operaciones</t>
  </si>
  <si>
    <t>E.5</t>
  </si>
  <si>
    <t>Puerta en malla eslabonada dos hojas 1 m C/U altura 2.5 m</t>
  </si>
  <si>
    <t>E.6</t>
  </si>
  <si>
    <t>Construcción de carcamo en ladrillo pañetado, incluye lámina alfajort en hierro soldadura y pintura anticorrosivo</t>
  </si>
  <si>
    <t>E.7</t>
  </si>
  <si>
    <t>Cubierta en teja de asbesto cemento con estructura metálica</t>
  </si>
  <si>
    <t>E.8</t>
  </si>
  <si>
    <t>Puerta metálica de 3.4 x 2.5 con anticorrosivo</t>
  </si>
  <si>
    <t>E.9</t>
  </si>
  <si>
    <t>Batimetría</t>
  </si>
  <si>
    <t>E.10</t>
  </si>
  <si>
    <t>Instalación lecho arena</t>
  </si>
  <si>
    <t>E.11</t>
  </si>
  <si>
    <t>Instalación lecho antracita</t>
  </si>
  <si>
    <t>E.12</t>
  </si>
  <si>
    <t>Instalación de falsos fondos Leopold incluye demolición de fondos existentes, retiro de escombros de tanque, plantilla de nivelación, colocación de anclajes y ángulos de soporte armado y asentamiento de filtros)</t>
  </si>
  <si>
    <t>E.13</t>
  </si>
  <si>
    <t>Montaje soplador incluye caseta, parte electrica, montaje de arrancador y cheque</t>
  </si>
  <si>
    <t>E.14</t>
  </si>
  <si>
    <t>Mantenimiento equipo de dosificación de sulfalto</t>
  </si>
  <si>
    <t>E.15</t>
  </si>
  <si>
    <t>Instalación módulos de sedimentación acelerada</t>
  </si>
  <si>
    <t>E.16</t>
  </si>
  <si>
    <t>Mantenimiento compuerta lateral circular</t>
  </si>
  <si>
    <t>E.17</t>
  </si>
  <si>
    <t>Mantenimiento equipo bombeo</t>
  </si>
  <si>
    <t>E.18</t>
  </si>
  <si>
    <t>Impermeabilización muro y placas de fondo con mortero para recubrimiento interior con XIPEX</t>
  </si>
  <si>
    <t>E.19</t>
  </si>
  <si>
    <t>Sello de juntas entre muros y losa de fondo con Sikaflex PRO 3 WF</t>
  </si>
  <si>
    <t>E.20</t>
  </si>
  <si>
    <t>Media caña entre muros y losa de fondo con mortero listo Sika Top 122</t>
  </si>
  <si>
    <t>E.21</t>
  </si>
  <si>
    <t>Pintura exterior tanque con Sika Color C</t>
  </si>
  <si>
    <t>E.22</t>
  </si>
  <si>
    <t>Retiro de material rocoso, material sedimentado y capa vegetal</t>
  </si>
  <si>
    <t>E.23</t>
  </si>
  <si>
    <t>Pilotes de 12" en concreto reforzado encamisados en camisa de acero, incluye elaboración, transporte, incado y corte de enrase</t>
  </si>
  <si>
    <t>E.24</t>
  </si>
  <si>
    <t>Pilotes de 8" en concreto reforzado encamisados en camisa de acero, incluye elaboración, transporte, incado y corte de enrase</t>
  </si>
  <si>
    <t>E.25</t>
  </si>
  <si>
    <t>Pasarela en tubería de 3", y angulos de 3" y 2": Incluye paneles laterales en platina y malla y piso en madera de ceiba de 1"</t>
  </si>
  <si>
    <t>E.26</t>
  </si>
  <si>
    <t>Transporte e hincada de postes y luminarias, Acometidas de media tension y baja tension montaje e instalacion de celda de medida montaje e instalacion  de transformador pat mounted montaje e instalacion de planta electrica montaje , armado conexionado e i</t>
  </si>
  <si>
    <t>E.27</t>
  </si>
  <si>
    <t>Limpieza y escarificacion de fondo y areas interiores de muros</t>
  </si>
  <si>
    <t>E.28</t>
  </si>
  <si>
    <t>Retiro de Placas Planas de eternit existentes</t>
  </si>
  <si>
    <t>E.29</t>
  </si>
  <si>
    <t>Escarificacion de concreto en muros interiores de sedimentadores</t>
  </si>
  <si>
    <t>E.30</t>
  </si>
  <si>
    <t xml:space="preserve">Escarificacion de concreto en losa  de fondo en area de 1,0x1,0 m  en sitio donde se ubicaran las columnas soportes de tuberia de  ?16". </t>
  </si>
  <si>
    <t>E.31</t>
  </si>
  <si>
    <t>Reparacion de compuertas y mantenimiento general de las mismas</t>
  </si>
  <si>
    <t>E.32</t>
  </si>
  <si>
    <t>Arreglo hormigueo en muros exteriores e interiores con Sika Top 122</t>
  </si>
  <si>
    <t>E.33</t>
  </si>
  <si>
    <t>Material granular base para caja de concreto e= 0.03 m, resane de andén en concreto simple e= 0.07 m</t>
  </si>
  <si>
    <t>E.34</t>
  </si>
  <si>
    <t>Montaje de accesorios hidráulicos: válvulas, válvula de retención, tee, codos, uniones, reducciones, etc. Incluye suministro de tornillería y empaquetadura</t>
  </si>
  <si>
    <t>E.35</t>
  </si>
  <si>
    <t>Mano de obra electrico, mantenimiento, montaje y organización general</t>
  </si>
  <si>
    <t>E.36</t>
  </si>
  <si>
    <t>Mantenimiento de válvulas y accesorios existentes a la entrada y salida del tanque. Incluye limpieza, pintura, adecuación y mantenimiento de las cajas</t>
  </si>
  <si>
    <t>E.37</t>
  </si>
  <si>
    <t>Suministro, transporte e instalación de baranda en tubo HG d= 2". Incluye mano de obra, material, transporte, corte, anclaje y demás costos directos e indirectos</t>
  </si>
  <si>
    <t>E.38</t>
  </si>
  <si>
    <t>Suministro, transporte e instalación de escalera y barandas tubulares. Incluye mano de obra, material, transporte, corte, anclaje y demás costos directos e indirectos</t>
  </si>
  <si>
    <t>E.39</t>
  </si>
  <si>
    <t>Obra de Desvio de cauce naturales</t>
  </si>
  <si>
    <t>GL</t>
  </si>
  <si>
    <t>E.40</t>
  </si>
  <si>
    <t>Perforaciones para anclajes y anclaje para varillas</t>
  </si>
  <si>
    <t>E.41</t>
  </si>
  <si>
    <t>Soldadura epóxica entre concreto viejo y concreto nuevo</t>
  </si>
  <si>
    <t>E.42</t>
  </si>
  <si>
    <t>Adecuación sedimentadores (incluye retiro placas asbesto cemento, demolición muro en concreto, retiro tubería existente)</t>
  </si>
  <si>
    <t>E.43</t>
  </si>
  <si>
    <t>Montaje e instalación de módulos de sedimentación acelerada</t>
  </si>
  <si>
    <t>E.44</t>
  </si>
  <si>
    <t>Montaje general tuberia y accesorios Acero al Carbono. D=6" y 4", Incluye soldadura para caras soldables, mano de obra para maniobra y movimientos del material, (28) Empaques Neopreno rojo puro e=3/16", (48) Tornillos D=5/8"x3" AC GR 8 T2AP, Esparragos D=</t>
  </si>
  <si>
    <t>E.45</t>
  </si>
  <si>
    <t>Instalación lecho en grava</t>
  </si>
  <si>
    <t>E.46</t>
  </si>
  <si>
    <t xml:space="preserve">Construccion de Desnatadores </t>
  </si>
  <si>
    <t>E.47</t>
  </si>
  <si>
    <t>Compuerta en madera para camara de bombeo en desarenador</t>
  </si>
  <si>
    <t>E.48</t>
  </si>
  <si>
    <t>Compuerta en madera estructura de reparticion no. 1</t>
  </si>
  <si>
    <t>E.49</t>
  </si>
  <si>
    <t>Compuerta en madera estructura de reparticion no. 4</t>
  </si>
  <si>
    <t>E.52</t>
  </si>
  <si>
    <t>Escaleras de gato</t>
  </si>
  <si>
    <t>E.53</t>
  </si>
  <si>
    <t xml:space="preserve">Arborizacion </t>
  </si>
  <si>
    <t>ENSAYOS DE CONTROL DE CALIDAD</t>
  </si>
  <si>
    <t>E.50</t>
  </si>
  <si>
    <t>Ensayo de compactacion con proctor modificado</t>
  </si>
  <si>
    <t>E.51</t>
  </si>
  <si>
    <t>Ensayo de resistencia con cilindros testigos</t>
  </si>
  <si>
    <t>PLAN DEPARTAMENTAL DE AGUA DE LA GUAJIRA</t>
  </si>
  <si>
    <t>GOBERNACIÓN DE LA GUAJIRA</t>
  </si>
  <si>
    <t>Revisión, Actualización y Elaboración de Estudios y Diseños de los Sistemas de Acueducto y/o Alcantarillado de los Corregimientos  pertenecientes a los Municipios de Riohacha, San Juan del Cesar, Fonseca, Manaure, Distracción, Maicao y Barrancas</t>
  </si>
  <si>
    <t>LOCALIDAD:</t>
  </si>
  <si>
    <t>ÍTEM:</t>
  </si>
  <si>
    <t>1</t>
  </si>
  <si>
    <t>I. EQUIPO</t>
  </si>
  <si>
    <t>Descripción</t>
  </si>
  <si>
    <t>Marca</t>
  </si>
  <si>
    <t>Tipo</t>
  </si>
  <si>
    <t>Tarifa</t>
  </si>
  <si>
    <t>Rendimiento</t>
  </si>
  <si>
    <t>Valor Unitario</t>
  </si>
  <si>
    <t>Mezcladora</t>
  </si>
  <si>
    <t>Herramienta Menor</t>
  </si>
  <si>
    <t>Subtotal   $</t>
  </si>
  <si>
    <t>II - MATERIALES</t>
  </si>
  <si>
    <t>Unidad</t>
  </si>
  <si>
    <t>Precio Unit.</t>
  </si>
  <si>
    <t>Cantidad</t>
  </si>
  <si>
    <t>Cemento Portland</t>
  </si>
  <si>
    <t xml:space="preserve">Arena </t>
  </si>
  <si>
    <t>Agua</t>
  </si>
  <si>
    <t>LT</t>
  </si>
  <si>
    <t>Sika - 1</t>
  </si>
  <si>
    <t>Desperdicio 5%</t>
  </si>
  <si>
    <t>III - TRANSPORTES</t>
  </si>
  <si>
    <t>Material</t>
  </si>
  <si>
    <t>Volum/Peso</t>
  </si>
  <si>
    <t>Distancia</t>
  </si>
  <si>
    <t>m3/Km</t>
  </si>
  <si>
    <t>Rend./Dia</t>
  </si>
  <si>
    <t>IV. MANO DE OBRA</t>
  </si>
  <si>
    <t>Personal</t>
  </si>
  <si>
    <t>Jornal/dia</t>
  </si>
  <si>
    <t>Prestaciones</t>
  </si>
  <si>
    <t>Total Jornal/Dia</t>
  </si>
  <si>
    <t>Ayudante</t>
  </si>
  <si>
    <t xml:space="preserve">Oficial </t>
  </si>
  <si>
    <t>TOTAL COSTO DIRECTO</t>
  </si>
  <si>
    <t>COSTOS INDIRECTOS</t>
  </si>
  <si>
    <t xml:space="preserve">   Descripción</t>
  </si>
  <si>
    <t>Porcentaje</t>
  </si>
  <si>
    <t>Valor Total</t>
  </si>
  <si>
    <t>ADMINISTRACIÓN</t>
  </si>
  <si>
    <t>IMPREVISTOS</t>
  </si>
  <si>
    <t>UTILIDAD</t>
  </si>
  <si>
    <t>TOTAL COSTO</t>
  </si>
  <si>
    <t>MANUEL L. GÓNGORA SIERRA</t>
  </si>
  <si>
    <t xml:space="preserve">REPRESENTANTE LEGAL </t>
  </si>
  <si>
    <t>2</t>
  </si>
  <si>
    <t xml:space="preserve">Mortero 1:3 </t>
  </si>
  <si>
    <t xml:space="preserve">Arena  </t>
  </si>
  <si>
    <t>Ayudante  (2)</t>
  </si>
  <si>
    <t>3</t>
  </si>
  <si>
    <t xml:space="preserve">Concreto  simple 2000 psi </t>
  </si>
  <si>
    <t>Grava</t>
  </si>
  <si>
    <t>Maestro de obra</t>
  </si>
  <si>
    <t>4</t>
  </si>
  <si>
    <t xml:space="preserve">Concreto  simple 2500 psi </t>
  </si>
  <si>
    <t>5</t>
  </si>
  <si>
    <t xml:space="preserve">Concreto  simple 3000 psi </t>
  </si>
  <si>
    <t>6</t>
  </si>
  <si>
    <t>Concreto  simple 3000 psi impermeabilizado</t>
  </si>
  <si>
    <t>7</t>
  </si>
  <si>
    <t xml:space="preserve">Concreto  simple 3500 psi </t>
  </si>
  <si>
    <t>8</t>
  </si>
  <si>
    <t>Concreto  simple 3500 psi  impermeabilizado</t>
  </si>
  <si>
    <t>Concreto  simple 4000 psi impermabilizado</t>
  </si>
  <si>
    <t>11</t>
  </si>
  <si>
    <t>Muro mamposteria e 0.12m</t>
  </si>
  <si>
    <t>Mortero 1:3</t>
  </si>
  <si>
    <t>Ladrillo tolete común</t>
  </si>
  <si>
    <t xml:space="preserve">UN </t>
  </si>
  <si>
    <t xml:space="preserve">Ayudante  </t>
  </si>
  <si>
    <t>Tarifa/mes</t>
  </si>
  <si>
    <t>Señalizaciòn tubular colombina plastica</t>
  </si>
  <si>
    <t>Tela verde de cerramiento (2.1 x 250 m)</t>
  </si>
  <si>
    <t>Conos reflectivos</t>
  </si>
  <si>
    <t>Señal de transito (60x 60 cm) Poste 3.5 m</t>
  </si>
  <si>
    <t>Cinta de demarcación Cal 3 (Rollo 500mx 0.10m)</t>
  </si>
  <si>
    <t xml:space="preserve">Ayudante </t>
  </si>
  <si>
    <t>Retroexcavadora Hitachi 100</t>
  </si>
  <si>
    <t>Transporte 5% del valor del material</t>
  </si>
  <si>
    <t>kit silla yee PVC  10 x 6"</t>
  </si>
  <si>
    <t>kit silla yee PVC  12 x 6"</t>
  </si>
  <si>
    <t>Tala de especies vegetales de 0.00 a 5.00 m de altura, incluye raiz y dosposición final</t>
  </si>
  <si>
    <t>Entibado horizontal/vertical Tipo 1 incluye materiales y mano de obra</t>
  </si>
  <si>
    <t>ASUMIDO</t>
  </si>
  <si>
    <t xml:space="preserve">Suministro, transporte e instalación Relleno en arena limpia para tuberías </t>
  </si>
  <si>
    <t>Suministro, transporte e instalación Relleno compactado con material común de prestamo</t>
  </si>
  <si>
    <t>Suministro, transporte e instalación Relleno compactado con Base B-1 (Norma Invias)</t>
  </si>
  <si>
    <t>Suministro, transporte e instalación Relleno compactado con Sub base SB-1 (Norma Invias)</t>
  </si>
  <si>
    <t>Base y cañuela para pozo de inspección hasta D =1.60 m</t>
  </si>
  <si>
    <t>Placa de cubierta circular hasta D:1.60 m, con arobase de 1 o 2 pestañas</t>
  </si>
  <si>
    <t xml:space="preserve">Suministro Kit Silla Y - Empalme para Pvc Corrugada de 200 mm x 160 mm. (8" * 6")    </t>
  </si>
  <si>
    <t>SUMINISTRO E INSTALACIÓN DE TUBERÍAS DE PASO - COMPUERTAS - REJILLA</t>
  </si>
  <si>
    <t xml:space="preserve">Suministro Tubería PVC corrugada externa, lisa interior, alcantarillado, d=6" (Según Norma NTC 3722 Y NTC5055)  </t>
  </si>
  <si>
    <t xml:space="preserve">Suministro Tubería PVC corrugada externa, lisa interior, alcantarillado,  d=8" (Según Norma NTC 3722 Y NTC5055)  </t>
  </si>
  <si>
    <t xml:space="preserve">Suministro Tubería PVC corrugada externa, lisa interior, alcantarillado,  d=10" (Según Norma NTC 3722 Y NTC5055)  </t>
  </si>
  <si>
    <t xml:space="preserve">Suministro Tubería PVC corrugada externa, lisa interior, alcantarillado,  d=12" (Según Norma NTC 3722 Y NTC5055)  </t>
  </si>
  <si>
    <t xml:space="preserve">Suministro Tubería PVC corrugada externa, lisa interior, alcantarillado,  d=16" (Según Norma NTC 3722 Y NTC5055)  </t>
  </si>
  <si>
    <t>Suministroe instalación de compuertas laterales circulares Ø 16" - Lv=2,00m</t>
  </si>
  <si>
    <t>Suministro e intalación Ventilaciones entrada y salida de lagunas (incluye Tee 8" y niple Ø 8" L= 0,60m)</t>
  </si>
  <si>
    <t>Retiro y disposición de materiales sobrantes hasta 30 Km</t>
  </si>
  <si>
    <t>Cuerpo para pozo de inspección D = 1,2 m, h: 1,0 - 2,0 m  Inc escalera de gato c/40 cm  e=0,18 m</t>
  </si>
  <si>
    <t>Cuerpo para pozo de inspección D = 1,2 m, h: 2,0 - 3,0 m Inc escalera de gato c/40 cm  e=0,18 m</t>
  </si>
  <si>
    <t>Cuerpo para pozo de inspección D = 1,2 m, h: 3,0 - 4,0 m Inc escalera de gato c/40 cm  e=0,18 m</t>
  </si>
  <si>
    <t xml:space="preserve">Demolición de andenes </t>
  </si>
  <si>
    <t>1.8.5</t>
  </si>
  <si>
    <t>1.8.6</t>
  </si>
  <si>
    <t>Suministro, Instalación y montaje de acometida 1/2" , longitud 461,97 m,  incluye cajilla y medidor</t>
  </si>
  <si>
    <t>4.2.6</t>
  </si>
  <si>
    <t>1.8.7</t>
  </si>
  <si>
    <t>U8</t>
  </si>
  <si>
    <t xml:space="preserve">Corte de pavimento (Rígido o Flexible) </t>
  </si>
  <si>
    <t>ROTURA-CONSTRUCCION VÍA, ANDEN, PISO Y/O SARDINEL</t>
  </si>
  <si>
    <t>1.8.8</t>
  </si>
  <si>
    <t>U9</t>
  </si>
  <si>
    <t>Demolición de pozo de inspección existente</t>
  </si>
  <si>
    <t>1.8.9</t>
  </si>
  <si>
    <t>U10</t>
  </si>
  <si>
    <t>1.2.4</t>
  </si>
  <si>
    <t>1.2.5</t>
  </si>
  <si>
    <t>1.2.6</t>
  </si>
  <si>
    <t>1.2.7</t>
  </si>
  <si>
    <t>1.2.8</t>
  </si>
  <si>
    <t xml:space="preserve">Excavaciones manuales material común (seco/húmedo) </t>
  </si>
  <si>
    <t xml:space="preserve">Excavaciones manuales material conglomerado (seco/húmedo) </t>
  </si>
  <si>
    <t>Excavación mecánica material común, cualquier condición de humedad, cualquier altura</t>
  </si>
  <si>
    <t>Excavación mecánica material conglomerado, cualquier condición de humedad, cualquier altura</t>
  </si>
  <si>
    <t>PRESUPUESTO OBRA CIVIL</t>
  </si>
  <si>
    <t>PRESUPUESTO DE SUMINISTRO TUBERIA</t>
  </si>
  <si>
    <t>VALOR UNITARIO</t>
  </si>
  <si>
    <t>PRESUPUESTO ESTIMADO</t>
  </si>
  <si>
    <t>Retiro de tubería existente D ≤ 12"</t>
  </si>
  <si>
    <t>IVA SOBRE LA UTILIDAD (19%):</t>
  </si>
  <si>
    <t>SUB TOTAL SUMINISTRO DE TUBERIA:</t>
  </si>
  <si>
    <t>ADMINISTRACION:</t>
  </si>
  <si>
    <t>TOTAL PRESUPUESTO ESTIMADO - (OBRA CIVIL + SUMINISTRO):</t>
  </si>
  <si>
    <r>
      <t>m</t>
    </r>
    <r>
      <rPr>
        <vertAlign val="superscript"/>
        <sz val="8"/>
        <rFont val="Calibri"/>
        <family val="2"/>
        <scheme val="minor"/>
      </rPr>
      <t>3</t>
    </r>
  </si>
  <si>
    <r>
      <t>m</t>
    </r>
    <r>
      <rPr>
        <vertAlign val="superscript"/>
        <sz val="8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</si>
  <si>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8"/>
        <rFont val="Calibri"/>
        <family val="2"/>
        <scheme val="minor"/>
      </rPr>
      <t>2</t>
    </r>
  </si>
  <si>
    <t>ADMINISTRACIÓN:</t>
  </si>
  <si>
    <t>IMPREVISTOS:</t>
  </si>
  <si>
    <t>UTILIDAD: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</si>
</sst>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\ &quot;€&quot;_-;\-* #,##0\ &quot;€&quot;_-;_-* &quot;-&quot;\ &quot;€&quot;_-;_-@_-"/>
    <numFmt numFmtId="167" formatCode="0.000"/>
    <numFmt numFmtId="168" formatCode="\$#,##0.00"/>
    <numFmt numFmtId="169" formatCode="&quot;$&quot;\ #,##0.00"/>
    <numFmt numFmtId="170" formatCode="0.0"/>
    <numFmt numFmtId="171" formatCode="#,##0.000"/>
    <numFmt numFmtId="172" formatCode="_-* #,##0.00\ [$€]_-;\-* #,##0.00\ [$€]_-;_-* &quot;-&quot;??\ [$€]_-;_-@_-"/>
    <numFmt numFmtId="173" formatCode="#,##0.0"/>
    <numFmt numFmtId="174" formatCode="_(&quot;$&quot;\ * #,##0_);_(&quot;$&quot;\ * \(#,##0\);_(&quot;$&quot;\ * &quot;-&quot;??_);_(@_)"/>
    <numFmt numFmtId="175" formatCode="&quot;$&quot;#,##0_);\(&quot;$&quot;#,##0\)"/>
    <numFmt numFmtId="176" formatCode="#\ ???/???"/>
    <numFmt numFmtId="177" formatCode="_(* #,##0_);_(* \(#,##0\);_(* &quot;-&quot;??_);_(@_)"/>
    <numFmt numFmtId="178" formatCode="&quot;MENSUAL /&quot;0"/>
    <numFmt numFmtId="179" formatCode="&quot;DIARIO /&quot;0"/>
    <numFmt numFmtId="180" formatCode="&quot;SEMANAL /&quot;0"/>
    <numFmt numFmtId="181" formatCode="&quot;HORARIO /&quot;0"/>
    <numFmt numFmtId="182" formatCode="#\ ?/2&quot; SMLV&quot;"/>
    <numFmt numFmtId="183" formatCode="0&quot; personas&quot;"/>
    <numFmt numFmtId="184" formatCode="&quot;$&quot;#,##0"/>
    <numFmt numFmtId="185" formatCode="_-* #,##0_-;\-* #,##0_-;_-* &quot;-&quot;??_-;_-@_-"/>
    <numFmt numFmtId="186" formatCode="_-&quot;$&quot;* #,##0_-;\-&quot;$&quot;* #,##0_-;_-&quot;$&quot;* &quot;-&quot;??_-;_-@_-"/>
    <numFmt numFmtId="187" formatCode="_ * #,##0.00_ ;_ * \-#,##0.00_ ;_ * &quot;-&quot;??_ ;_ @_ "/>
    <numFmt numFmtId="188" formatCode="_-* #,##0.00\ _P_t_s_-;\-* #,##0.00\ _P_t_s_-;_-* &quot;-&quot;??\ _P_t_s_-;_-@_-"/>
    <numFmt numFmtId="189" formatCode="_-&quot;$&quot;\ * #,##0.00_-;\-&quot;$&quot;\ * #,##0.00_-;_-&quot;$&quot;\ * &quot;-&quot;??_-;_-@_-"/>
    <numFmt numFmtId="190" formatCode="[$$-80A]#,##0.00"/>
    <numFmt numFmtId="191" formatCode="[$$-80A]#,##0"/>
    <numFmt numFmtId="192" formatCode="[$$-80A]#,##0.0"/>
    <numFmt numFmtId="193" formatCode="_ [$$-240A]\ * #,##0.00_ ;_ [$$-240A]\ * \-#,##0.00_ ;_ [$$-240A]\ * &quot;-&quot;_ ;_ @_ "/>
    <numFmt numFmtId="194" formatCode="_ [$$-240A]\ * #,##0_ ;_ [$$-240A]\ * \-#,##0_ ;_ [$$-240A]\ * &quot;-&quot;_ ;_ @_ "/>
    <numFmt numFmtId="195" formatCode="#,##0.0000"/>
    <numFmt numFmtId="196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8"/>
      <color indexed="53"/>
      <name val="Arial"/>
      <family val="2"/>
    </font>
    <font>
      <sz val="10"/>
      <color indexed="64"/>
      <name val="Arial"/>
      <family val="2"/>
    </font>
    <font>
      <b/>
      <sz val="10"/>
      <name val="Swis721 Lt BT"/>
      <family val="2"/>
    </font>
    <font>
      <sz val="10"/>
      <name val="Swis721 Lt BT"/>
      <family val="2"/>
    </font>
    <font>
      <b/>
      <sz val="11"/>
      <name val="Tahoma"/>
      <family val="2"/>
    </font>
    <font>
      <sz val="8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sz val="9"/>
      <color indexed="8"/>
      <name val="MS Sans Serif"/>
      <family val="2"/>
    </font>
    <font>
      <b/>
      <sz val="9"/>
      <color indexed="8"/>
      <name val="Tahoma"/>
      <family val="2"/>
    </font>
    <font>
      <sz val="9"/>
      <name val="MS Sans Serif"/>
      <family val="2"/>
    </font>
    <font>
      <b/>
      <sz val="9"/>
      <name val="Tahoma"/>
      <family val="2"/>
    </font>
    <font>
      <sz val="8"/>
      <color indexed="8"/>
      <name val="Tahoma"/>
      <family val="2"/>
    </font>
    <font>
      <sz val="9"/>
      <color indexed="8"/>
      <name val="Tahoma"/>
      <family val="2"/>
    </font>
    <font>
      <sz val="11"/>
      <color indexed="16"/>
      <name val="Calibri"/>
      <family val="2"/>
    </font>
    <font>
      <sz val="10"/>
      <name val="Book Antiqua"/>
      <family val="1"/>
    </font>
    <font>
      <sz val="10"/>
      <color indexed="64"/>
      <name val="Arial"/>
      <family val="2"/>
    </font>
    <font>
      <b/>
      <sz val="10"/>
      <color indexed="64"/>
      <name val="Swis721 Lt BT"/>
      <family val="2"/>
    </font>
    <font>
      <sz val="10"/>
      <color indexed="64"/>
      <name val="Swis721 Lt BT"/>
      <family val="2"/>
    </font>
    <font>
      <u/>
      <sz val="11"/>
      <color indexed="64"/>
      <name val="Swis721 Lt BT"/>
      <family val="2"/>
    </font>
    <font>
      <sz val="11"/>
      <color indexed="64"/>
      <name val="Swis721 Lt BT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0"/>
      <name val="Swis721 Lt BT"/>
      <family val="2"/>
    </font>
    <font>
      <sz val="10"/>
      <color theme="0"/>
      <name val="Swis721 Lt BT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9" tint="-0.249977111117893"/>
      <name val="Arial"/>
      <family val="2"/>
    </font>
    <font>
      <sz val="8"/>
      <color theme="9" tint="-0.249977111117893"/>
      <name val="Tahoma"/>
      <family val="2"/>
    </font>
    <font>
      <vertAlign val="superscript"/>
      <sz val="10"/>
      <name val="Arial Narrow"/>
      <family val="2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Swis721 Lt BT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69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70" applyNumberFormat="0" applyBorder="0" applyAlignment="0"/>
    <xf numFmtId="172" fontId="2" fillId="0" borderId="0" applyFon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8" fillId="0" borderId="0"/>
    <xf numFmtId="164" fontId="2" fillId="0" borderId="0" applyFont="0" applyFill="0" applyBorder="0" applyAlignment="0" applyProtection="0"/>
    <xf numFmtId="0" fontId="16" fillId="0" borderId="0"/>
    <xf numFmtId="0" fontId="2" fillId="0" borderId="0"/>
    <xf numFmtId="187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" fillId="4" borderId="0" applyNumberFormat="0" applyBorder="0" applyAlignment="0" applyProtection="0"/>
    <xf numFmtId="43" fontId="41" fillId="0" borderId="0" applyFont="0" applyFill="0" applyBorder="0" applyAlignment="0" applyProtection="0"/>
    <xf numFmtId="18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2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42" fillId="0" borderId="0"/>
    <xf numFmtId="9" fontId="5" fillId="0" borderId="0" applyFont="0" applyFill="0" applyBorder="0" applyAlignment="0" applyProtection="0"/>
    <xf numFmtId="0" fontId="43" fillId="0" borderId="0"/>
    <xf numFmtId="16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14">
    <xf numFmtId="0" fontId="0" fillId="0" borderId="0" xfId="0"/>
    <xf numFmtId="0" fontId="4" fillId="2" borderId="17" xfId="1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left" wrapText="1"/>
    </xf>
    <xf numFmtId="0" fontId="4" fillId="2" borderId="17" xfId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7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0" fontId="4" fillId="3" borderId="17" xfId="1" applyFont="1" applyFill="1" applyBorder="1"/>
    <xf numFmtId="0" fontId="4" fillId="0" borderId="17" xfId="1" applyFont="1" applyBorder="1" applyAlignment="1">
      <alignment wrapText="1"/>
    </xf>
    <xf numFmtId="0" fontId="4" fillId="0" borderId="17" xfId="2" applyFont="1" applyFill="1" applyBorder="1" applyAlignment="1">
      <alignment horizontal="left" vertical="center" wrapText="1"/>
    </xf>
    <xf numFmtId="0" fontId="4" fillId="3" borderId="17" xfId="1" applyFont="1" applyFill="1" applyBorder="1" applyAlignment="1">
      <alignment wrapText="1"/>
    </xf>
    <xf numFmtId="0" fontId="4" fillId="0" borderId="17" xfId="1" applyFont="1" applyFill="1" applyBorder="1" applyAlignment="1">
      <alignment wrapText="1"/>
    </xf>
    <xf numFmtId="0" fontId="4" fillId="0" borderId="17" xfId="1" applyFont="1" applyFill="1" applyBorder="1" applyAlignment="1">
      <alignment horizontal="justify" vertical="center" wrapText="1"/>
    </xf>
    <xf numFmtId="0" fontId="9" fillId="0" borderId="17" xfId="0" applyFont="1" applyBorder="1" applyAlignment="1">
      <alignment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left"/>
    </xf>
    <xf numFmtId="0" fontId="5" fillId="0" borderId="0" xfId="5" applyFont="1" applyFill="1"/>
    <xf numFmtId="0" fontId="8" fillId="0" borderId="0" xfId="4" applyFill="1" applyAlignment="1" applyProtection="1"/>
    <xf numFmtId="3" fontId="5" fillId="0" borderId="0" xfId="5" applyNumberFormat="1" applyFont="1" applyFill="1"/>
    <xf numFmtId="0" fontId="0" fillId="0" borderId="0" xfId="5" applyFont="1" applyFill="1"/>
    <xf numFmtId="3" fontId="0" fillId="0" borderId="0" xfId="5" applyNumberFormat="1" applyFont="1" applyFill="1"/>
    <xf numFmtId="0" fontId="0" fillId="0" borderId="33" xfId="5" applyFont="1" applyFill="1" applyBorder="1"/>
    <xf numFmtId="0" fontId="0" fillId="0" borderId="34" xfId="5" applyFont="1" applyFill="1" applyBorder="1"/>
    <xf numFmtId="3" fontId="0" fillId="0" borderId="34" xfId="5" applyNumberFormat="1" applyFont="1" applyFill="1" applyBorder="1"/>
    <xf numFmtId="0" fontId="0" fillId="0" borderId="35" xfId="5" applyFont="1" applyFill="1" applyBorder="1"/>
    <xf numFmtId="0" fontId="0" fillId="0" borderId="36" xfId="5" applyFont="1" applyFill="1" applyBorder="1"/>
    <xf numFmtId="0" fontId="0" fillId="0" borderId="37" xfId="5" applyFont="1" applyFill="1" applyBorder="1"/>
    <xf numFmtId="0" fontId="12" fillId="0" borderId="0" xfId="5" applyNumberFormat="1" applyFont="1" applyFill="1" applyBorder="1" applyAlignment="1">
      <alignment horizontal="left" vertical="center" wrapText="1"/>
    </xf>
    <xf numFmtId="0" fontId="13" fillId="0" borderId="0" xfId="5" applyFont="1" applyFill="1" applyBorder="1"/>
    <xf numFmtId="0" fontId="13" fillId="0" borderId="0" xfId="5" applyFont="1" applyFill="1" applyBorder="1" applyAlignment="1">
      <alignment horizontal="center"/>
    </xf>
    <xf numFmtId="0" fontId="0" fillId="0" borderId="0" xfId="5" applyFont="1" applyFill="1" applyBorder="1"/>
    <xf numFmtId="3" fontId="12" fillId="0" borderId="0" xfId="5" applyNumberFormat="1" applyFont="1" applyFill="1" applyBorder="1" applyAlignment="1">
      <alignment horizontal="right"/>
    </xf>
    <xf numFmtId="0" fontId="12" fillId="0" borderId="31" xfId="5" applyFont="1" applyFill="1" applyBorder="1" applyAlignment="1">
      <alignment horizontal="center" vertical="center" wrapText="1"/>
    </xf>
    <xf numFmtId="49" fontId="10" fillId="0" borderId="38" xfId="5" applyNumberFormat="1" applyFont="1" applyFill="1" applyBorder="1" applyAlignment="1">
      <alignment horizontal="center" vertical="center" wrapText="1"/>
    </xf>
    <xf numFmtId="0" fontId="12" fillId="0" borderId="38" xfId="5" applyFont="1" applyFill="1" applyBorder="1" applyAlignment="1">
      <alignment horizontal="center" vertical="center" wrapText="1"/>
    </xf>
    <xf numFmtId="3" fontId="12" fillId="0" borderId="38" xfId="5" applyNumberFormat="1" applyFont="1" applyFill="1" applyBorder="1" applyAlignment="1">
      <alignment horizontal="center" vertical="center" wrapText="1"/>
    </xf>
    <xf numFmtId="0" fontId="12" fillId="0" borderId="36" xfId="5" applyFont="1" applyFill="1" applyBorder="1"/>
    <xf numFmtId="0" fontId="12" fillId="0" borderId="0" xfId="5" applyFont="1" applyFill="1" applyBorder="1" applyAlignment="1">
      <alignment horizontal="center"/>
    </xf>
    <xf numFmtId="3" fontId="12" fillId="0" borderId="37" xfId="5" applyNumberFormat="1" applyFont="1" applyFill="1" applyBorder="1" applyAlignment="1">
      <alignment horizontal="right"/>
    </xf>
    <xf numFmtId="3" fontId="12" fillId="0" borderId="37" xfId="6" applyNumberFormat="1" applyFont="1" applyFill="1" applyBorder="1" applyAlignment="1">
      <alignment horizontal="right"/>
    </xf>
    <xf numFmtId="3" fontId="12" fillId="0" borderId="42" xfId="5" applyNumberFormat="1" applyFont="1" applyFill="1" applyBorder="1" applyAlignment="1">
      <alignment horizontal="right" vertical="center"/>
    </xf>
    <xf numFmtId="0" fontId="13" fillId="0" borderId="17" xfId="5" applyFont="1" applyFill="1" applyBorder="1" applyAlignment="1">
      <alignment horizontal="center" vertical="center"/>
    </xf>
    <xf numFmtId="4" fontId="13" fillId="0" borderId="17" xfId="5" applyNumberFormat="1" applyFont="1" applyFill="1" applyBorder="1" applyAlignment="1">
      <alignment horizontal="center" vertical="center"/>
    </xf>
    <xf numFmtId="4" fontId="13" fillId="0" borderId="17" xfId="5" applyNumberFormat="1" applyFont="1" applyFill="1" applyBorder="1" applyAlignment="1">
      <alignment horizontal="right" vertical="center"/>
    </xf>
    <xf numFmtId="167" fontId="13" fillId="0" borderId="17" xfId="5" applyNumberFormat="1" applyFont="1" applyFill="1" applyBorder="1" applyAlignment="1">
      <alignment horizontal="center" vertical="center"/>
    </xf>
    <xf numFmtId="3" fontId="13" fillId="0" borderId="18" xfId="5" applyNumberFormat="1" applyFont="1" applyFill="1" applyBorder="1" applyAlignment="1">
      <alignment horizontal="right" vertical="center"/>
    </xf>
    <xf numFmtId="0" fontId="13" fillId="0" borderId="44" xfId="5" applyFont="1" applyFill="1" applyBorder="1"/>
    <xf numFmtId="0" fontId="13" fillId="0" borderId="45" xfId="5" applyFont="1" applyFill="1" applyBorder="1" applyAlignment="1">
      <alignment horizontal="center"/>
    </xf>
    <xf numFmtId="0" fontId="13" fillId="0" borderId="46" xfId="5" applyFont="1" applyFill="1" applyBorder="1" applyAlignment="1">
      <alignment horizontal="center"/>
    </xf>
    <xf numFmtId="0" fontId="13" fillId="0" borderId="47" xfId="5" applyFont="1" applyFill="1" applyBorder="1" applyAlignment="1">
      <alignment horizontal="center"/>
    </xf>
    <xf numFmtId="3" fontId="13" fillId="0" borderId="48" xfId="5" applyNumberFormat="1" applyFont="1" applyFill="1" applyBorder="1" applyAlignment="1">
      <alignment horizontal="right"/>
    </xf>
    <xf numFmtId="0" fontId="13" fillId="0" borderId="36" xfId="5" applyFont="1" applyFill="1" applyBorder="1"/>
    <xf numFmtId="3" fontId="13" fillId="0" borderId="37" xfId="5" applyNumberFormat="1" applyFont="1" applyFill="1" applyBorder="1" applyAlignment="1">
      <alignment horizontal="right"/>
    </xf>
    <xf numFmtId="0" fontId="7" fillId="0" borderId="36" xfId="5" applyFont="1" applyFill="1" applyBorder="1"/>
    <xf numFmtId="0" fontId="13" fillId="0" borderId="50" xfId="5" applyFont="1" applyFill="1" applyBorder="1" applyAlignment="1">
      <alignment horizontal="center" vertical="center"/>
    </xf>
    <xf numFmtId="4" fontId="13" fillId="0" borderId="50" xfId="5" applyNumberFormat="1" applyFont="1" applyFill="1" applyBorder="1" applyAlignment="1">
      <alignment horizontal="center" vertical="center"/>
    </xf>
    <xf numFmtId="3" fontId="13" fillId="0" borderId="51" xfId="5" applyNumberFormat="1" applyFont="1" applyFill="1" applyBorder="1" applyAlignment="1">
      <alignment horizontal="right" vertical="center"/>
    </xf>
    <xf numFmtId="0" fontId="13" fillId="0" borderId="55" xfId="5" applyFont="1" applyFill="1" applyBorder="1" applyAlignment="1">
      <alignment horizontal="center" vertical="center"/>
    </xf>
    <xf numFmtId="169" fontId="12" fillId="0" borderId="55" xfId="5" applyNumberFormat="1" applyFont="1" applyFill="1" applyBorder="1" applyAlignment="1">
      <alignment horizontal="center" vertical="center"/>
    </xf>
    <xf numFmtId="4" fontId="13" fillId="0" borderId="55" xfId="5" applyNumberFormat="1" applyFont="1" applyFill="1" applyBorder="1" applyAlignment="1">
      <alignment horizontal="center" vertical="center"/>
    </xf>
    <xf numFmtId="3" fontId="13" fillId="0" borderId="56" xfId="5" applyNumberFormat="1" applyFont="1" applyFill="1" applyBorder="1" applyAlignment="1">
      <alignment horizontal="right" vertical="center"/>
    </xf>
    <xf numFmtId="0" fontId="13" fillId="0" borderId="36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168" fontId="13" fillId="0" borderId="0" xfId="5" applyNumberFormat="1" applyFont="1" applyFill="1" applyBorder="1" applyAlignment="1">
      <alignment horizontal="center" vertical="center"/>
    </xf>
    <xf numFmtId="3" fontId="13" fillId="0" borderId="37" xfId="5" quotePrefix="1" applyNumberFormat="1" applyFont="1" applyFill="1" applyBorder="1" applyAlignment="1">
      <alignment horizontal="right"/>
    </xf>
    <xf numFmtId="4" fontId="13" fillId="0" borderId="5" xfId="5" applyNumberFormat="1" applyFont="1" applyFill="1" applyBorder="1" applyAlignment="1">
      <alignment horizontal="center" vertical="center"/>
    </xf>
    <xf numFmtId="3" fontId="13" fillId="0" borderId="37" xfId="5" applyNumberFormat="1" applyFont="1" applyFill="1" applyBorder="1" applyAlignment="1">
      <alignment horizontal="right" vertical="center"/>
    </xf>
    <xf numFmtId="4" fontId="13" fillId="0" borderId="55" xfId="5" applyNumberFormat="1" applyFont="1" applyFill="1" applyBorder="1" applyAlignment="1">
      <alignment horizontal="center"/>
    </xf>
    <xf numFmtId="3" fontId="13" fillId="0" borderId="56" xfId="5" applyNumberFormat="1" applyFont="1" applyFill="1" applyBorder="1" applyAlignment="1">
      <alignment horizontal="right"/>
    </xf>
    <xf numFmtId="0" fontId="12" fillId="0" borderId="41" xfId="5" applyFont="1" applyFill="1" applyBorder="1" applyAlignment="1">
      <alignment horizontal="center" vertical="center" wrapText="1"/>
    </xf>
    <xf numFmtId="2" fontId="13" fillId="0" borderId="17" xfId="7" applyNumberFormat="1" applyFont="1" applyFill="1" applyBorder="1" applyAlignment="1">
      <alignment horizontal="center" vertical="center"/>
    </xf>
    <xf numFmtId="4" fontId="13" fillId="0" borderId="55" xfId="5" applyNumberFormat="1" applyFont="1" applyFill="1" applyBorder="1" applyAlignment="1">
      <alignment horizontal="right" vertical="center"/>
    </xf>
    <xf numFmtId="2" fontId="13" fillId="0" borderId="55" xfId="7" applyNumberFormat="1" applyFont="1" applyFill="1" applyBorder="1" applyAlignment="1">
      <alignment horizontal="center" vertical="center"/>
    </xf>
    <xf numFmtId="167" fontId="13" fillId="0" borderId="50" xfId="5" applyNumberFormat="1" applyFont="1" applyFill="1" applyBorder="1" applyAlignment="1">
      <alignment horizontal="center" vertical="center"/>
    </xf>
    <xf numFmtId="170" fontId="13" fillId="0" borderId="0" xfId="5" applyNumberFormat="1" applyFont="1" applyFill="1" applyBorder="1" applyAlignment="1">
      <alignment horizontal="center"/>
    </xf>
    <xf numFmtId="4" fontId="13" fillId="0" borderId="0" xfId="5" applyNumberFormat="1" applyFont="1" applyFill="1" applyBorder="1" applyAlignment="1">
      <alignment horizontal="center" vertical="center"/>
    </xf>
    <xf numFmtId="10" fontId="13" fillId="0" borderId="0" xfId="5" applyNumberFormat="1" applyFont="1" applyFill="1" applyBorder="1" applyAlignment="1">
      <alignment horizontal="center" vertical="center"/>
    </xf>
    <xf numFmtId="3" fontId="13" fillId="0" borderId="59" xfId="5" applyNumberFormat="1" applyFont="1" applyFill="1" applyBorder="1" applyAlignment="1">
      <alignment horizontal="right"/>
    </xf>
    <xf numFmtId="4" fontId="13" fillId="0" borderId="0" xfId="5" applyNumberFormat="1" applyFont="1" applyFill="1" applyBorder="1" applyAlignment="1">
      <alignment horizontal="center"/>
    </xf>
    <xf numFmtId="0" fontId="13" fillId="0" borderId="36" xfId="5" applyFont="1" applyFill="1" applyBorder="1" applyAlignment="1">
      <alignment horizontal="center" vertical="center"/>
    </xf>
    <xf numFmtId="3" fontId="12" fillId="0" borderId="62" xfId="5" applyNumberFormat="1" applyFont="1" applyFill="1" applyBorder="1" applyAlignment="1">
      <alignment horizontal="right"/>
    </xf>
    <xf numFmtId="10" fontId="13" fillId="0" borderId="17" xfId="7" applyNumberFormat="1" applyFont="1" applyFill="1" applyBorder="1" applyAlignment="1">
      <alignment horizontal="center" vertical="center"/>
    </xf>
    <xf numFmtId="3" fontId="13" fillId="0" borderId="18" xfId="5" applyNumberFormat="1" applyFont="1" applyFill="1" applyBorder="1" applyAlignment="1">
      <alignment horizontal="right"/>
    </xf>
    <xf numFmtId="10" fontId="13" fillId="0" borderId="55" xfId="5" applyNumberFormat="1" applyFont="1" applyFill="1" applyBorder="1" applyAlignment="1">
      <alignment horizontal="center" vertical="center"/>
    </xf>
    <xf numFmtId="0" fontId="13" fillId="0" borderId="63" xfId="5" applyFont="1" applyFill="1" applyBorder="1" applyAlignment="1">
      <alignment horizontal="center" vertical="center"/>
    </xf>
    <xf numFmtId="0" fontId="13" fillId="0" borderId="64" xfId="5" applyFont="1" applyFill="1" applyBorder="1" applyAlignment="1">
      <alignment horizontal="center" vertical="center"/>
    </xf>
    <xf numFmtId="3" fontId="14" fillId="0" borderId="67" xfId="5" applyNumberFormat="1" applyFont="1" applyFill="1" applyBorder="1" applyAlignment="1">
      <alignment horizontal="right"/>
    </xf>
    <xf numFmtId="0" fontId="12" fillId="0" borderId="0" xfId="5" applyFont="1" applyFill="1" applyBorder="1"/>
    <xf numFmtId="3" fontId="12" fillId="0" borderId="0" xfId="5" applyNumberFormat="1" applyFont="1" applyFill="1" applyBorder="1" applyAlignment="1">
      <alignment horizontal="right" vertical="center"/>
    </xf>
    <xf numFmtId="0" fontId="12" fillId="0" borderId="64" xfId="5" applyFont="1" applyFill="1" applyBorder="1"/>
    <xf numFmtId="0" fontId="12" fillId="0" borderId="64" xfId="5" applyFont="1" applyFill="1" applyBorder="1" applyAlignment="1">
      <alignment horizontal="right" vertical="center"/>
    </xf>
    <xf numFmtId="3" fontId="12" fillId="0" borderId="64" xfId="6" applyNumberFormat="1" applyFont="1" applyFill="1" applyBorder="1" applyAlignment="1">
      <alignment horizontal="right"/>
    </xf>
    <xf numFmtId="0" fontId="12" fillId="0" borderId="17" xfId="5" applyFont="1" applyFill="1" applyBorder="1" applyAlignment="1">
      <alignment horizontal="center" vertical="center"/>
    </xf>
    <xf numFmtId="0" fontId="10" fillId="0" borderId="38" xfId="5" applyFont="1" applyFill="1" applyBorder="1" applyAlignment="1">
      <alignment horizontal="center" vertical="center" wrapText="1"/>
    </xf>
    <xf numFmtId="168" fontId="0" fillId="0" borderId="0" xfId="5" applyNumberFormat="1" applyFont="1" applyFill="1"/>
    <xf numFmtId="4" fontId="13" fillId="0" borderId="55" xfId="5" applyNumberFormat="1" applyFont="1" applyFill="1" applyBorder="1" applyAlignment="1">
      <alignment vertical="center"/>
    </xf>
    <xf numFmtId="167" fontId="13" fillId="0" borderId="55" xfId="5" applyNumberFormat="1" applyFont="1" applyFill="1" applyBorder="1" applyAlignment="1">
      <alignment horizontal="center" vertical="center"/>
    </xf>
    <xf numFmtId="3" fontId="12" fillId="0" borderId="56" xfId="5" applyNumberFormat="1" applyFont="1" applyFill="1" applyBorder="1" applyAlignment="1">
      <alignment horizontal="right"/>
    </xf>
    <xf numFmtId="0" fontId="12" fillId="0" borderId="41" xfId="5" applyFont="1" applyFill="1" applyBorder="1" applyAlignment="1">
      <alignment horizontal="center" vertical="justify" wrapText="1"/>
    </xf>
    <xf numFmtId="0" fontId="13" fillId="0" borderId="69" xfId="5" applyFont="1" applyFill="1" applyBorder="1" applyAlignment="1">
      <alignment horizontal="center"/>
    </xf>
    <xf numFmtId="0" fontId="0" fillId="0" borderId="68" xfId="5" applyFont="1" applyFill="1" applyBorder="1"/>
    <xf numFmtId="0" fontId="0" fillId="0" borderId="63" xfId="5" applyFont="1" applyFill="1" applyBorder="1"/>
    <xf numFmtId="0" fontId="0" fillId="0" borderId="24" xfId="5" applyFont="1" applyFill="1" applyBorder="1"/>
    <xf numFmtId="4" fontId="13" fillId="0" borderId="28" xfId="5" applyNumberFormat="1" applyFont="1" applyFill="1" applyBorder="1" applyAlignment="1">
      <alignment horizontal="center" vertical="center"/>
    </xf>
    <xf numFmtId="0" fontId="13" fillId="0" borderId="26" xfId="5" applyFont="1" applyFill="1" applyBorder="1" applyAlignment="1">
      <alignment horizontal="center" vertical="center"/>
    </xf>
    <xf numFmtId="4" fontId="13" fillId="0" borderId="26" xfId="5" applyNumberFormat="1" applyFont="1" applyFill="1" applyBorder="1" applyAlignment="1">
      <alignment horizontal="center" vertical="center"/>
    </xf>
    <xf numFmtId="3" fontId="13" fillId="0" borderId="6" xfId="5" applyNumberFormat="1" applyFont="1" applyFill="1" applyBorder="1" applyAlignment="1">
      <alignment horizontal="right" vertical="center"/>
    </xf>
    <xf numFmtId="4" fontId="13" fillId="0" borderId="50" xfId="5" applyNumberFormat="1" applyFont="1" applyFill="1" applyBorder="1" applyAlignment="1">
      <alignment horizontal="right" vertical="center"/>
    </xf>
    <xf numFmtId="2" fontId="13" fillId="0" borderId="50" xfId="7" applyNumberFormat="1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/>
    </xf>
    <xf numFmtId="0" fontId="12" fillId="0" borderId="50" xfId="5" applyFont="1" applyFill="1" applyBorder="1" applyAlignment="1">
      <alignment horizontal="center" vertical="center"/>
    </xf>
    <xf numFmtId="0" fontId="12" fillId="0" borderId="55" xfId="5" applyFont="1" applyFill="1" applyBorder="1" applyAlignment="1">
      <alignment horizontal="center" vertical="center"/>
    </xf>
    <xf numFmtId="0" fontId="0" fillId="0" borderId="57" xfId="5" applyFont="1" applyFill="1" applyBorder="1"/>
    <xf numFmtId="0" fontId="12" fillId="0" borderId="64" xfId="5" applyFont="1" applyFill="1" applyBorder="1" applyAlignment="1">
      <alignment horizontal="center"/>
    </xf>
    <xf numFmtId="3" fontId="12" fillId="0" borderId="64" xfId="5" applyNumberFormat="1" applyFont="1" applyFill="1" applyBorder="1" applyAlignment="1">
      <alignment horizontal="right"/>
    </xf>
    <xf numFmtId="0" fontId="13" fillId="0" borderId="0" xfId="15" applyFont="1" applyProtection="1"/>
    <xf numFmtId="0" fontId="13" fillId="0" borderId="0" xfId="15" applyFont="1" applyAlignment="1" applyProtection="1">
      <alignment horizontal="left"/>
    </xf>
    <xf numFmtId="4" fontId="13" fillId="0" borderId="0" xfId="15" applyNumberFormat="1" applyFont="1" applyProtection="1"/>
    <xf numFmtId="0" fontId="17" fillId="5" borderId="38" xfId="15" applyFont="1" applyFill="1" applyBorder="1" applyAlignment="1" applyProtection="1">
      <alignment horizontal="center" vertical="center"/>
    </xf>
    <xf numFmtId="0" fontId="19" fillId="0" borderId="0" xfId="15" applyFont="1" applyProtection="1"/>
    <xf numFmtId="0" fontId="13" fillId="0" borderId="76" xfId="15" applyFont="1" applyBorder="1" applyAlignment="1" applyProtection="1">
      <alignment horizontal="right"/>
    </xf>
    <xf numFmtId="15" fontId="13" fillId="6" borderId="77" xfId="15" applyNumberFormat="1" applyFont="1" applyFill="1" applyBorder="1" applyAlignment="1" applyProtection="1">
      <alignment horizontal="center" vertical="center"/>
    </xf>
    <xf numFmtId="0" fontId="12" fillId="0" borderId="0" xfId="15" applyFont="1" applyBorder="1" applyAlignment="1" applyProtection="1"/>
    <xf numFmtId="0" fontId="13" fillId="0" borderId="81" xfId="15" applyFont="1" applyBorder="1" applyAlignment="1" applyProtection="1">
      <alignment horizontal="right"/>
    </xf>
    <xf numFmtId="15" fontId="13" fillId="6" borderId="82" xfId="15" applyNumberFormat="1" applyFont="1" applyFill="1" applyBorder="1" applyAlignment="1" applyProtection="1">
      <alignment horizontal="center" vertical="center"/>
    </xf>
    <xf numFmtId="0" fontId="10" fillId="0" borderId="83" xfId="15" applyFont="1" applyBorder="1" applyAlignment="1" applyProtection="1">
      <alignment horizontal="right" vertical="center"/>
    </xf>
    <xf numFmtId="0" fontId="12" fillId="0" borderId="84" xfId="15" applyFont="1" applyBorder="1" applyAlignment="1" applyProtection="1">
      <alignment horizontal="center" vertical="center"/>
    </xf>
    <xf numFmtId="3" fontId="2" fillId="0" borderId="84" xfId="15" applyNumberFormat="1" applyFont="1" applyBorder="1" applyAlignment="1" applyProtection="1">
      <alignment horizontal="center" vertical="center"/>
    </xf>
    <xf numFmtId="175" fontId="2" fillId="6" borderId="84" xfId="15" applyNumberFormat="1" applyFont="1" applyFill="1" applyBorder="1" applyAlignment="1" applyProtection="1">
      <alignment horizontal="center" vertical="center"/>
      <protection locked="0"/>
    </xf>
    <xf numFmtId="175" fontId="2" fillId="0" borderId="87" xfId="15" applyNumberFormat="1" applyFont="1" applyBorder="1" applyAlignment="1" applyProtection="1">
      <alignment horizontal="center" vertical="center"/>
    </xf>
    <xf numFmtId="0" fontId="13" fillId="0" borderId="83" xfId="15" applyFont="1" applyBorder="1" applyAlignment="1" applyProtection="1">
      <alignment horizontal="right"/>
    </xf>
    <xf numFmtId="3" fontId="13" fillId="6" borderId="87" xfId="15" applyNumberFormat="1" applyFont="1" applyFill="1" applyBorder="1" applyAlignment="1" applyProtection="1">
      <alignment horizontal="center" vertical="center"/>
    </xf>
    <xf numFmtId="0" fontId="11" fillId="0" borderId="0" xfId="15" applyFont="1" applyProtection="1"/>
    <xf numFmtId="12" fontId="10" fillId="0" borderId="89" xfId="15" applyNumberFormat="1" applyFont="1" applyBorder="1" applyAlignment="1" applyProtection="1">
      <alignment horizontal="centerContinuous"/>
    </xf>
    <xf numFmtId="0" fontId="10" fillId="0" borderId="90" xfId="15" applyFont="1" applyBorder="1" applyAlignment="1" applyProtection="1">
      <alignment horizontal="centerContinuous"/>
    </xf>
    <xf numFmtId="0" fontId="13" fillId="0" borderId="63" xfId="15" applyFont="1" applyBorder="1" applyProtection="1"/>
    <xf numFmtId="0" fontId="13" fillId="0" borderId="64" xfId="15" applyFont="1" applyBorder="1" applyProtection="1"/>
    <xf numFmtId="0" fontId="13" fillId="0" borderId="27" xfId="15" applyFont="1" applyBorder="1" applyAlignment="1" applyProtection="1">
      <alignment horizontal="left"/>
    </xf>
    <xf numFmtId="0" fontId="13" fillId="0" borderId="64" xfId="15" applyFont="1" applyBorder="1" applyAlignment="1" applyProtection="1">
      <alignment horizontal="right"/>
    </xf>
    <xf numFmtId="0" fontId="13" fillId="0" borderId="27" xfId="15" applyFont="1" applyBorder="1" applyAlignment="1" applyProtection="1">
      <alignment horizontal="center"/>
    </xf>
    <xf numFmtId="0" fontId="13" fillId="0" borderId="91" xfId="15" applyFont="1" applyBorder="1" applyAlignment="1" applyProtection="1">
      <alignment horizontal="right"/>
    </xf>
    <xf numFmtId="0" fontId="13" fillId="0" borderId="64" xfId="15" applyFont="1" applyBorder="1" applyAlignment="1" applyProtection="1">
      <alignment horizontal="center"/>
    </xf>
    <xf numFmtId="0" fontId="13" fillId="0" borderId="24" xfId="15" applyFont="1" applyBorder="1" applyAlignment="1" applyProtection="1">
      <alignment horizontal="center"/>
    </xf>
    <xf numFmtId="0" fontId="13" fillId="0" borderId="92" xfId="15" applyFont="1" applyBorder="1" applyAlignment="1" applyProtection="1">
      <alignment horizontal="right"/>
    </xf>
    <xf numFmtId="0" fontId="13" fillId="0" borderId="93" xfId="15" applyFont="1" applyBorder="1" applyAlignment="1" applyProtection="1">
      <alignment horizontal="center"/>
    </xf>
    <xf numFmtId="0" fontId="13" fillId="0" borderId="36" xfId="15" applyFont="1" applyBorder="1" applyProtection="1"/>
    <xf numFmtId="0" fontId="13" fillId="0" borderId="0" xfId="15" applyFont="1" applyBorder="1" applyAlignment="1" applyProtection="1">
      <alignment horizontal="center"/>
    </xf>
    <xf numFmtId="0" fontId="13" fillId="0" borderId="26" xfId="15" applyFont="1" applyBorder="1" applyAlignment="1" applyProtection="1">
      <alignment horizontal="left"/>
    </xf>
    <xf numFmtId="0" fontId="13" fillId="0" borderId="26" xfId="15" applyFont="1" applyBorder="1" applyAlignment="1" applyProtection="1">
      <alignment horizontal="center"/>
    </xf>
    <xf numFmtId="3" fontId="13" fillId="0" borderId="0" xfId="15" applyNumberFormat="1" applyFont="1" applyBorder="1" applyProtection="1"/>
    <xf numFmtId="3" fontId="13" fillId="0" borderId="94" xfId="15" applyNumberFormat="1" applyFont="1" applyBorder="1" applyProtection="1"/>
    <xf numFmtId="0" fontId="13" fillId="0" borderId="37" xfId="15" applyFont="1" applyBorder="1" applyAlignment="1" applyProtection="1">
      <alignment horizontal="center"/>
    </xf>
    <xf numFmtId="0" fontId="13" fillId="0" borderId="0" xfId="15" applyFont="1" applyBorder="1" applyAlignment="1" applyProtection="1">
      <alignment horizontal="left"/>
    </xf>
    <xf numFmtId="3" fontId="13" fillId="6" borderId="95" xfId="15" applyNumberFormat="1" applyFont="1" applyFill="1" applyBorder="1" applyProtection="1"/>
    <xf numFmtId="0" fontId="13" fillId="0" borderId="96" xfId="15" applyFont="1" applyBorder="1" applyAlignment="1" applyProtection="1">
      <alignment horizontal="center"/>
    </xf>
    <xf numFmtId="0" fontId="13" fillId="0" borderId="19" xfId="15" applyFont="1" applyBorder="1" applyProtection="1"/>
    <xf numFmtId="0" fontId="13" fillId="0" borderId="29" xfId="15" applyFont="1" applyBorder="1" applyAlignment="1" applyProtection="1">
      <alignment horizontal="center"/>
    </xf>
    <xf numFmtId="0" fontId="13" fillId="0" borderId="20" xfId="15" applyFont="1" applyBorder="1" applyAlignment="1" applyProtection="1">
      <alignment horizontal="left"/>
    </xf>
    <xf numFmtId="3" fontId="13" fillId="0" borderId="29" xfId="15" applyNumberFormat="1" applyFont="1" applyBorder="1" applyProtection="1"/>
    <xf numFmtId="0" fontId="13" fillId="0" borderId="20" xfId="15" applyFont="1" applyBorder="1" applyAlignment="1" applyProtection="1">
      <alignment horizontal="center"/>
    </xf>
    <xf numFmtId="3" fontId="13" fillId="0" borderId="97" xfId="15" applyNumberFormat="1" applyFont="1" applyBorder="1" applyProtection="1"/>
    <xf numFmtId="0" fontId="13" fillId="0" borderId="98" xfId="15" applyFont="1" applyBorder="1" applyAlignment="1" applyProtection="1">
      <alignment horizontal="center"/>
    </xf>
    <xf numFmtId="3" fontId="13" fillId="0" borderId="99" xfId="15" applyNumberFormat="1" applyFont="1" applyBorder="1" applyProtection="1"/>
    <xf numFmtId="0" fontId="13" fillId="0" borderId="100" xfId="15" applyFont="1" applyBorder="1" applyAlignment="1" applyProtection="1">
      <alignment horizontal="center"/>
    </xf>
    <xf numFmtId="0" fontId="13" fillId="0" borderId="43" xfId="15" applyFont="1" applyBorder="1" applyProtection="1"/>
    <xf numFmtId="0" fontId="13" fillId="0" borderId="30" xfId="15" applyFont="1" applyBorder="1" applyAlignment="1" applyProtection="1">
      <alignment horizontal="center"/>
    </xf>
    <xf numFmtId="0" fontId="13" fillId="0" borderId="28" xfId="15" applyFont="1" applyBorder="1" applyAlignment="1" applyProtection="1">
      <alignment horizontal="left"/>
    </xf>
    <xf numFmtId="3" fontId="13" fillId="0" borderId="30" xfId="15" applyNumberFormat="1" applyFont="1" applyBorder="1" applyProtection="1"/>
    <xf numFmtId="0" fontId="13" fillId="0" borderId="28" xfId="15" applyFont="1" applyBorder="1" applyAlignment="1" applyProtection="1">
      <alignment horizontal="center"/>
    </xf>
    <xf numFmtId="3" fontId="13" fillId="0" borderId="101" xfId="15" applyNumberFormat="1" applyFont="1" applyBorder="1" applyProtection="1"/>
    <xf numFmtId="0" fontId="13" fillId="0" borderId="74" xfId="15" applyFont="1" applyBorder="1" applyAlignment="1" applyProtection="1">
      <alignment horizontal="center"/>
    </xf>
    <xf numFmtId="3" fontId="13" fillId="0" borderId="102" xfId="15" applyNumberFormat="1" applyFont="1" applyBorder="1" applyProtection="1"/>
    <xf numFmtId="0" fontId="13" fillId="0" borderId="103" xfId="15" applyFont="1" applyBorder="1" applyAlignment="1" applyProtection="1">
      <alignment horizontal="center"/>
    </xf>
    <xf numFmtId="0" fontId="13" fillId="0" borderId="71" xfId="15" applyFont="1" applyBorder="1" applyProtection="1"/>
    <xf numFmtId="0" fontId="13" fillId="0" borderId="68" xfId="15" applyFont="1" applyBorder="1" applyAlignment="1" applyProtection="1">
      <alignment horizontal="center"/>
    </xf>
    <xf numFmtId="0" fontId="13" fillId="0" borderId="72" xfId="15" applyFont="1" applyBorder="1" applyAlignment="1" applyProtection="1">
      <alignment horizontal="left"/>
    </xf>
    <xf numFmtId="3" fontId="13" fillId="0" borderId="68" xfId="15" applyNumberFormat="1" applyFont="1" applyBorder="1" applyProtection="1"/>
    <xf numFmtId="4" fontId="13" fillId="0" borderId="72" xfId="15" applyNumberFormat="1" applyFont="1" applyBorder="1" applyAlignment="1" applyProtection="1">
      <alignment horizontal="center"/>
    </xf>
    <xf numFmtId="3" fontId="13" fillId="0" borderId="104" xfId="15" applyNumberFormat="1" applyFont="1" applyBorder="1" applyProtection="1"/>
    <xf numFmtId="4" fontId="13" fillId="0" borderId="68" xfId="15" applyNumberFormat="1" applyFont="1" applyBorder="1" applyAlignment="1" applyProtection="1">
      <alignment horizontal="center"/>
    </xf>
    <xf numFmtId="4" fontId="13" fillId="0" borderId="105" xfId="15" applyNumberFormat="1" applyFont="1" applyBorder="1" applyAlignment="1" applyProtection="1">
      <alignment horizontal="center"/>
    </xf>
    <xf numFmtId="3" fontId="13" fillId="0" borderId="106" xfId="15" applyNumberFormat="1" applyFont="1" applyBorder="1" applyProtection="1"/>
    <xf numFmtId="4" fontId="13" fillId="0" borderId="107" xfId="15" applyNumberFormat="1" applyFont="1" applyBorder="1" applyAlignment="1" applyProtection="1">
      <alignment horizontal="center"/>
    </xf>
    <xf numFmtId="4" fontId="13" fillId="0" borderId="20" xfId="15" applyNumberFormat="1" applyFont="1" applyBorder="1" applyAlignment="1" applyProtection="1">
      <alignment horizontal="center"/>
    </xf>
    <xf numFmtId="3" fontId="13" fillId="0" borderId="91" xfId="15" applyNumberFormat="1" applyFont="1" applyBorder="1" applyProtection="1"/>
    <xf numFmtId="4" fontId="13" fillId="0" borderId="64" xfId="15" applyNumberFormat="1" applyFont="1" applyBorder="1" applyAlignment="1" applyProtection="1">
      <alignment horizontal="center"/>
    </xf>
    <xf numFmtId="4" fontId="13" fillId="0" borderId="24" xfId="15" applyNumberFormat="1" applyFont="1" applyBorder="1" applyAlignment="1" applyProtection="1">
      <alignment horizontal="center"/>
    </xf>
    <xf numFmtId="3" fontId="13" fillId="0" borderId="92" xfId="15" applyNumberFormat="1" applyFont="1" applyBorder="1" applyProtection="1"/>
    <xf numFmtId="4" fontId="13" fillId="0" borderId="93" xfId="15" applyNumberFormat="1" applyFont="1" applyBorder="1" applyAlignment="1" applyProtection="1">
      <alignment horizontal="center"/>
    </xf>
    <xf numFmtId="0" fontId="13" fillId="0" borderId="1" xfId="15" applyFont="1" applyBorder="1" applyProtection="1"/>
    <xf numFmtId="0" fontId="13" fillId="0" borderId="88" xfId="15" applyFont="1" applyBorder="1" applyProtection="1"/>
    <xf numFmtId="0" fontId="13" fillId="0" borderId="25" xfId="15" applyFont="1" applyBorder="1" applyAlignment="1" applyProtection="1">
      <alignment horizontal="left"/>
    </xf>
    <xf numFmtId="4" fontId="13" fillId="0" borderId="88" xfId="15" applyNumberFormat="1" applyFont="1" applyBorder="1" applyProtection="1"/>
    <xf numFmtId="0" fontId="13" fillId="0" borderId="25" xfId="15" applyFont="1" applyBorder="1" applyProtection="1"/>
    <xf numFmtId="0" fontId="13" fillId="0" borderId="94" xfId="15" applyFont="1" applyBorder="1" applyProtection="1"/>
    <xf numFmtId="0" fontId="13" fillId="0" borderId="0" xfId="15" applyFont="1" applyBorder="1" applyProtection="1"/>
    <xf numFmtId="0" fontId="13" fillId="0" borderId="37" xfId="15" applyFont="1" applyBorder="1" applyProtection="1"/>
    <xf numFmtId="0" fontId="13" fillId="0" borderId="95" xfId="15" applyFont="1" applyBorder="1" applyProtection="1"/>
    <xf numFmtId="0" fontId="13" fillId="0" borderId="96" xfId="15" applyFont="1" applyBorder="1" applyProtection="1"/>
    <xf numFmtId="0" fontId="12" fillId="0" borderId="7" xfId="15" applyFont="1" applyBorder="1" applyAlignment="1" applyProtection="1">
      <alignment horizontal="center" vertical="center"/>
    </xf>
    <xf numFmtId="0" fontId="12" fillId="0" borderId="91" xfId="15" applyFont="1" applyBorder="1" applyAlignment="1" applyProtection="1">
      <alignment horizontal="center" vertical="center"/>
    </xf>
    <xf numFmtId="0" fontId="12" fillId="0" borderId="27" xfId="15" applyFont="1" applyBorder="1" applyAlignment="1" applyProtection="1">
      <alignment horizontal="center" vertical="center"/>
    </xf>
    <xf numFmtId="0" fontId="12" fillId="0" borderId="64" xfId="15" applyFont="1" applyBorder="1" applyAlignment="1" applyProtection="1">
      <alignment horizontal="center" vertical="center"/>
    </xf>
    <xf numFmtId="0" fontId="12" fillId="0" borderId="24" xfId="15" applyFont="1" applyBorder="1" applyAlignment="1" applyProtection="1">
      <alignment horizontal="center" vertical="center"/>
    </xf>
    <xf numFmtId="0" fontId="12" fillId="0" borderId="92" xfId="15" applyFont="1" applyBorder="1" applyAlignment="1" applyProtection="1">
      <alignment horizontal="right"/>
    </xf>
    <xf numFmtId="0" fontId="12" fillId="0" borderId="93" xfId="15" applyFont="1" applyBorder="1" applyAlignment="1" applyProtection="1">
      <alignment horizontal="right"/>
    </xf>
    <xf numFmtId="0" fontId="12" fillId="7" borderId="4" xfId="15" applyFont="1" applyFill="1" applyBorder="1" applyAlignment="1" applyProtection="1">
      <alignment horizontal="center" vertical="center"/>
    </xf>
    <xf numFmtId="0" fontId="12" fillId="7" borderId="94" xfId="15" applyFont="1" applyFill="1" applyBorder="1" applyAlignment="1" applyProtection="1">
      <alignment vertical="center"/>
    </xf>
    <xf numFmtId="0" fontId="12" fillId="7" borderId="26" xfId="15" applyFont="1" applyFill="1" applyBorder="1" applyAlignment="1" applyProtection="1">
      <alignment horizontal="left" vertical="center"/>
    </xf>
    <xf numFmtId="4" fontId="12" fillId="7" borderId="94" xfId="15" applyNumberFormat="1" applyFont="1" applyFill="1" applyBorder="1" applyAlignment="1" applyProtection="1">
      <alignment vertical="center"/>
    </xf>
    <xf numFmtId="0" fontId="12" fillId="7" borderId="26" xfId="15" applyFont="1" applyFill="1" applyBorder="1" applyAlignment="1" applyProtection="1">
      <alignment vertical="center"/>
    </xf>
    <xf numFmtId="0" fontId="12" fillId="7" borderId="0" xfId="15" applyFont="1" applyFill="1" applyBorder="1" applyAlignment="1" applyProtection="1">
      <alignment vertical="center"/>
    </xf>
    <xf numFmtId="0" fontId="12" fillId="7" borderId="37" xfId="15" applyFont="1" applyFill="1" applyBorder="1" applyAlignment="1" applyProtection="1">
      <alignment vertical="center"/>
    </xf>
    <xf numFmtId="0" fontId="12" fillId="7" borderId="4" xfId="15" applyFont="1" applyFill="1" applyBorder="1" applyAlignment="1" applyProtection="1">
      <alignment horizontal="center" vertical="center" wrapText="1"/>
    </xf>
    <xf numFmtId="0" fontId="13" fillId="0" borderId="0" xfId="15" applyFont="1" applyAlignment="1" applyProtection="1">
      <alignment vertical="center"/>
    </xf>
    <xf numFmtId="4" fontId="12" fillId="7" borderId="95" xfId="15" applyNumberFormat="1" applyFont="1" applyFill="1" applyBorder="1" applyAlignment="1" applyProtection="1">
      <alignment vertical="center"/>
    </xf>
    <xf numFmtId="0" fontId="12" fillId="7" borderId="96" xfId="15" applyFont="1" applyFill="1" applyBorder="1" applyAlignment="1" applyProtection="1">
      <alignment vertical="center"/>
    </xf>
    <xf numFmtId="0" fontId="13" fillId="0" borderId="4" xfId="15" applyFont="1" applyBorder="1" applyProtection="1"/>
    <xf numFmtId="3" fontId="13" fillId="0" borderId="94" xfId="16" applyNumberFormat="1" applyFont="1" applyBorder="1" applyProtection="1"/>
    <xf numFmtId="10" fontId="13" fillId="0" borderId="26" xfId="16" applyNumberFormat="1" applyFont="1" applyBorder="1" applyProtection="1"/>
    <xf numFmtId="10" fontId="13" fillId="0" borderId="0" xfId="16" applyNumberFormat="1" applyFont="1" applyBorder="1" applyProtection="1"/>
    <xf numFmtId="10" fontId="13" fillId="0" borderId="37" xfId="16" applyNumberFormat="1" applyFont="1" applyBorder="1" applyProtection="1"/>
    <xf numFmtId="3" fontId="13" fillId="0" borderId="95" xfId="16" applyNumberFormat="1" applyFont="1" applyBorder="1" applyProtection="1"/>
    <xf numFmtId="10" fontId="13" fillId="0" borderId="96" xfId="16" applyNumberFormat="1" applyFont="1" applyBorder="1" applyProtection="1"/>
    <xf numFmtId="0" fontId="13" fillId="0" borderId="94" xfId="15" applyFont="1" applyBorder="1" applyAlignment="1" applyProtection="1">
      <alignment horizontal="left"/>
    </xf>
    <xf numFmtId="176" fontId="13" fillId="0" borderId="26" xfId="15" applyNumberFormat="1" applyFont="1" applyBorder="1" applyAlignment="1" applyProtection="1">
      <alignment horizontal="left"/>
    </xf>
    <xf numFmtId="10" fontId="13" fillId="0" borderId="26" xfId="16" applyNumberFormat="1" applyFont="1" applyBorder="1" applyAlignment="1" applyProtection="1">
      <alignment horizontal="left"/>
    </xf>
    <xf numFmtId="175" fontId="21" fillId="0" borderId="94" xfId="15" applyNumberFormat="1" applyFont="1" applyBorder="1" applyAlignment="1" applyProtection="1">
      <alignment horizontal="left"/>
    </xf>
    <xf numFmtId="175" fontId="13" fillId="0" borderId="94" xfId="15" applyNumberFormat="1" applyFont="1" applyBorder="1" applyAlignment="1" applyProtection="1">
      <alignment horizontal="left"/>
    </xf>
    <xf numFmtId="0" fontId="13" fillId="0" borderId="7" xfId="15" applyFont="1" applyBorder="1" applyProtection="1"/>
    <xf numFmtId="0" fontId="13" fillId="0" borderId="91" xfId="15" applyFont="1" applyBorder="1" applyAlignment="1" applyProtection="1">
      <alignment horizontal="left"/>
    </xf>
    <xf numFmtId="10" fontId="13" fillId="0" borderId="27" xfId="16" applyNumberFormat="1" applyFont="1" applyBorder="1" applyAlignment="1" applyProtection="1">
      <alignment horizontal="left"/>
    </xf>
    <xf numFmtId="3" fontId="13" fillId="0" borderId="91" xfId="16" applyNumberFormat="1" applyFont="1" applyBorder="1" applyProtection="1"/>
    <xf numFmtId="10" fontId="13" fillId="0" borderId="27" xfId="16" applyNumberFormat="1" applyFont="1" applyBorder="1" applyProtection="1"/>
    <xf numFmtId="10" fontId="13" fillId="0" borderId="64" xfId="16" applyNumberFormat="1" applyFont="1" applyBorder="1" applyProtection="1"/>
    <xf numFmtId="10" fontId="13" fillId="0" borderId="24" xfId="16" applyNumberFormat="1" applyFont="1" applyBorder="1" applyProtection="1"/>
    <xf numFmtId="3" fontId="13" fillId="0" borderId="92" xfId="16" applyNumberFormat="1" applyFont="1" applyBorder="1" applyProtection="1"/>
    <xf numFmtId="10" fontId="13" fillId="0" borderId="93" xfId="16" applyNumberFormat="1" applyFont="1" applyBorder="1" applyProtection="1"/>
    <xf numFmtId="3" fontId="12" fillId="0" borderId="91" xfId="15" applyNumberFormat="1" applyFont="1" applyBorder="1" applyAlignment="1" applyProtection="1">
      <alignment vertical="center"/>
    </xf>
    <xf numFmtId="10" fontId="12" fillId="0" borderId="27" xfId="15" applyNumberFormat="1" applyFont="1" applyBorder="1" applyAlignment="1" applyProtection="1">
      <alignment vertical="center"/>
    </xf>
    <xf numFmtId="177" fontId="12" fillId="0" borderId="91" xfId="17" applyNumberFormat="1" applyFont="1" applyBorder="1" applyAlignment="1" applyProtection="1">
      <alignment vertical="center"/>
    </xf>
    <xf numFmtId="10" fontId="12" fillId="0" borderId="64" xfId="15" applyNumberFormat="1" applyFont="1" applyBorder="1" applyAlignment="1" applyProtection="1">
      <alignment vertical="center"/>
    </xf>
    <xf numFmtId="10" fontId="12" fillId="0" borderId="24" xfId="15" applyNumberFormat="1" applyFont="1" applyBorder="1" applyAlignment="1" applyProtection="1">
      <alignment vertical="center"/>
    </xf>
    <xf numFmtId="0" fontId="12" fillId="0" borderId="0" xfId="15" applyFont="1" applyAlignment="1" applyProtection="1">
      <alignment vertical="center"/>
    </xf>
    <xf numFmtId="177" fontId="12" fillId="0" borderId="108" xfId="17" applyNumberFormat="1" applyFont="1" applyBorder="1" applyAlignment="1" applyProtection="1">
      <alignment vertical="center"/>
    </xf>
    <xf numFmtId="10" fontId="12" fillId="0" borderId="109" xfId="15" applyNumberFormat="1" applyFont="1" applyBorder="1" applyAlignment="1" applyProtection="1">
      <alignment vertical="center"/>
    </xf>
    <xf numFmtId="0" fontId="12" fillId="0" borderId="7" xfId="15" applyFont="1" applyBorder="1" applyAlignment="1" applyProtection="1">
      <alignment vertical="center"/>
    </xf>
    <xf numFmtId="177" fontId="12" fillId="0" borderId="0" xfId="17" applyNumberFormat="1" applyFont="1" applyBorder="1" applyAlignment="1" applyProtection="1">
      <alignment vertical="center"/>
    </xf>
    <xf numFmtId="10" fontId="12" fillId="0" borderId="0" xfId="15" applyNumberFormat="1" applyFont="1" applyBorder="1" applyAlignment="1" applyProtection="1">
      <alignment vertical="center"/>
    </xf>
    <xf numFmtId="0" fontId="10" fillId="0" borderId="33" xfId="15" applyFont="1" applyBorder="1" applyAlignment="1" applyProtection="1">
      <alignment horizontal="centerContinuous"/>
    </xf>
    <xf numFmtId="0" fontId="12" fillId="0" borderId="34" xfId="15" applyFont="1" applyBorder="1" applyAlignment="1" applyProtection="1">
      <alignment horizontal="centerContinuous"/>
    </xf>
    <xf numFmtId="4" fontId="12" fillId="0" borderId="34" xfId="15" applyNumberFormat="1" applyFont="1" applyBorder="1" applyAlignment="1" applyProtection="1">
      <alignment horizontal="centerContinuous"/>
    </xf>
    <xf numFmtId="10" fontId="12" fillId="0" borderId="34" xfId="15" applyNumberFormat="1" applyFont="1" applyBorder="1" applyAlignment="1" applyProtection="1">
      <alignment horizontal="centerContinuous"/>
    </xf>
    <xf numFmtId="0" fontId="12" fillId="0" borderId="34" xfId="15" applyFont="1" applyBorder="1" applyProtection="1"/>
    <xf numFmtId="0" fontId="12" fillId="0" borderId="35" xfId="15" applyFont="1" applyBorder="1" applyProtection="1"/>
    <xf numFmtId="0" fontId="12" fillId="0" borderId="0" xfId="15" applyFont="1" applyProtection="1"/>
    <xf numFmtId="0" fontId="22" fillId="0" borderId="36" xfId="15" applyFont="1" applyBorder="1" applyAlignment="1" applyProtection="1">
      <alignment horizontal="left" indent="6"/>
    </xf>
    <xf numFmtId="0" fontId="20" fillId="0" borderId="0" xfId="15" applyFont="1" applyBorder="1" applyAlignment="1" applyProtection="1">
      <alignment horizontal="left"/>
    </xf>
    <xf numFmtId="4" fontId="13" fillId="0" borderId="0" xfId="15" applyNumberFormat="1" applyFont="1" applyBorder="1" applyProtection="1"/>
    <xf numFmtId="3" fontId="13" fillId="0" borderId="0" xfId="15" applyNumberFormat="1" applyFont="1" applyProtection="1"/>
    <xf numFmtId="182" fontId="21" fillId="0" borderId="0" xfId="15" applyNumberFormat="1" applyFont="1" applyProtection="1"/>
    <xf numFmtId="183" fontId="13" fillId="0" borderId="0" xfId="15" applyNumberFormat="1" applyFont="1" applyProtection="1"/>
    <xf numFmtId="12" fontId="13" fillId="0" borderId="0" xfId="15" applyNumberFormat="1" applyFont="1" applyProtection="1"/>
    <xf numFmtId="10" fontId="13" fillId="0" borderId="0" xfId="16" applyNumberFormat="1" applyFont="1" applyProtection="1"/>
    <xf numFmtId="10" fontId="13" fillId="0" borderId="0" xfId="16" applyNumberFormat="1" applyFont="1" applyAlignment="1" applyProtection="1">
      <alignment horizontal="center"/>
    </xf>
    <xf numFmtId="0" fontId="11" fillId="0" borderId="36" xfId="15" applyFont="1" applyBorder="1" applyAlignment="1" applyProtection="1">
      <alignment horizontal="left" indent="6"/>
    </xf>
    <xf numFmtId="0" fontId="13" fillId="0" borderId="0" xfId="15" applyFont="1" applyBorder="1" applyAlignment="1" applyProtection="1">
      <alignment horizontal="right"/>
    </xf>
    <xf numFmtId="0" fontId="13" fillId="0" borderId="64" xfId="15" applyFont="1" applyBorder="1" applyAlignment="1" applyProtection="1">
      <alignment horizontal="left"/>
    </xf>
    <xf numFmtId="4" fontId="13" fillId="0" borderId="64" xfId="15" applyNumberFormat="1" applyFont="1" applyBorder="1" applyProtection="1"/>
    <xf numFmtId="0" fontId="13" fillId="0" borderId="24" xfId="15" applyFont="1" applyBorder="1" applyProtection="1"/>
    <xf numFmtId="0" fontId="23" fillId="0" borderId="0" xfId="15" applyFont="1" applyFill="1"/>
    <xf numFmtId="0" fontId="2" fillId="0" borderId="0" xfId="15"/>
    <xf numFmtId="0" fontId="15" fillId="0" borderId="0" xfId="15" applyFont="1" applyFill="1"/>
    <xf numFmtId="3" fontId="15" fillId="0" borderId="0" xfId="15" applyNumberFormat="1" applyFont="1" applyFill="1"/>
    <xf numFmtId="0" fontId="13" fillId="0" borderId="0" xfId="15" applyFont="1"/>
    <xf numFmtId="0" fontId="24" fillId="0" borderId="1" xfId="15" applyFont="1" applyFill="1" applyBorder="1" applyAlignment="1">
      <alignment horizontal="centerContinuous"/>
    </xf>
    <xf numFmtId="0" fontId="25" fillId="0" borderId="2" xfId="15" applyFont="1" applyFill="1" applyBorder="1" applyAlignment="1">
      <alignment horizontal="centerContinuous"/>
    </xf>
    <xf numFmtId="0" fontId="24" fillId="0" borderId="2" xfId="15" applyFont="1" applyFill="1" applyBorder="1" applyAlignment="1">
      <alignment horizontal="centerContinuous"/>
    </xf>
    <xf numFmtId="3" fontId="24" fillId="0" borderId="2" xfId="15" applyNumberFormat="1" applyFont="1" applyFill="1" applyBorder="1" applyAlignment="1">
      <alignment horizontal="centerContinuous"/>
    </xf>
    <xf numFmtId="0" fontId="24" fillId="0" borderId="3" xfId="15" applyFont="1" applyFill="1" applyBorder="1" applyAlignment="1">
      <alignment horizontal="centerContinuous"/>
    </xf>
    <xf numFmtId="10" fontId="13" fillId="0" borderId="0" xfId="16" applyNumberFormat="1" applyFont="1"/>
    <xf numFmtId="0" fontId="24" fillId="0" borderId="4" xfId="15" applyFont="1" applyFill="1" applyBorder="1" applyAlignment="1">
      <alignment horizontal="center"/>
    </xf>
    <xf numFmtId="0" fontId="15" fillId="0" borderId="5" xfId="15" applyFont="1" applyFill="1" applyBorder="1"/>
    <xf numFmtId="0" fontId="15" fillId="0" borderId="94" xfId="15" applyFont="1" applyFill="1" applyBorder="1"/>
    <xf numFmtId="0" fontId="15" fillId="0" borderId="0" xfId="15" applyFont="1" applyFill="1" applyBorder="1"/>
    <xf numFmtId="0" fontId="15" fillId="0" borderId="26" xfId="15" applyFont="1" applyFill="1" applyBorder="1"/>
    <xf numFmtId="184" fontId="15" fillId="0" borderId="5" xfId="15" applyNumberFormat="1" applyFont="1" applyFill="1" applyBorder="1"/>
    <xf numFmtId="0" fontId="15" fillId="0" borderId="6" xfId="15" applyFont="1" applyFill="1" applyBorder="1"/>
    <xf numFmtId="15" fontId="13" fillId="0" borderId="0" xfId="15" applyNumberFormat="1" applyFont="1"/>
    <xf numFmtId="0" fontId="24" fillId="0" borderId="110" xfId="15" applyFont="1" applyFill="1" applyBorder="1" applyAlignment="1">
      <alignment horizontal="center"/>
    </xf>
    <xf numFmtId="0" fontId="15" fillId="0" borderId="50" xfId="15" applyFont="1" applyFill="1" applyBorder="1"/>
    <xf numFmtId="0" fontId="15" fillId="0" borderId="104" xfId="15" applyFont="1" applyFill="1" applyBorder="1"/>
    <xf numFmtId="0" fontId="15" fillId="0" borderId="68" xfId="15" applyFont="1" applyFill="1" applyBorder="1"/>
    <xf numFmtId="0" fontId="15" fillId="0" borderId="72" xfId="15" applyFont="1" applyFill="1" applyBorder="1"/>
    <xf numFmtId="3" fontId="15" fillId="0" borderId="50" xfId="15" applyNumberFormat="1" applyFont="1" applyFill="1" applyBorder="1"/>
    <xf numFmtId="0" fontId="15" fillId="0" borderId="51" xfId="15" applyFont="1" applyFill="1" applyBorder="1"/>
    <xf numFmtId="3" fontId="15" fillId="0" borderId="5" xfId="15" applyNumberFormat="1" applyFont="1" applyFill="1" applyBorder="1"/>
    <xf numFmtId="0" fontId="24" fillId="0" borderId="13" xfId="15" applyFont="1" applyFill="1" applyBorder="1" applyAlignment="1">
      <alignment horizontal="center"/>
    </xf>
    <xf numFmtId="0" fontId="15" fillId="0" borderId="14" xfId="15" applyFont="1" applyFill="1" applyBorder="1"/>
    <xf numFmtId="0" fontId="15" fillId="0" borderId="97" xfId="15" applyFont="1" applyFill="1" applyBorder="1"/>
    <xf numFmtId="0" fontId="15" fillId="0" borderId="29" xfId="15" applyFont="1" applyFill="1" applyBorder="1"/>
    <xf numFmtId="0" fontId="15" fillId="0" borderId="20" xfId="15" applyFont="1" applyFill="1" applyBorder="1"/>
    <xf numFmtId="3" fontId="15" fillId="0" borderId="14" xfId="15" applyNumberFormat="1" applyFont="1" applyFill="1" applyBorder="1"/>
    <xf numFmtId="0" fontId="15" fillId="0" borderId="15" xfId="15" applyFont="1" applyFill="1" applyBorder="1"/>
    <xf numFmtId="10" fontId="15" fillId="0" borderId="5" xfId="16" applyNumberFormat="1" applyFont="1" applyFill="1" applyBorder="1"/>
    <xf numFmtId="10" fontId="15" fillId="0" borderId="0" xfId="16" applyNumberFormat="1" applyFont="1" applyFill="1" applyBorder="1"/>
    <xf numFmtId="10" fontId="15" fillId="0" borderId="6" xfId="16" applyNumberFormat="1" applyFont="1" applyFill="1" applyBorder="1"/>
    <xf numFmtId="0" fontId="24" fillId="0" borderId="7" xfId="15" applyFont="1" applyFill="1" applyBorder="1" applyAlignment="1">
      <alignment horizontal="center"/>
    </xf>
    <xf numFmtId="0" fontId="15" fillId="0" borderId="8" xfId="15" applyFont="1" applyFill="1" applyBorder="1"/>
    <xf numFmtId="0" fontId="15" fillId="0" borderId="91" xfId="15" applyFont="1" applyFill="1" applyBorder="1"/>
    <xf numFmtId="0" fontId="15" fillId="0" borderId="64" xfId="15" applyFont="1" applyFill="1" applyBorder="1"/>
    <xf numFmtId="10" fontId="15" fillId="0" borderId="64" xfId="16" applyNumberFormat="1" applyFont="1" applyFill="1" applyBorder="1"/>
    <xf numFmtId="0" fontId="15" fillId="0" borderId="27" xfId="15" applyFont="1" applyFill="1" applyBorder="1"/>
    <xf numFmtId="184" fontId="15" fillId="0" borderId="8" xfId="15" applyNumberFormat="1" applyFont="1" applyFill="1" applyBorder="1"/>
    <xf numFmtId="10" fontId="15" fillId="0" borderId="8" xfId="16" applyNumberFormat="1" applyFont="1" applyFill="1" applyBorder="1"/>
    <xf numFmtId="10" fontId="15" fillId="0" borderId="9" xfId="16" applyNumberFormat="1" applyFont="1" applyFill="1" applyBorder="1"/>
    <xf numFmtId="0" fontId="15" fillId="0" borderId="0" xfId="15" applyFont="1" applyFill="1" applyProtection="1">
      <protection locked="0"/>
    </xf>
    <xf numFmtId="0" fontId="15" fillId="0" borderId="2" xfId="15" applyFont="1" applyFill="1" applyBorder="1" applyAlignment="1">
      <alignment horizontal="centerContinuous"/>
    </xf>
    <xf numFmtId="3" fontId="15" fillId="0" borderId="2" xfId="15" applyNumberFormat="1" applyFont="1" applyFill="1" applyBorder="1" applyAlignment="1">
      <alignment horizontal="centerContinuous"/>
    </xf>
    <xf numFmtId="0" fontId="15" fillId="0" borderId="3" xfId="15" applyFont="1" applyFill="1" applyBorder="1" applyAlignment="1">
      <alignment horizontal="centerContinuous"/>
    </xf>
    <xf numFmtId="0" fontId="15" fillId="0" borderId="7" xfId="15" applyFont="1" applyFill="1" applyBorder="1" applyAlignment="1">
      <alignment horizontal="center" vertical="top" wrapText="1"/>
    </xf>
    <xf numFmtId="0" fontId="15" fillId="0" borderId="8" xfId="15" applyFont="1" applyFill="1" applyBorder="1" applyAlignment="1">
      <alignment horizontal="center" vertical="top" wrapText="1"/>
    </xf>
    <xf numFmtId="0" fontId="15" fillId="0" borderId="9" xfId="15" applyFont="1" applyFill="1" applyBorder="1" applyAlignment="1">
      <alignment horizontal="center" vertical="top" wrapText="1"/>
    </xf>
    <xf numFmtId="0" fontId="15" fillId="0" borderId="27" xfId="15" applyFont="1" applyFill="1" applyBorder="1" applyAlignment="1">
      <alignment horizontal="center" vertical="top" wrapText="1"/>
    </xf>
    <xf numFmtId="0" fontId="15" fillId="0" borderId="0" xfId="15" applyFont="1" applyFill="1" applyAlignment="1">
      <alignment horizontal="center" vertical="top" wrapText="1"/>
    </xf>
    <xf numFmtId="0" fontId="13" fillId="0" borderId="0" xfId="15" applyFont="1" applyAlignment="1">
      <alignment horizontal="center" vertical="top" wrapText="1"/>
    </xf>
    <xf numFmtId="0" fontId="15" fillId="0" borderId="4" xfId="15" applyFont="1" applyFill="1" applyBorder="1"/>
    <xf numFmtId="0" fontId="24" fillId="0" borderId="5" xfId="15" applyFont="1" applyFill="1" applyBorder="1"/>
    <xf numFmtId="0" fontId="24" fillId="0" borderId="26" xfId="15" applyFont="1" applyFill="1" applyBorder="1"/>
    <xf numFmtId="0" fontId="15" fillId="0" borderId="7" xfId="15" applyFont="1" applyFill="1" applyBorder="1"/>
    <xf numFmtId="0" fontId="24" fillId="0" borderId="8" xfId="15" applyFont="1" applyFill="1" applyBorder="1"/>
    <xf numFmtId="0" fontId="24" fillId="0" borderId="27" xfId="15" applyFont="1" applyFill="1" applyBorder="1"/>
    <xf numFmtId="0" fontId="24" fillId="0" borderId="0" xfId="15" applyFont="1" applyFill="1" applyBorder="1"/>
    <xf numFmtId="0" fontId="24" fillId="0" borderId="33" xfId="15" applyFont="1" applyFill="1" applyBorder="1" applyAlignment="1">
      <alignment horizontal="centerContinuous"/>
    </xf>
    <xf numFmtId="0" fontId="23" fillId="0" borderId="34" xfId="15" applyFont="1" applyFill="1" applyBorder="1" applyAlignment="1">
      <alignment horizontal="centerContinuous"/>
    </xf>
    <xf numFmtId="0" fontId="25" fillId="0" borderId="34" xfId="15" applyFont="1" applyFill="1" applyBorder="1" applyAlignment="1">
      <alignment horizontal="centerContinuous"/>
    </xf>
    <xf numFmtId="0" fontId="25" fillId="0" borderId="35" xfId="15" applyFont="1" applyFill="1" applyBorder="1" applyAlignment="1">
      <alignment horizontal="centerContinuous"/>
    </xf>
    <xf numFmtId="0" fontId="2" fillId="8" borderId="24" xfId="15" applyFont="1" applyFill="1" applyBorder="1" applyAlignment="1">
      <alignment horizontal="center"/>
    </xf>
    <xf numFmtId="3" fontId="15" fillId="0" borderId="10" xfId="15" applyNumberFormat="1" applyFont="1" applyFill="1" applyBorder="1"/>
    <xf numFmtId="3" fontId="15" fillId="0" borderId="21" xfId="15" applyNumberFormat="1" applyFont="1" applyFill="1" applyBorder="1" applyAlignment="1">
      <alignment horizontal="right"/>
    </xf>
    <xf numFmtId="3" fontId="15" fillId="0" borderId="23" xfId="15" applyNumberFormat="1" applyFont="1" applyFill="1" applyBorder="1" applyAlignment="1">
      <alignment horizontal="center"/>
    </xf>
    <xf numFmtId="3" fontId="15" fillId="0" borderId="32" xfId="15" applyNumberFormat="1" applyFont="1" applyFill="1" applyBorder="1" applyAlignment="1">
      <alignment horizontal="center"/>
    </xf>
    <xf numFmtId="0" fontId="10" fillId="8" borderId="111" xfId="15" applyFont="1" applyFill="1" applyBorder="1" applyAlignment="1">
      <alignment horizontal="center"/>
    </xf>
    <xf numFmtId="0" fontId="10" fillId="8" borderId="24" xfId="15" applyFont="1" applyFill="1" applyBorder="1" applyAlignment="1">
      <alignment horizontal="center"/>
    </xf>
    <xf numFmtId="0" fontId="24" fillId="0" borderId="4" xfId="15" applyFont="1" applyFill="1" applyBorder="1"/>
    <xf numFmtId="0" fontId="24" fillId="0" borderId="5" xfId="15" applyFont="1" applyFill="1" applyBorder="1" applyAlignment="1">
      <alignment horizontal="center"/>
    </xf>
    <xf numFmtId="0" fontId="24" fillId="0" borderId="6" xfId="15" applyFont="1" applyFill="1" applyBorder="1" applyAlignment="1">
      <alignment horizontal="center"/>
    </xf>
    <xf numFmtId="0" fontId="11" fillId="8" borderId="111" xfId="15" applyFont="1" applyFill="1" applyBorder="1" applyAlignment="1">
      <alignment horizontal="center"/>
    </xf>
    <xf numFmtId="0" fontId="26" fillId="9" borderId="111" xfId="15" applyFont="1" applyFill="1" applyBorder="1" applyAlignment="1">
      <alignment horizontal="center"/>
    </xf>
    <xf numFmtId="0" fontId="26" fillId="10" borderId="24" xfId="15" applyFont="1" applyFill="1" applyBorder="1" applyAlignment="1">
      <alignment horizontal="center"/>
    </xf>
    <xf numFmtId="0" fontId="26" fillId="11" borderId="24" xfId="15" applyFont="1" applyFill="1" applyBorder="1" applyAlignment="1">
      <alignment horizontal="center"/>
    </xf>
    <xf numFmtId="0" fontId="24" fillId="0" borderId="7" xfId="15" applyFont="1" applyFill="1" applyBorder="1"/>
    <xf numFmtId="0" fontId="25" fillId="0" borderId="8" xfId="15" applyFont="1" applyFill="1" applyBorder="1"/>
    <xf numFmtId="0" fontId="24" fillId="0" borderId="8" xfId="15" applyFont="1" applyFill="1" applyBorder="1" applyAlignment="1">
      <alignment horizontal="center"/>
    </xf>
    <xf numFmtId="0" fontId="15" fillId="0" borderId="8" xfId="15" applyFont="1" applyFill="1" applyBorder="1" applyAlignment="1">
      <alignment horizontal="center"/>
    </xf>
    <xf numFmtId="0" fontId="15" fillId="0" borderId="9" xfId="15" applyFont="1" applyFill="1" applyBorder="1" applyAlignment="1">
      <alignment horizontal="center"/>
    </xf>
    <xf numFmtId="0" fontId="15" fillId="0" borderId="5" xfId="15" applyFont="1" applyFill="1" applyBorder="1" applyAlignment="1">
      <alignment horizontal="center"/>
    </xf>
    <xf numFmtId="3" fontId="15" fillId="0" borderId="5" xfId="15" applyNumberFormat="1" applyFont="1" applyFill="1" applyBorder="1" applyAlignment="1">
      <alignment horizontal="center"/>
    </xf>
    <xf numFmtId="3" fontId="15" fillId="0" borderId="6" xfId="15" applyNumberFormat="1" applyFont="1" applyFill="1" applyBorder="1" applyAlignment="1">
      <alignment horizontal="center"/>
    </xf>
    <xf numFmtId="10" fontId="15" fillId="0" borderId="5" xfId="16" applyNumberFormat="1" applyFont="1" applyFill="1" applyBorder="1" applyAlignment="1">
      <alignment horizontal="center"/>
    </xf>
    <xf numFmtId="0" fontId="24" fillId="0" borderId="10" xfId="15" applyFont="1" applyFill="1" applyBorder="1"/>
    <xf numFmtId="0" fontId="15" fillId="0" borderId="11" xfId="15" applyFont="1" applyFill="1" applyBorder="1" applyAlignment="1">
      <alignment horizontal="center"/>
    </xf>
    <xf numFmtId="3" fontId="15" fillId="0" borderId="11" xfId="15" applyNumberFormat="1" applyFont="1" applyFill="1" applyBorder="1" applyAlignment="1">
      <alignment horizontal="center"/>
    </xf>
    <xf numFmtId="3" fontId="15" fillId="0" borderId="12" xfId="15" applyNumberFormat="1" applyFont="1" applyFill="1" applyBorder="1" applyAlignment="1">
      <alignment horizontal="center"/>
    </xf>
    <xf numFmtId="0" fontId="15" fillId="0" borderId="10" xfId="15" applyFont="1" applyFill="1" applyBorder="1"/>
    <xf numFmtId="0" fontId="15" fillId="0" borderId="21" xfId="15" applyFont="1" applyFill="1" applyBorder="1" applyAlignment="1">
      <alignment horizontal="center"/>
    </xf>
    <xf numFmtId="0" fontId="15" fillId="0" borderId="22" xfId="15" applyFont="1" applyFill="1" applyBorder="1" applyAlignment="1">
      <alignment horizontal="centerContinuous"/>
    </xf>
    <xf numFmtId="3" fontId="15" fillId="0" borderId="22" xfId="15" applyNumberFormat="1" applyFont="1" applyFill="1" applyBorder="1" applyAlignment="1">
      <alignment horizontal="center"/>
    </xf>
    <xf numFmtId="0" fontId="15" fillId="0" borderId="32" xfId="15" applyFont="1" applyFill="1" applyBorder="1" applyAlignment="1">
      <alignment horizontal="centerContinuous"/>
    </xf>
    <xf numFmtId="0" fontId="15" fillId="0" borderId="0" xfId="15" applyFont="1" applyFill="1" applyAlignment="1">
      <alignment horizontal="left" indent="4"/>
    </xf>
    <xf numFmtId="0" fontId="15" fillId="0" borderId="0" xfId="15" applyFont="1" applyFill="1" applyAlignment="1">
      <alignment horizontal="center"/>
    </xf>
    <xf numFmtId="4" fontId="26" fillId="10" borderId="24" xfId="15" applyNumberFormat="1" applyFont="1" applyFill="1" applyBorder="1" applyAlignment="1">
      <alignment horizontal="center"/>
    </xf>
    <xf numFmtId="10" fontId="26" fillId="11" borderId="24" xfId="15" applyNumberFormat="1" applyFont="1" applyFill="1" applyBorder="1" applyAlignment="1">
      <alignment horizontal="center"/>
    </xf>
    <xf numFmtId="9" fontId="23" fillId="0" borderId="0" xfId="15" applyNumberFormat="1" applyFont="1" applyFill="1"/>
    <xf numFmtId="10" fontId="15" fillId="0" borderId="8" xfId="16" applyNumberFormat="1" applyFont="1" applyFill="1" applyBorder="1" applyAlignment="1">
      <alignment horizontal="center"/>
    </xf>
    <xf numFmtId="3" fontId="15" fillId="0" borderId="8" xfId="15" applyNumberFormat="1" applyFont="1" applyFill="1" applyBorder="1" applyAlignment="1">
      <alignment horizontal="center"/>
    </xf>
    <xf numFmtId="3" fontId="15" fillId="0" borderId="9" xfId="15" applyNumberFormat="1" applyFont="1" applyFill="1" applyBorder="1" applyAlignment="1">
      <alignment horizontal="center"/>
    </xf>
    <xf numFmtId="3" fontId="15" fillId="0" borderId="111" xfId="15" applyNumberFormat="1" applyFont="1" applyFill="1" applyBorder="1" applyAlignment="1">
      <alignment horizontal="center"/>
    </xf>
    <xf numFmtId="0" fontId="12" fillId="0" borderId="4" xfId="15" applyFont="1" applyBorder="1" applyAlignment="1">
      <alignment horizontal="center"/>
    </xf>
    <xf numFmtId="0" fontId="13" fillId="0" borderId="5" xfId="15" applyFont="1" applyBorder="1"/>
    <xf numFmtId="0" fontId="13" fillId="0" borderId="94" xfId="15" applyFont="1" applyBorder="1"/>
    <xf numFmtId="0" fontId="13" fillId="0" borderId="0" xfId="15" applyFont="1" applyBorder="1"/>
    <xf numFmtId="0" fontId="13" fillId="0" borderId="26" xfId="15" applyFont="1" applyBorder="1"/>
    <xf numFmtId="184" fontId="13" fillId="0" borderId="5" xfId="15" applyNumberFormat="1" applyFont="1" applyBorder="1"/>
    <xf numFmtId="0" fontId="13" fillId="0" borderId="6" xfId="15" applyFont="1" applyBorder="1"/>
    <xf numFmtId="0" fontId="12" fillId="0" borderId="110" xfId="15" applyFont="1" applyBorder="1" applyAlignment="1">
      <alignment horizontal="center"/>
    </xf>
    <xf numFmtId="0" fontId="13" fillId="0" borderId="50" xfId="15" applyFont="1" applyBorder="1"/>
    <xf numFmtId="0" fontId="13" fillId="0" borderId="104" xfId="15" applyFont="1" applyBorder="1"/>
    <xf numFmtId="0" fontId="13" fillId="0" borderId="68" xfId="15" applyFont="1" applyBorder="1"/>
    <xf numFmtId="0" fontId="13" fillId="0" borderId="72" xfId="15" applyFont="1" applyBorder="1"/>
    <xf numFmtId="3" fontId="13" fillId="0" borderId="50" xfId="15" applyNumberFormat="1" applyFont="1" applyBorder="1"/>
    <xf numFmtId="0" fontId="13" fillId="0" borderId="51" xfId="15" applyFont="1" applyBorder="1"/>
    <xf numFmtId="3" fontId="13" fillId="0" borderId="5" xfId="15" applyNumberFormat="1" applyFont="1" applyBorder="1"/>
    <xf numFmtId="0" fontId="12" fillId="0" borderId="13" xfId="15" applyFont="1" applyBorder="1" applyAlignment="1">
      <alignment horizontal="center"/>
    </xf>
    <xf numFmtId="0" fontId="13" fillId="0" borderId="14" xfId="15" applyFont="1" applyBorder="1"/>
    <xf numFmtId="0" fontId="13" fillId="0" borderId="97" xfId="15" applyFont="1" applyBorder="1"/>
    <xf numFmtId="0" fontId="13" fillId="0" borderId="29" xfId="15" applyFont="1" applyBorder="1"/>
    <xf numFmtId="0" fontId="13" fillId="0" borderId="20" xfId="15" applyFont="1" applyBorder="1"/>
    <xf numFmtId="3" fontId="13" fillId="0" borderId="14" xfId="15" applyNumberFormat="1" applyFont="1" applyBorder="1"/>
    <xf numFmtId="0" fontId="13" fillId="0" borderId="15" xfId="15" applyFont="1" applyBorder="1"/>
    <xf numFmtId="10" fontId="13" fillId="0" borderId="5" xfId="16" applyNumberFormat="1" applyFont="1" applyBorder="1"/>
    <xf numFmtId="10" fontId="13" fillId="0" borderId="0" xfId="16" applyNumberFormat="1" applyFont="1" applyBorder="1"/>
    <xf numFmtId="10" fontId="13" fillId="0" borderId="6" xfId="16" applyNumberFormat="1" applyFont="1" applyBorder="1"/>
    <xf numFmtId="0" fontId="12" fillId="0" borderId="7" xfId="15" applyFont="1" applyBorder="1" applyAlignment="1">
      <alignment horizontal="center"/>
    </xf>
    <xf numFmtId="0" fontId="13" fillId="0" borderId="8" xfId="15" applyFont="1" applyBorder="1"/>
    <xf numFmtId="0" fontId="13" fillId="0" borderId="91" xfId="15" applyFont="1" applyBorder="1"/>
    <xf numFmtId="0" fontId="13" fillId="0" borderId="64" xfId="15" applyFont="1" applyBorder="1"/>
    <xf numFmtId="10" fontId="13" fillId="0" borderId="64" xfId="16" applyNumberFormat="1" applyFont="1" applyBorder="1"/>
    <xf numFmtId="0" fontId="13" fillId="0" borderId="27" xfId="15" applyFont="1" applyBorder="1"/>
    <xf numFmtId="184" fontId="13" fillId="0" borderId="8" xfId="15" applyNumberFormat="1" applyFont="1" applyBorder="1"/>
    <xf numFmtId="10" fontId="13" fillId="0" borderId="8" xfId="16" applyNumberFormat="1" applyFont="1" applyBorder="1"/>
    <xf numFmtId="10" fontId="13" fillId="0" borderId="9" xfId="16" applyNumberFormat="1" applyFont="1" applyBorder="1"/>
    <xf numFmtId="3" fontId="13" fillId="0" borderId="0" xfId="15" applyNumberFormat="1" applyFont="1"/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 vertical="top" wrapText="1"/>
    </xf>
    <xf numFmtId="0" fontId="13" fillId="0" borderId="9" xfId="15" applyFont="1" applyBorder="1" applyAlignment="1">
      <alignment horizontal="center" vertical="top" wrapText="1"/>
    </xf>
    <xf numFmtId="0" fontId="13" fillId="0" borderId="27" xfId="15" applyFont="1" applyBorder="1" applyAlignment="1">
      <alignment horizontal="center" vertical="top" wrapText="1"/>
    </xf>
    <xf numFmtId="0" fontId="13" fillId="0" borderId="4" xfId="15" applyFont="1" applyBorder="1"/>
    <xf numFmtId="0" fontId="12" fillId="0" borderId="5" xfId="15" applyFont="1" applyBorder="1"/>
    <xf numFmtId="0" fontId="12" fillId="0" borderId="26" xfId="15" applyFont="1" applyBorder="1"/>
    <xf numFmtId="10" fontId="0" fillId="0" borderId="0" xfId="16" applyNumberFormat="1" applyFont="1"/>
    <xf numFmtId="0" fontId="13" fillId="0" borderId="7" xfId="15" applyFont="1" applyBorder="1"/>
    <xf numFmtId="0" fontId="12" fillId="0" borderId="8" xfId="15" applyFont="1" applyBorder="1"/>
    <xf numFmtId="0" fontId="12" fillId="0" borderId="27" xfId="15" applyFont="1" applyBorder="1"/>
    <xf numFmtId="3" fontId="12" fillId="0" borderId="10" xfId="15" applyNumberFormat="1" applyFont="1" applyBorder="1" applyAlignment="1">
      <alignment horizontal="center" vertical="center"/>
    </xf>
    <xf numFmtId="3" fontId="13" fillId="0" borderId="21" xfId="15" applyNumberFormat="1" applyFont="1" applyBorder="1" applyAlignment="1">
      <alignment horizontal="right"/>
    </xf>
    <xf numFmtId="3" fontId="13" fillId="0" borderId="23" xfId="15" applyNumberFormat="1" applyFont="1" applyBorder="1" applyAlignment="1">
      <alignment horizontal="center"/>
    </xf>
    <xf numFmtId="3" fontId="13" fillId="0" borderId="32" xfId="15" applyNumberFormat="1" applyFont="1" applyBorder="1" applyAlignment="1">
      <alignment horizontal="center"/>
    </xf>
    <xf numFmtId="0" fontId="12" fillId="0" borderId="4" xfId="15" applyFont="1" applyBorder="1"/>
    <xf numFmtId="0" fontId="12" fillId="0" borderId="5" xfId="15" applyFont="1" applyBorder="1" applyAlignment="1">
      <alignment horizontal="center"/>
    </xf>
    <xf numFmtId="0" fontId="12" fillId="0" borderId="6" xfId="15" applyFont="1" applyBorder="1" applyAlignment="1">
      <alignment horizontal="center"/>
    </xf>
    <xf numFmtId="0" fontId="29" fillId="0" borderId="0" xfId="18" applyFont="1" applyFill="1"/>
    <xf numFmtId="0" fontId="30" fillId="0" borderId="0" xfId="18" applyFont="1" applyFill="1"/>
    <xf numFmtId="0" fontId="12" fillId="0" borderId="7" xfId="15" applyFont="1" applyBorder="1"/>
    <xf numFmtId="0" fontId="26" fillId="0" borderId="8" xfId="15" applyFont="1" applyBorder="1"/>
    <xf numFmtId="0" fontId="12" fillId="0" borderId="8" xfId="15" applyFont="1" applyBorder="1" applyAlignment="1">
      <alignment horizontal="center"/>
    </xf>
    <xf numFmtId="0" fontId="13" fillId="0" borderId="8" xfId="15" applyFont="1" applyBorder="1" applyAlignment="1">
      <alignment horizontal="center"/>
    </xf>
    <xf numFmtId="0" fontId="13" fillId="0" borderId="9" xfId="15" applyFont="1" applyBorder="1" applyAlignment="1">
      <alignment horizontal="center"/>
    </xf>
    <xf numFmtId="0" fontId="13" fillId="0" borderId="5" xfId="15" applyFont="1" applyBorder="1" applyAlignment="1">
      <alignment horizontal="center"/>
    </xf>
    <xf numFmtId="3" fontId="13" fillId="0" borderId="5" xfId="15" applyNumberFormat="1" applyFont="1" applyBorder="1" applyAlignment="1">
      <alignment horizontal="center"/>
    </xf>
    <xf numFmtId="3" fontId="13" fillId="0" borderId="6" xfId="15" applyNumberFormat="1" applyFont="1" applyBorder="1" applyAlignment="1">
      <alignment horizontal="center"/>
    </xf>
    <xf numFmtId="10" fontId="13" fillId="0" borderId="5" xfId="16" applyNumberFormat="1" applyFont="1" applyBorder="1" applyAlignment="1">
      <alignment horizontal="center"/>
    </xf>
    <xf numFmtId="0" fontId="12" fillId="0" borderId="10" xfId="15" applyFont="1" applyBorder="1"/>
    <xf numFmtId="0" fontId="13" fillId="0" borderId="11" xfId="15" applyFont="1" applyBorder="1" applyAlignment="1">
      <alignment horizontal="center"/>
    </xf>
    <xf numFmtId="3" fontId="13" fillId="0" borderId="11" xfId="15" applyNumberFormat="1" applyFont="1" applyBorder="1" applyAlignment="1">
      <alignment horizontal="center"/>
    </xf>
    <xf numFmtId="3" fontId="13" fillId="0" borderId="12" xfId="15" applyNumberFormat="1" applyFont="1" applyBorder="1" applyAlignment="1">
      <alignment horizontal="center"/>
    </xf>
    <xf numFmtId="0" fontId="13" fillId="0" borderId="10" xfId="15" applyFont="1" applyBorder="1"/>
    <xf numFmtId="0" fontId="13" fillId="0" borderId="21" xfId="15" applyFont="1" applyBorder="1" applyAlignment="1">
      <alignment horizontal="center"/>
    </xf>
    <xf numFmtId="3" fontId="13" fillId="0" borderId="22" xfId="15" applyNumberFormat="1" applyFont="1" applyBorder="1" applyAlignment="1">
      <alignment horizontal="center"/>
    </xf>
    <xf numFmtId="0" fontId="13" fillId="0" borderId="22" xfId="15" applyFont="1" applyBorder="1" applyAlignment="1">
      <alignment horizontal="centerContinuous"/>
    </xf>
    <xf numFmtId="0" fontId="2" fillId="0" borderId="22" xfId="15" applyBorder="1"/>
    <xf numFmtId="0" fontId="13" fillId="0" borderId="32" xfId="15" applyFont="1" applyBorder="1" applyAlignment="1">
      <alignment horizontal="centerContinuous"/>
    </xf>
    <xf numFmtId="0" fontId="13" fillId="0" borderId="0" xfId="15" applyFont="1" applyAlignment="1">
      <alignment horizontal="left" indent="4"/>
    </xf>
    <xf numFmtId="0" fontId="13" fillId="0" borderId="0" xfId="15" applyFont="1" applyAlignment="1">
      <alignment horizontal="center"/>
    </xf>
    <xf numFmtId="0" fontId="12" fillId="0" borderId="0" xfId="15" applyFont="1" applyFill="1" applyBorder="1"/>
    <xf numFmtId="3" fontId="13" fillId="0" borderId="21" xfId="15" applyNumberFormat="1" applyFont="1" applyBorder="1" applyAlignment="1">
      <alignment horizontal="center" vertical="center"/>
    </xf>
    <xf numFmtId="3" fontId="13" fillId="0" borderId="23" xfId="15" applyNumberFormat="1" applyFont="1" applyBorder="1" applyAlignment="1">
      <alignment horizontal="center" vertical="center"/>
    </xf>
    <xf numFmtId="3" fontId="13" fillId="0" borderId="32" xfId="15" applyNumberFormat="1" applyFont="1" applyBorder="1" applyAlignment="1">
      <alignment horizontal="center" vertical="center"/>
    </xf>
    <xf numFmtId="9" fontId="2" fillId="0" borderId="0" xfId="15" applyNumberFormat="1"/>
    <xf numFmtId="10" fontId="13" fillId="0" borderId="8" xfId="16" applyNumberFormat="1" applyFont="1" applyBorder="1" applyAlignment="1">
      <alignment horizontal="center"/>
    </xf>
    <xf numFmtId="3" fontId="13" fillId="0" borderId="8" xfId="15" applyNumberFormat="1" applyFont="1" applyBorder="1" applyAlignment="1">
      <alignment horizontal="center"/>
    </xf>
    <xf numFmtId="3" fontId="13" fillId="0" borderId="9" xfId="15" applyNumberFormat="1" applyFont="1" applyBorder="1" applyAlignment="1">
      <alignment horizontal="center"/>
    </xf>
    <xf numFmtId="3" fontId="13" fillId="0" borderId="111" xfId="15" applyNumberFormat="1" applyFont="1" applyBorder="1" applyAlignment="1">
      <alignment horizontal="center"/>
    </xf>
    <xf numFmtId="0" fontId="32" fillId="0" borderId="0" xfId="15" applyFont="1"/>
    <xf numFmtId="173" fontId="32" fillId="0" borderId="0" xfId="15" applyNumberFormat="1" applyFont="1"/>
    <xf numFmtId="0" fontId="33" fillId="0" borderId="0" xfId="15" applyFont="1"/>
    <xf numFmtId="10" fontId="33" fillId="0" borderId="0" xfId="16" applyNumberFormat="1" applyFont="1" applyAlignment="1">
      <alignment horizontal="right"/>
    </xf>
    <xf numFmtId="3" fontId="32" fillId="0" borderId="0" xfId="15" applyNumberFormat="1" applyFont="1" applyAlignment="1">
      <alignment horizontal="left"/>
    </xf>
    <xf numFmtId="4" fontId="32" fillId="0" borderId="0" xfId="15" applyNumberFormat="1" applyFont="1" applyAlignment="1">
      <alignment horizontal="center"/>
    </xf>
    <xf numFmtId="185" fontId="34" fillId="0" borderId="0" xfId="15" applyNumberFormat="1" applyFont="1" applyAlignment="1">
      <alignment horizontal="center" vertical="center"/>
    </xf>
    <xf numFmtId="0" fontId="34" fillId="0" borderId="0" xfId="15" applyFont="1" applyAlignment="1">
      <alignment horizontal="center" vertical="center"/>
    </xf>
    <xf numFmtId="185" fontId="34" fillId="0" borderId="64" xfId="15" applyNumberFormat="1" applyFont="1" applyBorder="1" applyAlignment="1">
      <alignment horizontal="center" vertical="center"/>
    </xf>
    <xf numFmtId="0" fontId="34" fillId="0" borderId="64" xfId="15" applyFont="1" applyBorder="1" applyAlignment="1">
      <alignment horizontal="center" vertical="center"/>
    </xf>
    <xf numFmtId="3" fontId="32" fillId="0" borderId="0" xfId="15" applyNumberFormat="1" applyFont="1" applyAlignment="1">
      <alignment horizontal="right"/>
    </xf>
    <xf numFmtId="49" fontId="32" fillId="0" borderId="0" xfId="15" applyNumberFormat="1" applyFont="1" applyAlignment="1">
      <alignment horizontal="right"/>
    </xf>
    <xf numFmtId="3" fontId="32" fillId="0" borderId="0" xfId="15" applyNumberFormat="1" applyFont="1" applyAlignment="1">
      <alignment horizontal="center" vertical="center"/>
    </xf>
    <xf numFmtId="4" fontId="32" fillId="0" borderId="0" xfId="15" applyNumberFormat="1" applyFont="1" applyAlignment="1">
      <alignment horizontal="center" vertical="center"/>
    </xf>
    <xf numFmtId="186" fontId="32" fillId="0" borderId="0" xfId="19" applyNumberFormat="1" applyFont="1"/>
    <xf numFmtId="10" fontId="32" fillId="0" borderId="0" xfId="15" applyNumberFormat="1" applyFont="1" applyAlignment="1">
      <alignment horizontal="center" vertical="center"/>
    </xf>
    <xf numFmtId="4" fontId="32" fillId="6" borderId="0" xfId="15" applyNumberFormat="1" applyFont="1" applyFill="1" applyAlignment="1">
      <alignment horizontal="right"/>
    </xf>
    <xf numFmtId="10" fontId="32" fillId="0" borderId="0" xfId="15" applyNumberFormat="1" applyFont="1" applyAlignment="1">
      <alignment horizontal="right"/>
    </xf>
    <xf numFmtId="10" fontId="33" fillId="0" borderId="0" xfId="15" applyNumberFormat="1" applyFont="1" applyAlignment="1">
      <alignment horizontal="right"/>
    </xf>
    <xf numFmtId="3" fontId="35" fillId="0" borderId="0" xfId="20" applyNumberFormat="1" applyFont="1" applyAlignment="1">
      <alignment horizontal="left"/>
    </xf>
    <xf numFmtId="0" fontId="35" fillId="0" borderId="0" xfId="20" applyFont="1"/>
    <xf numFmtId="3" fontId="35" fillId="0" borderId="0" xfId="20" applyNumberFormat="1" applyFont="1"/>
    <xf numFmtId="10" fontId="35" fillId="0" borderId="0" xfId="16" applyNumberFormat="1" applyFont="1" applyAlignment="1">
      <alignment horizontal="right"/>
    </xf>
    <xf numFmtId="3" fontId="36" fillId="0" borderId="38" xfId="20" applyNumberFormat="1" applyFont="1" applyBorder="1" applyAlignment="1">
      <alignment horizontal="center" vertical="center"/>
    </xf>
    <xf numFmtId="0" fontId="36" fillId="0" borderId="38" xfId="20" applyFont="1" applyBorder="1" applyAlignment="1">
      <alignment horizontal="center" vertical="center"/>
    </xf>
    <xf numFmtId="0" fontId="35" fillId="0" borderId="64" xfId="20" applyFont="1" applyBorder="1"/>
    <xf numFmtId="10" fontId="35" fillId="0" borderId="64" xfId="16" applyNumberFormat="1" applyFont="1" applyBorder="1" applyAlignment="1">
      <alignment horizontal="right"/>
    </xf>
    <xf numFmtId="3" fontId="37" fillId="0" borderId="0" xfId="20" applyNumberFormat="1" applyFont="1" applyAlignment="1">
      <alignment horizontal="left"/>
    </xf>
    <xf numFmtId="0" fontId="37" fillId="0" borderId="0" xfId="20" applyFont="1"/>
    <xf numFmtId="3" fontId="37" fillId="0" borderId="0" xfId="20" applyNumberFormat="1" applyFont="1"/>
    <xf numFmtId="3" fontId="38" fillId="0" borderId="0" xfId="20" applyNumberFormat="1" applyFont="1" applyAlignment="1">
      <alignment horizontal="left" vertical="center"/>
    </xf>
    <xf numFmtId="3" fontId="33" fillId="0" borderId="0" xfId="20" applyNumberFormat="1" applyFont="1" applyAlignment="1">
      <alignment horizontal="center" vertical="center"/>
    </xf>
    <xf numFmtId="0" fontId="33" fillId="0" borderId="0" xfId="20" applyFont="1" applyAlignment="1">
      <alignment horizontal="left" vertical="center"/>
    </xf>
    <xf numFmtId="0" fontId="33" fillId="0" borderId="0" xfId="20" applyFont="1" applyAlignment="1">
      <alignment horizontal="center" vertical="center"/>
    </xf>
    <xf numFmtId="0" fontId="39" fillId="0" borderId="0" xfId="15" applyFont="1" applyAlignment="1">
      <alignment horizontal="center" vertical="center"/>
    </xf>
    <xf numFmtId="3" fontId="40" fillId="0" borderId="0" xfId="15" applyNumberFormat="1" applyFont="1" applyAlignment="1">
      <alignment horizontal="right" vertical="center"/>
    </xf>
    <xf numFmtId="3" fontId="40" fillId="0" borderId="0" xfId="20" applyNumberFormat="1" applyFont="1" applyAlignment="1">
      <alignment horizontal="right" vertical="center"/>
    </xf>
    <xf numFmtId="0" fontId="2" fillId="0" borderId="0" xfId="15" applyAlignment="1">
      <alignment horizontal="center"/>
    </xf>
    <xf numFmtId="3" fontId="11" fillId="0" borderId="0" xfId="15" applyNumberFormat="1" applyFont="1"/>
    <xf numFmtId="1" fontId="13" fillId="0" borderId="17" xfId="5" applyNumberFormat="1" applyFont="1" applyFill="1" applyBorder="1" applyAlignment="1">
      <alignment horizontal="center" vertical="center"/>
    </xf>
    <xf numFmtId="3" fontId="0" fillId="0" borderId="0" xfId="5" applyNumberFormat="1" applyFont="1" applyFill="1" applyBorder="1"/>
    <xf numFmtId="0" fontId="0" fillId="0" borderId="0" xfId="5" applyFont="1" applyFill="1" applyAlignment="1">
      <alignment horizontal="right"/>
    </xf>
    <xf numFmtId="3" fontId="13" fillId="0" borderId="50" xfId="5" applyNumberFormat="1" applyFont="1" applyFill="1" applyBorder="1" applyAlignment="1">
      <alignment horizontal="center" vertical="center"/>
    </xf>
    <xf numFmtId="3" fontId="13" fillId="0" borderId="17" xfId="5" applyNumberFormat="1" applyFont="1" applyFill="1" applyBorder="1" applyAlignment="1">
      <alignment horizontal="right" vertical="center"/>
    </xf>
    <xf numFmtId="3" fontId="13" fillId="0" borderId="17" xfId="5" applyNumberFormat="1" applyFont="1" applyFill="1" applyBorder="1" applyAlignment="1">
      <alignment horizontal="center" vertical="center"/>
    </xf>
    <xf numFmtId="0" fontId="44" fillId="0" borderId="17" xfId="58" applyFont="1" applyFill="1" applyBorder="1" applyAlignment="1">
      <alignment horizontal="right" vertical="center" wrapText="1"/>
    </xf>
    <xf numFmtId="0" fontId="44" fillId="0" borderId="0" xfId="58" applyFont="1" applyFill="1" applyAlignment="1">
      <alignment vertical="center" wrapText="1"/>
    </xf>
    <xf numFmtId="0" fontId="44" fillId="0" borderId="113" xfId="58" applyFont="1" applyFill="1" applyBorder="1" applyAlignment="1">
      <alignment horizontal="center" vertical="center" wrapText="1"/>
    </xf>
    <xf numFmtId="0" fontId="45" fillId="0" borderId="17" xfId="58" applyFont="1" applyFill="1" applyBorder="1" applyAlignment="1">
      <alignment horizontal="right" vertical="center" wrapText="1"/>
    </xf>
    <xf numFmtId="0" fontId="45" fillId="0" borderId="17" xfId="58" applyFont="1" applyFill="1" applyBorder="1" applyAlignment="1">
      <alignment horizontal="left" vertical="center" wrapText="1"/>
    </xf>
    <xf numFmtId="190" fontId="45" fillId="0" borderId="17" xfId="58" applyNumberFormat="1" applyFont="1" applyFill="1" applyBorder="1" applyAlignment="1">
      <alignment vertical="center" wrapText="1"/>
    </xf>
    <xf numFmtId="0" fontId="45" fillId="0" borderId="0" xfId="58" applyFont="1" applyFill="1" applyAlignment="1">
      <alignment vertical="center" wrapText="1"/>
    </xf>
    <xf numFmtId="0" fontId="45" fillId="0" borderId="17" xfId="58" applyFont="1" applyFill="1" applyBorder="1" applyAlignment="1">
      <alignment vertical="center" wrapText="1"/>
    </xf>
    <xf numFmtId="191" fontId="45" fillId="0" borderId="17" xfId="58" applyNumberFormat="1" applyFont="1" applyFill="1" applyBorder="1" applyAlignment="1">
      <alignment vertical="center" wrapText="1"/>
    </xf>
    <xf numFmtId="0" fontId="44" fillId="0" borderId="17" xfId="58" applyFont="1" applyFill="1" applyBorder="1" applyAlignment="1">
      <alignment horizontal="left" vertical="center" wrapText="1"/>
    </xf>
    <xf numFmtId="191" fontId="44" fillId="0" borderId="17" xfId="58" applyNumberFormat="1" applyFont="1" applyFill="1" applyBorder="1" applyAlignment="1">
      <alignment vertical="center" wrapText="1"/>
    </xf>
    <xf numFmtId="191" fontId="45" fillId="0" borderId="28" xfId="58" applyNumberFormat="1" applyFont="1" applyFill="1" applyBorder="1" applyAlignment="1">
      <alignment vertical="center" wrapText="1"/>
    </xf>
    <xf numFmtId="0" fontId="45" fillId="0" borderId="17" xfId="58" applyFont="1" applyFill="1" applyBorder="1" applyAlignment="1">
      <alignment horizontal="justify" vertical="center" wrapText="1"/>
    </xf>
    <xf numFmtId="1" fontId="45" fillId="0" borderId="0" xfId="58" applyNumberFormat="1" applyFont="1" applyFill="1" applyAlignment="1">
      <alignment vertical="center" wrapText="1"/>
    </xf>
    <xf numFmtId="170" fontId="45" fillId="0" borderId="0" xfId="58" applyNumberFormat="1" applyFont="1" applyFill="1" applyAlignment="1">
      <alignment vertical="center" wrapText="1"/>
    </xf>
    <xf numFmtId="0" fontId="45" fillId="0" borderId="101" xfId="58" applyFont="1" applyFill="1" applyBorder="1" applyAlignment="1">
      <alignment horizontal="left" vertical="center" wrapText="1"/>
    </xf>
    <xf numFmtId="191" fontId="45" fillId="0" borderId="0" xfId="58" applyNumberFormat="1" applyFont="1" applyFill="1" applyAlignment="1">
      <alignment vertical="center" wrapText="1"/>
    </xf>
    <xf numFmtId="0" fontId="44" fillId="0" borderId="17" xfId="58" applyFont="1" applyFill="1" applyBorder="1" applyAlignment="1">
      <alignment vertical="center" wrapText="1"/>
    </xf>
    <xf numFmtId="3" fontId="45" fillId="0" borderId="17" xfId="58" applyNumberFormat="1" applyFont="1" applyFill="1" applyBorder="1" applyAlignment="1">
      <alignment vertical="center" wrapText="1"/>
    </xf>
    <xf numFmtId="4" fontId="45" fillId="0" borderId="17" xfId="58" applyNumberFormat="1" applyFont="1" applyFill="1" applyBorder="1" applyAlignment="1">
      <alignment vertical="center" wrapText="1"/>
    </xf>
    <xf numFmtId="0" fontId="30" fillId="0" borderId="17" xfId="58" applyFont="1" applyFill="1" applyBorder="1" applyAlignment="1">
      <alignment horizontal="right" vertical="center" wrapText="1"/>
    </xf>
    <xf numFmtId="0" fontId="30" fillId="0" borderId="17" xfId="58" applyFont="1" applyFill="1" applyBorder="1" applyAlignment="1">
      <alignment horizontal="left" vertical="center" wrapText="1"/>
    </xf>
    <xf numFmtId="0" fontId="30" fillId="0" borderId="0" xfId="58" applyFont="1" applyFill="1" applyAlignment="1">
      <alignment vertical="center" wrapText="1"/>
    </xf>
    <xf numFmtId="3" fontId="30" fillId="0" borderId="17" xfId="58" applyNumberFormat="1" applyFont="1" applyFill="1" applyBorder="1" applyAlignment="1">
      <alignment vertical="center" wrapText="1"/>
    </xf>
    <xf numFmtId="190" fontId="45" fillId="0" borderId="0" xfId="58" applyNumberFormat="1" applyFont="1" applyFill="1" applyAlignment="1">
      <alignment vertical="center" wrapText="1"/>
    </xf>
    <xf numFmtId="0" fontId="44" fillId="0" borderId="28" xfId="58" applyFont="1" applyFill="1" applyBorder="1" applyAlignment="1">
      <alignment horizontal="center" vertical="center" wrapText="1"/>
    </xf>
    <xf numFmtId="192" fontId="45" fillId="0" borderId="17" xfId="58" applyNumberFormat="1" applyFont="1" applyFill="1" applyBorder="1" applyAlignment="1">
      <alignment vertical="center" wrapText="1"/>
    </xf>
    <xf numFmtId="0" fontId="49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9" fillId="0" borderId="89" xfId="0" applyFont="1" applyBorder="1" applyAlignment="1">
      <alignment horizontal="center"/>
    </xf>
    <xf numFmtId="0" fontId="0" fillId="0" borderId="112" xfId="0" applyBorder="1"/>
    <xf numFmtId="0" fontId="0" fillId="0" borderId="90" xfId="0" applyBorder="1"/>
    <xf numFmtId="0" fontId="49" fillId="0" borderId="95" xfId="0" applyFont="1" applyBorder="1" applyAlignment="1">
      <alignment horizontal="center"/>
    </xf>
    <xf numFmtId="0" fontId="0" fillId="0" borderId="96" xfId="0" applyBorder="1"/>
    <xf numFmtId="0" fontId="48" fillId="0" borderId="95" xfId="0" applyFont="1" applyBorder="1" applyAlignment="1">
      <alignment horizontal="center" vertical="center"/>
    </xf>
    <xf numFmtId="0" fontId="48" fillId="0" borderId="92" xfId="0" applyFont="1" applyBorder="1" applyAlignment="1">
      <alignment horizontal="center" vertical="center"/>
    </xf>
    <xf numFmtId="0" fontId="0" fillId="0" borderId="93" xfId="0" applyBorder="1"/>
    <xf numFmtId="0" fontId="54" fillId="0" borderId="0" xfId="0" applyFont="1" applyFill="1" applyBorder="1"/>
    <xf numFmtId="0" fontId="54" fillId="0" borderId="0" xfId="0" applyFont="1" applyFill="1" applyBorder="1" applyAlignment="1">
      <alignment wrapText="1"/>
    </xf>
    <xf numFmtId="0" fontId="54" fillId="0" borderId="0" xfId="0" applyFont="1" applyFill="1"/>
    <xf numFmtId="0" fontId="6" fillId="0" borderId="0" xfId="0" applyFont="1" applyBorder="1" applyAlignment="1">
      <alignment horizontal="left" vertical="center"/>
    </xf>
    <xf numFmtId="44" fontId="54" fillId="0" borderId="0" xfId="14" applyFont="1" applyFill="1" applyBorder="1"/>
    <xf numFmtId="44" fontId="54" fillId="0" borderId="0" xfId="14" applyFont="1" applyFill="1"/>
    <xf numFmtId="196" fontId="54" fillId="0" borderId="0" xfId="57" applyNumberFormat="1" applyFont="1" applyFill="1" applyBorder="1"/>
    <xf numFmtId="164" fontId="54" fillId="0" borderId="0" xfId="0" applyNumberFormat="1" applyFont="1" applyFill="1" applyBorder="1"/>
    <xf numFmtId="0" fontId="48" fillId="0" borderId="119" xfId="0" applyFont="1" applyBorder="1" applyAlignment="1">
      <alignment horizontal="center" vertical="center" wrapText="1"/>
    </xf>
    <xf numFmtId="0" fontId="6" fillId="0" borderId="119" xfId="0" applyFont="1" applyBorder="1" applyAlignment="1">
      <alignment horizontal="center" vertical="center" wrapText="1"/>
    </xf>
    <xf numFmtId="0" fontId="0" fillId="0" borderId="117" xfId="0" applyFont="1" applyBorder="1" applyAlignment="1">
      <alignment horizontal="center"/>
    </xf>
    <xf numFmtId="0" fontId="50" fillId="0" borderId="16" xfId="4" applyFont="1" applyBorder="1" applyAlignment="1" applyProtection="1">
      <alignment horizontal="center"/>
    </xf>
    <xf numFmtId="0" fontId="4" fillId="0" borderId="18" xfId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4" fillId="3" borderId="18" xfId="1" applyFont="1" applyFill="1" applyBorder="1" applyAlignment="1">
      <alignment horizontal="center" vertical="justify" wrapText="1"/>
    </xf>
    <xf numFmtId="0" fontId="50" fillId="0" borderId="16" xfId="4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50" fillId="2" borderId="16" xfId="4" applyNumberFormat="1" applyFont="1" applyFill="1" applyBorder="1" applyAlignment="1" applyProtection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49" fontId="50" fillId="0" borderId="16" xfId="4" applyNumberFormat="1" applyFont="1" applyFill="1" applyBorder="1" applyAlignment="1" applyProtection="1">
      <alignment horizontal="center" vertical="center" wrapText="1"/>
    </xf>
    <xf numFmtId="0" fontId="4" fillId="0" borderId="18" xfId="1" applyFont="1" applyFill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50" fillId="0" borderId="121" xfId="4" applyNumberFormat="1" applyFont="1" applyFill="1" applyBorder="1" applyAlignment="1" applyProtection="1">
      <alignment horizontal="center" vertical="center" wrapText="1"/>
    </xf>
    <xf numFmtId="0" fontId="3" fillId="0" borderId="118" xfId="0" applyFont="1" applyBorder="1" applyAlignment="1">
      <alignment horizontal="left"/>
    </xf>
    <xf numFmtId="0" fontId="4" fillId="0" borderId="122" xfId="1" applyFont="1" applyBorder="1" applyAlignment="1">
      <alignment horizontal="center" vertical="center" wrapText="1"/>
    </xf>
    <xf numFmtId="0" fontId="23" fillId="0" borderId="0" xfId="15" applyFont="1"/>
    <xf numFmtId="0" fontId="25" fillId="0" borderId="0" xfId="15" applyFont="1" applyAlignment="1">
      <alignment horizontal="center" vertical="center"/>
    </xf>
    <xf numFmtId="0" fontId="55" fillId="0" borderId="0" xfId="18" applyFont="1" applyFill="1"/>
    <xf numFmtId="0" fontId="56" fillId="0" borderId="0" xfId="18" applyFont="1" applyFill="1"/>
    <xf numFmtId="0" fontId="58" fillId="9" borderId="111" xfId="15" applyFont="1" applyFill="1" applyBorder="1" applyAlignment="1">
      <alignment horizontal="center"/>
    </xf>
    <xf numFmtId="4" fontId="58" fillId="10" borderId="24" xfId="15" applyNumberFormat="1" applyFont="1" applyFill="1" applyBorder="1" applyAlignment="1">
      <alignment horizontal="center"/>
    </xf>
    <xf numFmtId="10" fontId="58" fillId="11" borderId="24" xfId="15" applyNumberFormat="1" applyFont="1" applyFill="1" applyBorder="1" applyAlignment="1">
      <alignment horizontal="center"/>
    </xf>
    <xf numFmtId="0" fontId="59" fillId="5" borderId="38" xfId="15" applyFont="1" applyFill="1" applyBorder="1" applyAlignment="1" applyProtection="1">
      <alignment horizontal="center" vertical="center"/>
    </xf>
    <xf numFmtId="3" fontId="60" fillId="6" borderId="0" xfId="15" applyNumberFormat="1" applyFont="1" applyFill="1" applyBorder="1" applyProtection="1">
      <protection locked="0"/>
    </xf>
    <xf numFmtId="3" fontId="61" fillId="0" borderId="0" xfId="15" applyNumberFormat="1" applyFont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191" fontId="64" fillId="0" borderId="17" xfId="58" applyNumberFormat="1" applyFont="1" applyFill="1" applyBorder="1" applyAlignment="1">
      <alignment vertical="center" wrapText="1"/>
    </xf>
    <xf numFmtId="191" fontId="64" fillId="0" borderId="28" xfId="58" applyNumberFormat="1" applyFont="1" applyFill="1" applyBorder="1" applyAlignment="1">
      <alignment vertical="center" wrapText="1"/>
    </xf>
    <xf numFmtId="0" fontId="44" fillId="0" borderId="101" xfId="58" applyFont="1" applyFill="1" applyBorder="1" applyAlignment="1">
      <alignment horizontal="left" vertical="center" wrapText="1"/>
    </xf>
    <xf numFmtId="0" fontId="44" fillId="0" borderId="30" xfId="58" applyFont="1" applyFill="1" applyBorder="1" applyAlignment="1">
      <alignment horizontal="left" vertical="center" wrapText="1"/>
    </xf>
    <xf numFmtId="0" fontId="44" fillId="0" borderId="28" xfId="58" applyFont="1" applyFill="1" applyBorder="1" applyAlignment="1">
      <alignment horizontal="left" vertical="center" wrapText="1"/>
    </xf>
    <xf numFmtId="0" fontId="44" fillId="0" borderId="101" xfId="58" applyFont="1" applyFill="1" applyBorder="1" applyAlignment="1">
      <alignment horizontal="center" vertical="center" wrapText="1"/>
    </xf>
    <xf numFmtId="0" fontId="44" fillId="0" borderId="30" xfId="58" applyFont="1" applyFill="1" applyBorder="1" applyAlignment="1">
      <alignment horizontal="center" vertical="center" wrapText="1"/>
    </xf>
    <xf numFmtId="0" fontId="12" fillId="0" borderId="41" xfId="5" applyFont="1" applyFill="1" applyBorder="1" applyAlignment="1">
      <alignment horizontal="center" vertical="center"/>
    </xf>
    <xf numFmtId="0" fontId="13" fillId="0" borderId="64" xfId="5" applyFont="1" applyFill="1" applyBorder="1" applyAlignment="1">
      <alignment horizontal="center"/>
    </xf>
    <xf numFmtId="0" fontId="1" fillId="0" borderId="0" xfId="5" applyFont="1" applyFill="1"/>
    <xf numFmtId="3" fontId="1" fillId="0" borderId="0" xfId="5" applyNumberFormat="1" applyFont="1" applyFill="1"/>
    <xf numFmtId="0" fontId="1" fillId="0" borderId="36" xfId="5" applyFont="1" applyFill="1" applyBorder="1"/>
    <xf numFmtId="0" fontId="1" fillId="0" borderId="37" xfId="5" applyFont="1" applyFill="1" applyBorder="1"/>
    <xf numFmtId="168" fontId="1" fillId="0" borderId="0" xfId="5" applyNumberFormat="1" applyFont="1" applyFill="1"/>
    <xf numFmtId="1" fontId="1" fillId="0" borderId="0" xfId="5" applyNumberFormat="1" applyFont="1" applyFill="1"/>
    <xf numFmtId="174" fontId="1" fillId="0" borderId="0" xfId="14" applyNumberFormat="1" applyFont="1" applyFill="1"/>
    <xf numFmtId="9" fontId="1" fillId="0" borderId="0" xfId="57" applyFont="1" applyFill="1"/>
    <xf numFmtId="10" fontId="1" fillId="0" borderId="0" xfId="57" applyNumberFormat="1" applyFont="1" applyFill="1"/>
    <xf numFmtId="0" fontId="1" fillId="0" borderId="0" xfId="5" applyFont="1" applyFill="1" applyBorder="1"/>
    <xf numFmtId="0" fontId="1" fillId="0" borderId="68" xfId="5" applyFont="1" applyFill="1" applyBorder="1"/>
    <xf numFmtId="0" fontId="1" fillId="0" borderId="63" xfId="5" applyFont="1" applyFill="1" applyBorder="1"/>
    <xf numFmtId="0" fontId="1" fillId="0" borderId="24" xfId="5" applyFont="1" applyFill="1" applyBorder="1"/>
    <xf numFmtId="0" fontId="1" fillId="0" borderId="57" xfId="5" applyFont="1" applyFill="1" applyBorder="1"/>
    <xf numFmtId="0" fontId="5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164" fontId="54" fillId="0" borderId="0" xfId="0" applyNumberFormat="1" applyFont="1" applyFill="1" applyAlignment="1">
      <alignment vertical="center"/>
    </xf>
    <xf numFmtId="194" fontId="54" fillId="0" borderId="0" xfId="0" applyNumberFormat="1" applyFont="1" applyFill="1" applyAlignment="1">
      <alignment vertical="center"/>
    </xf>
    <xf numFmtId="164" fontId="18" fillId="0" borderId="0" xfId="0" applyNumberFormat="1" applyFont="1" applyFill="1" applyBorder="1" applyAlignment="1">
      <alignment vertical="center"/>
    </xf>
    <xf numFmtId="4" fontId="51" fillId="0" borderId="17" xfId="1" applyNumberFormat="1" applyFont="1" applyFill="1" applyBorder="1" applyAlignment="1" applyProtection="1">
      <alignment vertical="center" wrapText="1"/>
      <protection locked="0"/>
    </xf>
    <xf numFmtId="164" fontId="51" fillId="0" borderId="17" xfId="59" applyNumberFormat="1" applyFont="1" applyFill="1" applyBorder="1" applyAlignment="1" applyProtection="1">
      <alignment horizontal="right" vertical="center" wrapText="1"/>
      <protection locked="0"/>
    </xf>
    <xf numFmtId="164" fontId="51" fillId="0" borderId="17" xfId="59" applyFont="1" applyFill="1" applyBorder="1" applyAlignment="1" applyProtection="1">
      <alignment horizontal="right" vertical="center" wrapText="1"/>
      <protection locked="0"/>
    </xf>
    <xf numFmtId="164" fontId="51" fillId="0" borderId="17" xfId="59" applyNumberFormat="1" applyFont="1" applyFill="1" applyBorder="1" applyAlignment="1" applyProtection="1">
      <alignment horizontal="center" vertical="center" wrapText="1"/>
      <protection locked="0"/>
    </xf>
    <xf numFmtId="164" fontId="51" fillId="0" borderId="50" xfId="59" applyNumberFormat="1" applyFont="1" applyFill="1" applyBorder="1" applyAlignment="1" applyProtection="1">
      <alignment horizontal="right" vertical="center" wrapText="1"/>
      <protection locked="0"/>
    </xf>
    <xf numFmtId="164" fontId="51" fillId="0" borderId="50" xfId="59" applyFont="1" applyFill="1" applyBorder="1" applyAlignment="1" applyProtection="1">
      <alignment horizontal="right" vertical="center" wrapText="1"/>
      <protection locked="0"/>
    </xf>
    <xf numFmtId="164" fontId="68" fillId="13" borderId="11" xfId="59" applyFont="1" applyFill="1" applyBorder="1" applyAlignment="1" applyProtection="1">
      <alignment horizontal="right" vertical="center" wrapText="1"/>
      <protection locked="0"/>
    </xf>
    <xf numFmtId="0" fontId="70" fillId="0" borderId="123" xfId="0" applyFont="1" applyFill="1" applyBorder="1" applyAlignment="1" applyProtection="1">
      <alignment vertical="center"/>
      <protection locked="0"/>
    </xf>
    <xf numFmtId="0" fontId="70" fillId="0" borderId="120" xfId="0" applyFont="1" applyFill="1" applyBorder="1" applyAlignment="1" applyProtection="1">
      <alignment vertical="center"/>
      <protection locked="0"/>
    </xf>
    <xf numFmtId="164" fontId="51" fillId="0" borderId="118" xfId="59" applyNumberFormat="1" applyFont="1" applyFill="1" applyBorder="1" applyAlignment="1" applyProtection="1">
      <alignment horizontal="right" vertical="center" wrapText="1"/>
      <protection locked="0"/>
    </xf>
    <xf numFmtId="164" fontId="51" fillId="0" borderId="118" xfId="59" applyFont="1" applyFill="1" applyBorder="1" applyAlignment="1" applyProtection="1">
      <alignment horizontal="right" vertical="center" wrapText="1"/>
      <protection locked="0"/>
    </xf>
    <xf numFmtId="164" fontId="68" fillId="13" borderId="135" xfId="59" applyFont="1" applyFill="1" applyBorder="1" applyAlignment="1" applyProtection="1">
      <alignment horizontal="right" vertical="center" wrapText="1"/>
      <protection locked="0"/>
    </xf>
    <xf numFmtId="0" fontId="70" fillId="0" borderId="143" xfId="0" applyFont="1" applyFill="1" applyBorder="1" applyAlignment="1" applyProtection="1">
      <alignment vertical="center"/>
      <protection locked="0"/>
    </xf>
    <xf numFmtId="193" fontId="72" fillId="14" borderId="149" xfId="60" applyNumberFormat="1" applyFont="1" applyFill="1" applyBorder="1" applyAlignment="1" applyProtection="1">
      <alignment vertical="center"/>
      <protection locked="0"/>
    </xf>
    <xf numFmtId="193" fontId="72" fillId="14" borderId="150" xfId="60" applyNumberFormat="1" applyFont="1" applyFill="1" applyBorder="1" applyAlignment="1" applyProtection="1">
      <alignment vertical="center"/>
      <protection locked="0"/>
    </xf>
    <xf numFmtId="170" fontId="66" fillId="0" borderId="0" xfId="60" applyNumberFormat="1" applyFont="1" applyFill="1" applyBorder="1" applyAlignment="1" applyProtection="1">
      <alignment horizontal="center" vertical="center"/>
      <protection locked="0"/>
    </xf>
    <xf numFmtId="164" fontId="51" fillId="0" borderId="17" xfId="1" applyNumberFormat="1" applyFont="1" applyFill="1" applyBorder="1" applyAlignment="1" applyProtection="1">
      <alignment horizontal="center" vertical="center" wrapText="1"/>
      <protection locked="0"/>
    </xf>
    <xf numFmtId="4" fontId="51" fillId="0" borderId="101" xfId="1" applyNumberFormat="1" applyFont="1" applyFill="1" applyBorder="1" applyAlignment="1" applyProtection="1">
      <alignment horizontal="center" vertical="center" wrapText="1"/>
      <protection locked="0"/>
    </xf>
    <xf numFmtId="164" fontId="51" fillId="0" borderId="101" xfId="59" applyFont="1" applyFill="1" applyBorder="1" applyAlignment="1" applyProtection="1">
      <alignment horizontal="right" vertical="center" wrapText="1"/>
      <protection locked="0"/>
    </xf>
    <xf numFmtId="164" fontId="51" fillId="0" borderId="104" xfId="59" applyFont="1" applyFill="1" applyBorder="1" applyAlignment="1" applyProtection="1">
      <alignment horizontal="right" vertical="center" wrapText="1"/>
      <protection locked="0"/>
    </xf>
    <xf numFmtId="0" fontId="70" fillId="0" borderId="34" xfId="0" applyFont="1" applyFill="1" applyBorder="1" applyAlignment="1" applyProtection="1">
      <alignment vertical="center"/>
      <protection locked="0"/>
    </xf>
    <xf numFmtId="170" fontId="51" fillId="0" borderId="0" xfId="60" applyNumberFormat="1" applyFont="1" applyFill="1" applyBorder="1" applyAlignment="1" applyProtection="1">
      <alignment horizontal="center" vertical="center"/>
      <protection locked="0"/>
    </xf>
    <xf numFmtId="170" fontId="66" fillId="0" borderId="138" xfId="60" applyNumberFormat="1" applyFont="1" applyFill="1" applyBorder="1" applyAlignment="1" applyProtection="1">
      <alignment horizontal="center" vertical="center"/>
      <protection locked="0"/>
    </xf>
    <xf numFmtId="194" fontId="65" fillId="14" borderId="125" xfId="60" applyNumberFormat="1" applyFont="1" applyFill="1" applyBorder="1" applyAlignment="1" applyProtection="1">
      <alignment vertical="center"/>
      <protection locked="0"/>
    </xf>
    <xf numFmtId="194" fontId="65" fillId="0" borderId="130" xfId="60" applyNumberFormat="1" applyFont="1" applyFill="1" applyBorder="1" applyAlignment="1" applyProtection="1">
      <alignment vertical="center"/>
      <protection locked="0"/>
    </xf>
    <xf numFmtId="194" fontId="65" fillId="14" borderId="127" xfId="60" applyNumberFormat="1" applyFont="1" applyFill="1" applyBorder="1" applyAlignment="1" applyProtection="1">
      <alignment vertical="center"/>
      <protection locked="0"/>
    </xf>
    <xf numFmtId="194" fontId="65" fillId="0" borderId="143" xfId="60" applyNumberFormat="1" applyFont="1" applyFill="1" applyBorder="1" applyAlignment="1" applyProtection="1">
      <alignment vertical="center"/>
      <protection locked="0"/>
    </xf>
    <xf numFmtId="194" fontId="65" fillId="14" borderId="142" xfId="60" applyNumberFormat="1" applyFont="1" applyFill="1" applyBorder="1" applyAlignment="1" applyProtection="1">
      <alignment vertical="center"/>
      <protection locked="0"/>
    </xf>
    <xf numFmtId="0" fontId="26" fillId="0" borderId="60" xfId="1" applyFont="1" applyFill="1" applyBorder="1" applyAlignment="1" applyProtection="1">
      <alignment vertical="center"/>
    </xf>
    <xf numFmtId="0" fontId="26" fillId="0" borderId="61" xfId="1" applyFont="1" applyFill="1" applyBorder="1" applyAlignment="1" applyProtection="1">
      <alignment vertical="center"/>
    </xf>
    <xf numFmtId="0" fontId="54" fillId="0" borderId="61" xfId="0" applyFont="1" applyFill="1" applyBorder="1" applyProtection="1"/>
    <xf numFmtId="0" fontId="2" fillId="0" borderId="61" xfId="0" applyFont="1" applyFill="1" applyBorder="1" applyAlignment="1" applyProtection="1">
      <alignment vertical="center"/>
    </xf>
    <xf numFmtId="0" fontId="54" fillId="0" borderId="61" xfId="0" applyFont="1" applyFill="1" applyBorder="1" applyAlignment="1" applyProtection="1">
      <alignment vertical="center"/>
    </xf>
    <xf numFmtId="0" fontId="12" fillId="0" borderId="146" xfId="1" applyFont="1" applyFill="1" applyBorder="1" applyAlignment="1" applyProtection="1">
      <alignment vertical="center" wrapText="1"/>
    </xf>
    <xf numFmtId="0" fontId="12" fillId="0" borderId="45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13" fillId="0" borderId="17" xfId="1" applyFont="1" applyFill="1" applyBorder="1" applyAlignment="1" applyProtection="1">
      <alignment vertical="center" wrapText="1"/>
    </xf>
    <xf numFmtId="4" fontId="13" fillId="0" borderId="17" xfId="1" applyNumberFormat="1" applyFont="1" applyFill="1" applyBorder="1" applyAlignment="1" applyProtection="1">
      <alignment vertical="center" wrapText="1"/>
    </xf>
    <xf numFmtId="0" fontId="68" fillId="0" borderId="129" xfId="1" applyNumberFormat="1" applyFont="1" applyFill="1" applyBorder="1" applyAlignment="1" applyProtection="1">
      <alignment horizontal="left" vertical="center" wrapText="1"/>
    </xf>
    <xf numFmtId="0" fontId="68" fillId="0" borderId="17" xfId="1" applyNumberFormat="1" applyFont="1" applyFill="1" applyBorder="1" applyAlignment="1" applyProtection="1">
      <alignment horizontal="left" vertical="center" wrapText="1"/>
    </xf>
    <xf numFmtId="0" fontId="68" fillId="0" borderId="17" xfId="1" applyFont="1" applyFill="1" applyBorder="1" applyAlignment="1" applyProtection="1">
      <alignment vertical="center" wrapText="1"/>
    </xf>
    <xf numFmtId="0" fontId="51" fillId="0" borderId="17" xfId="1" applyFont="1" applyFill="1" applyBorder="1" applyAlignment="1" applyProtection="1">
      <alignment vertical="center" wrapText="1"/>
    </xf>
    <xf numFmtId="4" fontId="51" fillId="0" borderId="17" xfId="1" applyNumberFormat="1" applyFont="1" applyFill="1" applyBorder="1" applyAlignment="1" applyProtection="1">
      <alignment vertical="center" wrapText="1"/>
    </xf>
    <xf numFmtId="0" fontId="70" fillId="0" borderId="129" xfId="0" applyFont="1" applyFill="1" applyBorder="1" applyProtection="1"/>
    <xf numFmtId="0" fontId="70" fillId="0" borderId="17" xfId="0" applyFont="1" applyFill="1" applyBorder="1" applyAlignment="1" applyProtection="1">
      <alignment horizontal="center" vertical="center"/>
    </xf>
    <xf numFmtId="0" fontId="51" fillId="0" borderId="17" xfId="1" applyFont="1" applyFill="1" applyBorder="1" applyAlignment="1" applyProtection="1">
      <alignment horizontal="center" vertical="center" wrapText="1"/>
    </xf>
    <xf numFmtId="4" fontId="51" fillId="0" borderId="17" xfId="1" applyNumberFormat="1" applyFont="1" applyFill="1" applyBorder="1" applyAlignment="1" applyProtection="1">
      <alignment horizontal="center" vertical="center" wrapText="1"/>
    </xf>
    <xf numFmtId="0" fontId="51" fillId="0" borderId="129" xfId="1" applyNumberFormat="1" applyFont="1" applyFill="1" applyBorder="1" applyAlignment="1" applyProtection="1">
      <alignment horizontal="left" vertical="center" wrapText="1"/>
    </xf>
    <xf numFmtId="0" fontId="51" fillId="0" borderId="17" xfId="1" applyNumberFormat="1" applyFont="1" applyFill="1" applyBorder="1" applyAlignment="1" applyProtection="1">
      <alignment horizontal="center" vertical="center" wrapText="1"/>
    </xf>
    <xf numFmtId="0" fontId="68" fillId="0" borderId="17" xfId="1" applyNumberFormat="1" applyFont="1" applyFill="1" applyBorder="1" applyAlignment="1" applyProtection="1">
      <alignment horizontal="center" vertical="center" wrapText="1"/>
    </xf>
    <xf numFmtId="0" fontId="70" fillId="0" borderId="129" xfId="0" applyFont="1" applyFill="1" applyBorder="1" applyAlignment="1" applyProtection="1">
      <alignment vertical="center"/>
    </xf>
    <xf numFmtId="0" fontId="51" fillId="0" borderId="17" xfId="1" applyFont="1" applyFill="1" applyBorder="1" applyAlignment="1" applyProtection="1">
      <alignment horizontal="justify" vertical="center" wrapText="1"/>
    </xf>
    <xf numFmtId="0" fontId="51" fillId="0" borderId="17" xfId="0" applyFont="1" applyFill="1" applyBorder="1" applyAlignment="1" applyProtection="1">
      <alignment horizontal="justify" vertical="center" wrapText="1"/>
    </xf>
    <xf numFmtId="0" fontId="51" fillId="0" borderId="17" xfId="0" applyFont="1" applyFill="1" applyBorder="1" applyAlignment="1" applyProtection="1">
      <alignment horizontal="left" vertical="center" wrapText="1"/>
    </xf>
    <xf numFmtId="49" fontId="51" fillId="0" borderId="129" xfId="1" applyNumberFormat="1" applyFont="1" applyFill="1" applyBorder="1" applyAlignment="1" applyProtection="1">
      <alignment horizontal="left" vertical="center" wrapText="1"/>
    </xf>
    <xf numFmtId="49" fontId="51" fillId="0" borderId="17" xfId="1" applyNumberFormat="1" applyFont="1" applyFill="1" applyBorder="1" applyAlignment="1" applyProtection="1">
      <alignment horizontal="center" vertical="center" wrapText="1"/>
    </xf>
    <xf numFmtId="0" fontId="51" fillId="0" borderId="17" xfId="1" applyFont="1" applyFill="1" applyBorder="1" applyAlignment="1" applyProtection="1">
      <alignment horizontal="left" vertical="center" wrapText="1"/>
    </xf>
    <xf numFmtId="0" fontId="51" fillId="0" borderId="17" xfId="1" applyFont="1" applyFill="1" applyBorder="1" applyAlignment="1" applyProtection="1">
      <alignment vertical="center"/>
    </xf>
    <xf numFmtId="0" fontId="51" fillId="0" borderId="129" xfId="1" applyFont="1" applyFill="1" applyBorder="1" applyAlignment="1" applyProtection="1">
      <alignment horizontal="left"/>
    </xf>
    <xf numFmtId="0" fontId="51" fillId="0" borderId="17" xfId="1" applyFont="1" applyFill="1" applyBorder="1" applyAlignment="1" applyProtection="1">
      <alignment horizontal="center" vertical="center"/>
    </xf>
    <xf numFmtId="0" fontId="51" fillId="0" borderId="17" xfId="2" applyFont="1" applyFill="1" applyBorder="1" applyAlignment="1" applyProtection="1">
      <alignment horizontal="left" vertical="center" wrapText="1"/>
    </xf>
    <xf numFmtId="0" fontId="51" fillId="0" borderId="17" xfId="0" applyFont="1" applyFill="1" applyBorder="1" applyAlignment="1" applyProtection="1">
      <alignment vertical="center"/>
    </xf>
    <xf numFmtId="0" fontId="70" fillId="0" borderId="133" xfId="0" applyFont="1" applyFill="1" applyBorder="1" applyProtection="1"/>
    <xf numFmtId="0" fontId="70" fillId="0" borderId="50" xfId="0" applyFont="1" applyFill="1" applyBorder="1" applyAlignment="1" applyProtection="1">
      <alignment horizontal="center" vertical="center"/>
    </xf>
    <xf numFmtId="0" fontId="51" fillId="0" borderId="50" xfId="1" applyFont="1" applyFill="1" applyBorder="1" applyAlignment="1" applyProtection="1">
      <alignment vertical="center" wrapText="1"/>
    </xf>
    <xf numFmtId="0" fontId="51" fillId="0" borderId="50" xfId="1" applyFont="1" applyFill="1" applyBorder="1" applyAlignment="1" applyProtection="1">
      <alignment horizontal="center" vertical="center" wrapText="1"/>
    </xf>
    <xf numFmtId="4" fontId="51" fillId="0" borderId="50" xfId="1" applyNumberFormat="1" applyFont="1" applyFill="1" applyBorder="1" applyAlignment="1" applyProtection="1">
      <alignment horizontal="center" vertical="center" wrapText="1"/>
    </xf>
    <xf numFmtId="0" fontId="70" fillId="13" borderId="134" xfId="0" applyFont="1" applyFill="1" applyBorder="1" applyProtection="1"/>
    <xf numFmtId="0" fontId="70" fillId="13" borderId="11" xfId="0" applyFont="1" applyFill="1" applyBorder="1" applyAlignment="1" applyProtection="1">
      <alignment horizontal="left"/>
    </xf>
    <xf numFmtId="0" fontId="70" fillId="0" borderId="136" xfId="0" applyFont="1" applyFill="1" applyBorder="1" applyAlignment="1" applyProtection="1"/>
    <xf numFmtId="0" fontId="70" fillId="0" borderId="123" xfId="0" applyFont="1" applyFill="1" applyBorder="1" applyAlignment="1" applyProtection="1"/>
    <xf numFmtId="0" fontId="70" fillId="0" borderId="123" xfId="0" applyFont="1" applyFill="1" applyBorder="1" applyAlignment="1" applyProtection="1">
      <alignment vertical="center"/>
    </xf>
    <xf numFmtId="0" fontId="51" fillId="0" borderId="28" xfId="1" applyNumberFormat="1" applyFont="1" applyFill="1" applyBorder="1" applyAlignment="1" applyProtection="1">
      <alignment horizontal="center" vertical="center" wrapText="1"/>
    </xf>
    <xf numFmtId="0" fontId="51" fillId="0" borderId="50" xfId="1" applyNumberFormat="1" applyFont="1" applyFill="1" applyBorder="1" applyAlignment="1" applyProtection="1">
      <alignment horizontal="center" vertical="center" wrapText="1"/>
    </xf>
    <xf numFmtId="0" fontId="70" fillId="0" borderId="153" xfId="0" applyFont="1" applyFill="1" applyBorder="1" applyAlignment="1" applyProtection="1"/>
    <xf numFmtId="0" fontId="70" fillId="0" borderId="120" xfId="0" applyFont="1" applyFill="1" applyBorder="1" applyAlignment="1" applyProtection="1"/>
    <xf numFmtId="0" fontId="70" fillId="0" borderId="120" xfId="0" applyFont="1" applyFill="1" applyBorder="1" applyAlignment="1" applyProtection="1">
      <alignment vertical="center"/>
    </xf>
    <xf numFmtId="0" fontId="51" fillId="0" borderId="17" xfId="1" applyNumberFormat="1" applyFont="1" applyFill="1" applyBorder="1" applyAlignment="1" applyProtection="1">
      <alignment horizontal="left" vertical="center" wrapText="1"/>
    </xf>
    <xf numFmtId="0" fontId="51" fillId="0" borderId="131" xfId="1" applyNumberFormat="1" applyFont="1" applyFill="1" applyBorder="1" applyAlignment="1" applyProtection="1">
      <alignment horizontal="left" vertical="center" wrapText="1"/>
    </xf>
    <xf numFmtId="0" fontId="51" fillId="0" borderId="118" xfId="1" applyNumberFormat="1" applyFont="1" applyFill="1" applyBorder="1" applyAlignment="1" applyProtection="1">
      <alignment horizontal="left" vertical="center" wrapText="1"/>
    </xf>
    <xf numFmtId="0" fontId="51" fillId="0" borderId="118" xfId="1" applyFont="1" applyFill="1" applyBorder="1" applyAlignment="1" applyProtection="1">
      <alignment vertical="center" wrapText="1"/>
    </xf>
    <xf numFmtId="0" fontId="51" fillId="0" borderId="118" xfId="1" applyFont="1" applyFill="1" applyBorder="1" applyAlignment="1" applyProtection="1">
      <alignment horizontal="center" vertical="center" wrapText="1"/>
    </xf>
    <xf numFmtId="4" fontId="51" fillId="0" borderId="118" xfId="1" applyNumberFormat="1" applyFont="1" applyFill="1" applyBorder="1" applyAlignment="1" applyProtection="1">
      <alignment horizontal="center" vertical="center" wrapText="1"/>
    </xf>
    <xf numFmtId="0" fontId="70" fillId="0" borderId="17" xfId="0" applyFont="1" applyFill="1" applyBorder="1" applyAlignment="1" applyProtection="1">
      <alignment horizontal="left" vertical="center"/>
    </xf>
    <xf numFmtId="0" fontId="70" fillId="0" borderId="17" xfId="0" applyFont="1" applyFill="1" applyBorder="1" applyAlignment="1" applyProtection="1">
      <alignment horizontal="left"/>
    </xf>
    <xf numFmtId="49" fontId="51" fillId="0" borderId="17" xfId="1" applyNumberFormat="1" applyFont="1" applyFill="1" applyBorder="1" applyAlignment="1" applyProtection="1">
      <alignment horizontal="left" vertical="center" wrapText="1"/>
    </xf>
    <xf numFmtId="0" fontId="70" fillId="0" borderId="17" xfId="0" applyFont="1" applyFill="1" applyBorder="1" applyProtection="1"/>
    <xf numFmtId="0" fontId="51" fillId="0" borderId="133" xfId="1" applyNumberFormat="1" applyFont="1" applyFill="1" applyBorder="1" applyAlignment="1" applyProtection="1">
      <alignment horizontal="left" vertical="center" wrapText="1"/>
    </xf>
    <xf numFmtId="0" fontId="70" fillId="0" borderId="50" xfId="0" applyFont="1" applyFill="1" applyBorder="1" applyAlignment="1" applyProtection="1">
      <alignment horizontal="left"/>
    </xf>
    <xf numFmtId="0" fontId="70" fillId="13" borderId="23" xfId="0" applyFont="1" applyFill="1" applyBorder="1" applyAlignment="1" applyProtection="1">
      <alignment horizontal="left"/>
    </xf>
    <xf numFmtId="0" fontId="70" fillId="0" borderId="140" xfId="0" applyFont="1" applyFill="1" applyBorder="1" applyProtection="1"/>
    <xf numFmtId="0" fontId="70" fillId="0" borderId="0" xfId="0" applyFont="1" applyFill="1" applyBorder="1" applyProtection="1"/>
    <xf numFmtId="0" fontId="51" fillId="0" borderId="0" xfId="0" applyFont="1" applyFill="1" applyBorder="1" applyAlignment="1" applyProtection="1">
      <alignment vertical="center"/>
    </xf>
    <xf numFmtId="0" fontId="70" fillId="0" borderId="0" xfId="0" applyFont="1" applyFill="1" applyBorder="1" applyAlignment="1" applyProtection="1">
      <alignment vertical="center"/>
    </xf>
    <xf numFmtId="164" fontId="70" fillId="0" borderId="0" xfId="0" applyNumberFormat="1" applyFont="1" applyFill="1" applyBorder="1" applyAlignment="1" applyProtection="1">
      <alignment vertical="center"/>
    </xf>
    <xf numFmtId="0" fontId="65" fillId="0" borderId="0" xfId="60" applyFont="1" applyFill="1" applyBorder="1" applyAlignment="1" applyProtection="1">
      <alignment horizontal="left" vertical="center"/>
    </xf>
    <xf numFmtId="4" fontId="66" fillId="0" borderId="0" xfId="60" applyNumberFormat="1" applyFont="1" applyFill="1" applyBorder="1" applyAlignment="1" applyProtection="1">
      <alignment horizontal="center" vertical="center"/>
    </xf>
    <xf numFmtId="164" fontId="66" fillId="0" borderId="0" xfId="60" applyNumberFormat="1" applyFont="1" applyFill="1" applyBorder="1" applyAlignment="1" applyProtection="1">
      <alignment horizontal="center" vertical="center"/>
    </xf>
    <xf numFmtId="0" fontId="54" fillId="0" borderId="146" xfId="0" applyFont="1" applyFill="1" applyBorder="1" applyProtection="1"/>
    <xf numFmtId="0" fontId="54" fillId="0" borderId="45" xfId="0" applyFont="1" applyFill="1" applyBorder="1" applyProtection="1"/>
    <xf numFmtId="0" fontId="26" fillId="0" borderId="45" xfId="60" applyFont="1" applyFill="1" applyBorder="1" applyAlignment="1" applyProtection="1">
      <alignment horizontal="left" vertical="center"/>
    </xf>
    <xf numFmtId="4" fontId="2" fillId="0" borderId="45" xfId="60" applyNumberFormat="1" applyFont="1" applyFill="1" applyBorder="1" applyAlignment="1" applyProtection="1">
      <alignment horizontal="center" vertical="center"/>
    </xf>
    <xf numFmtId="164" fontId="2" fillId="0" borderId="45" xfId="60" applyNumberFormat="1" applyFont="1" applyFill="1" applyBorder="1" applyAlignment="1" applyProtection="1">
      <alignment horizontal="center" vertical="center"/>
    </xf>
    <xf numFmtId="170" fontId="2" fillId="0" borderId="45" xfId="60" applyNumberFormat="1" applyFont="1" applyFill="1" applyBorder="1" applyAlignment="1" applyProtection="1">
      <alignment horizontal="center" vertical="center"/>
    </xf>
    <xf numFmtId="0" fontId="67" fillId="0" borderId="147" xfId="0" applyFont="1" applyFill="1" applyBorder="1" applyAlignment="1" applyProtection="1"/>
    <xf numFmtId="0" fontId="67" fillId="0" borderId="29" xfId="0" applyFont="1" applyFill="1" applyBorder="1" applyAlignment="1" applyProtection="1"/>
    <xf numFmtId="0" fontId="67" fillId="0" borderId="29" xfId="0" applyFont="1" applyFill="1" applyBorder="1" applyAlignment="1" applyProtection="1">
      <alignment vertical="center"/>
    </xf>
    <xf numFmtId="0" fontId="51" fillId="0" borderId="17" xfId="3" applyFont="1" applyFill="1" applyBorder="1" applyAlignment="1" applyProtection="1">
      <alignment horizontal="center" vertical="center" wrapText="1"/>
    </xf>
    <xf numFmtId="49" fontId="68" fillId="0" borderId="129" xfId="1" applyNumberFormat="1" applyFont="1" applyFill="1" applyBorder="1" applyAlignment="1" applyProtection="1">
      <alignment horizontal="left" vertical="center" wrapText="1"/>
    </xf>
    <xf numFmtId="0" fontId="70" fillId="0" borderId="129" xfId="0" applyFont="1" applyFill="1" applyBorder="1" applyAlignment="1" applyProtection="1">
      <alignment wrapText="1"/>
    </xf>
    <xf numFmtId="0" fontId="70" fillId="0" borderId="129" xfId="0" applyFont="1" applyFill="1" applyBorder="1" applyAlignment="1" applyProtection="1">
      <alignment vertical="center" wrapText="1"/>
    </xf>
    <xf numFmtId="49" fontId="68" fillId="0" borderId="17" xfId="1" applyNumberFormat="1" applyFont="1" applyFill="1" applyBorder="1" applyAlignment="1" applyProtection="1">
      <alignment horizontal="center" vertical="center" wrapText="1"/>
    </xf>
    <xf numFmtId="0" fontId="70" fillId="0" borderId="133" xfId="0" applyFont="1" applyFill="1" applyBorder="1" applyAlignment="1" applyProtection="1">
      <alignment wrapText="1"/>
    </xf>
    <xf numFmtId="0" fontId="70" fillId="0" borderId="29" xfId="0" applyFont="1" applyFill="1" applyBorder="1" applyAlignment="1" applyProtection="1">
      <alignment vertical="center"/>
    </xf>
    <xf numFmtId="0" fontId="70" fillId="0" borderId="34" xfId="0" applyFont="1" applyFill="1" applyBorder="1" applyAlignment="1" applyProtection="1">
      <alignment vertical="center"/>
    </xf>
    <xf numFmtId="0" fontId="68" fillId="0" borderId="0" xfId="60" applyFont="1" applyFill="1" applyBorder="1" applyAlignment="1" applyProtection="1">
      <alignment horizontal="left" vertical="center"/>
    </xf>
    <xf numFmtId="4" fontId="51" fillId="0" borderId="0" xfId="60" applyNumberFormat="1" applyFont="1" applyFill="1" applyBorder="1" applyAlignment="1" applyProtection="1">
      <alignment horizontal="center" vertical="center"/>
    </xf>
    <xf numFmtId="164" fontId="51" fillId="0" borderId="0" xfId="60" applyNumberFormat="1" applyFont="1" applyFill="1" applyBorder="1" applyAlignment="1" applyProtection="1">
      <alignment horizontal="center" vertical="center"/>
    </xf>
    <xf numFmtId="0" fontId="51" fillId="0" borderId="50" xfId="1" applyNumberFormat="1" applyFont="1" applyFill="1" applyBorder="1" applyAlignment="1" applyProtection="1">
      <alignment horizontal="left" vertical="center" wrapText="1"/>
    </xf>
    <xf numFmtId="0" fontId="70" fillId="0" borderId="137" xfId="0" applyFont="1" applyFill="1" applyBorder="1" applyAlignment="1" applyProtection="1"/>
    <xf numFmtId="0" fontId="70" fillId="0" borderId="34" xfId="0" applyFont="1" applyFill="1" applyBorder="1" applyAlignment="1" applyProtection="1"/>
    <xf numFmtId="49" fontId="68" fillId="0" borderId="17" xfId="1" applyNumberFormat="1" applyFont="1" applyFill="1" applyBorder="1" applyAlignment="1" applyProtection="1">
      <alignment horizontal="left" vertical="center" wrapText="1"/>
    </xf>
    <xf numFmtId="0" fontId="67" fillId="0" borderId="140" xfId="0" applyFont="1" applyFill="1" applyBorder="1" applyProtection="1"/>
    <xf numFmtId="0" fontId="67" fillId="0" borderId="0" xfId="0" applyFont="1" applyFill="1" applyBorder="1" applyProtection="1"/>
    <xf numFmtId="193" fontId="72" fillId="0" borderId="149" xfId="60" applyNumberFormat="1" applyFont="1" applyFill="1" applyBorder="1" applyAlignment="1" applyProtection="1">
      <alignment vertical="center"/>
      <protection locked="0"/>
    </xf>
    <xf numFmtId="193" fontId="72" fillId="0" borderId="154" xfId="60" applyNumberFormat="1" applyFont="1" applyFill="1" applyBorder="1" applyAlignment="1" applyProtection="1">
      <alignment vertical="center"/>
      <protection locked="0"/>
    </xf>
    <xf numFmtId="193" fontId="72" fillId="0" borderId="155" xfId="60" applyNumberFormat="1" applyFont="1" applyFill="1" applyBorder="1" applyAlignment="1" applyProtection="1">
      <alignment vertical="center"/>
      <protection locked="0"/>
    </xf>
    <xf numFmtId="164" fontId="13" fillId="0" borderId="17" xfId="59" applyNumberFormat="1" applyFont="1" applyFill="1" applyBorder="1" applyAlignment="1" applyProtection="1">
      <alignment horizontal="right" vertical="center" wrapText="1"/>
    </xf>
    <xf numFmtId="164" fontId="51" fillId="0" borderId="17" xfId="59" applyNumberFormat="1" applyFont="1" applyFill="1" applyBorder="1" applyAlignment="1" applyProtection="1">
      <alignment horizontal="right" vertical="center" wrapText="1"/>
    </xf>
    <xf numFmtId="164" fontId="51" fillId="0" borderId="17" xfId="1" applyNumberFormat="1" applyFont="1" applyFill="1" applyBorder="1" applyAlignment="1" applyProtection="1">
      <alignment vertical="center" wrapText="1"/>
    </xf>
    <xf numFmtId="164" fontId="51" fillId="0" borderId="17" xfId="1" applyNumberFormat="1" applyFont="1" applyFill="1" applyBorder="1" applyAlignment="1" applyProtection="1">
      <alignment horizontal="center" vertical="center" wrapText="1"/>
    </xf>
    <xf numFmtId="4" fontId="51" fillId="0" borderId="101" xfId="1" applyNumberFormat="1" applyFont="1" applyFill="1" applyBorder="1" applyAlignment="1" applyProtection="1">
      <alignment horizontal="center" vertical="center" wrapText="1"/>
    </xf>
    <xf numFmtId="0" fontId="68" fillId="13" borderId="11" xfId="1" applyFont="1" applyFill="1" applyBorder="1" applyAlignment="1" applyProtection="1">
      <alignment horizontal="center" vertical="center" wrapText="1"/>
    </xf>
    <xf numFmtId="4" fontId="12" fillId="13" borderId="156" xfId="1" applyNumberFormat="1" applyFont="1" applyFill="1" applyBorder="1" applyAlignment="1" applyProtection="1">
      <alignment horizontal="center" vertical="center" wrapText="1"/>
    </xf>
    <xf numFmtId="4" fontId="12" fillId="13" borderId="157" xfId="1" applyNumberFormat="1" applyFont="1" applyFill="1" applyBorder="1" applyAlignment="1" applyProtection="1">
      <alignment horizontal="center" vertical="center" wrapText="1"/>
    </xf>
    <xf numFmtId="0" fontId="12" fillId="0" borderId="129" xfId="1" applyNumberFormat="1" applyFont="1" applyFill="1" applyBorder="1" applyAlignment="1" applyProtection="1">
      <alignment horizontal="left" vertical="center" wrapText="1"/>
    </xf>
    <xf numFmtId="0" fontId="12" fillId="0" borderId="17" xfId="1" applyNumberFormat="1" applyFont="1" applyFill="1" applyBorder="1" applyAlignment="1" applyProtection="1">
      <alignment horizontal="left" vertical="center" wrapText="1"/>
    </xf>
    <xf numFmtId="0" fontId="68" fillId="14" borderId="136" xfId="60" applyFont="1" applyFill="1" applyBorder="1" applyAlignment="1" applyProtection="1">
      <alignment horizontal="right"/>
    </xf>
    <xf numFmtId="0" fontId="68" fillId="14" borderId="123" xfId="60" applyFont="1" applyFill="1" applyBorder="1" applyAlignment="1" applyProtection="1">
      <alignment horizontal="right"/>
    </xf>
    <xf numFmtId="0" fontId="68" fillId="0" borderId="139" xfId="60" applyFont="1" applyFill="1" applyBorder="1" applyAlignment="1" applyProtection="1">
      <alignment horizontal="right"/>
    </xf>
    <xf numFmtId="0" fontId="68" fillId="0" borderId="30" xfId="60" applyFont="1" applyFill="1" applyBorder="1" applyAlignment="1" applyProtection="1">
      <alignment horizontal="right"/>
    </xf>
    <xf numFmtId="0" fontId="72" fillId="0" borderId="151" xfId="60" applyFont="1" applyFill="1" applyBorder="1" applyAlignment="1" applyProtection="1">
      <alignment horizontal="right"/>
    </xf>
    <xf numFmtId="0" fontId="72" fillId="0" borderId="128" xfId="60" applyFont="1" applyFill="1" applyBorder="1" applyAlignment="1" applyProtection="1">
      <alignment horizontal="right"/>
    </xf>
    <xf numFmtId="4" fontId="12" fillId="13" borderId="41" xfId="1" quotePrefix="1" applyNumberFormat="1" applyFont="1" applyFill="1" applyBorder="1" applyAlignment="1" applyProtection="1">
      <alignment horizontal="center" vertical="center" wrapText="1"/>
    </xf>
    <xf numFmtId="4" fontId="12" fillId="13" borderId="55" xfId="1" quotePrefix="1" applyNumberFormat="1" applyFont="1" applyFill="1" applyBorder="1" applyAlignment="1" applyProtection="1">
      <alignment horizontal="center" vertical="center" wrapText="1"/>
    </xf>
    <xf numFmtId="0" fontId="68" fillId="13" borderId="21" xfId="1" applyFont="1" applyFill="1" applyBorder="1" applyAlignment="1" applyProtection="1">
      <alignment horizontal="center" vertical="center" wrapText="1"/>
    </xf>
    <xf numFmtId="0" fontId="68" fillId="13" borderId="22" xfId="1" applyFont="1" applyFill="1" applyBorder="1" applyAlignment="1" applyProtection="1">
      <alignment horizontal="center" vertical="center" wrapText="1"/>
    </xf>
    <xf numFmtId="0" fontId="26" fillId="14" borderId="47" xfId="1" applyFont="1" applyFill="1" applyBorder="1" applyAlignment="1" applyProtection="1">
      <alignment horizontal="center" vertical="center"/>
    </xf>
    <xf numFmtId="0" fontId="26" fillId="13" borderId="47" xfId="1" applyFont="1" applyFill="1" applyBorder="1" applyAlignment="1" applyProtection="1">
      <alignment horizontal="center" vertical="center"/>
    </xf>
    <xf numFmtId="4" fontId="12" fillId="13" borderId="144" xfId="1" quotePrefix="1" applyNumberFormat="1" applyFont="1" applyFill="1" applyBorder="1" applyAlignment="1" applyProtection="1">
      <alignment horizontal="center" vertical="center" wrapText="1"/>
    </xf>
    <xf numFmtId="4" fontId="12" fillId="13" borderId="145" xfId="1" quotePrefix="1" applyNumberFormat="1" applyFont="1" applyFill="1" applyBorder="1" applyAlignment="1" applyProtection="1">
      <alignment horizontal="center" vertical="center" wrapText="1"/>
    </xf>
    <xf numFmtId="164" fontId="12" fillId="13" borderId="41" xfId="1" applyNumberFormat="1" applyFont="1" applyFill="1" applyBorder="1" applyAlignment="1" applyProtection="1">
      <alignment horizontal="center" vertical="center" wrapText="1"/>
    </xf>
    <xf numFmtId="164" fontId="12" fillId="13" borderId="55" xfId="1" applyNumberFormat="1" applyFont="1" applyFill="1" applyBorder="1" applyAlignment="1" applyProtection="1">
      <alignment horizontal="center" vertical="center" wrapText="1"/>
    </xf>
    <xf numFmtId="0" fontId="12" fillId="13" borderId="124" xfId="1" applyFont="1" applyFill="1" applyBorder="1" applyAlignment="1" applyProtection="1">
      <alignment horizontal="center" vertical="center" wrapText="1"/>
    </xf>
    <xf numFmtId="0" fontId="12" fillId="13" borderId="126" xfId="1" applyFont="1" applyFill="1" applyBorder="1" applyAlignment="1" applyProtection="1">
      <alignment horizontal="center" vertical="center" wrapText="1"/>
    </xf>
    <xf numFmtId="0" fontId="12" fillId="13" borderId="41" xfId="1" applyFont="1" applyFill="1" applyBorder="1" applyAlignment="1" applyProtection="1">
      <alignment horizontal="center" vertical="center" wrapText="1"/>
    </xf>
    <xf numFmtId="0" fontId="12" fillId="13" borderId="55" xfId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2" fillId="0" borderId="132" xfId="1" applyNumberFormat="1" applyFont="1" applyFill="1" applyBorder="1" applyAlignment="1" applyProtection="1">
      <alignment horizontal="left" vertical="center" wrapText="1"/>
    </xf>
    <xf numFmtId="0" fontId="12" fillId="0" borderId="20" xfId="1" applyNumberFormat="1" applyFont="1" applyFill="1" applyBorder="1" applyAlignment="1" applyProtection="1">
      <alignment horizontal="left" vertical="center" wrapText="1"/>
    </xf>
    <xf numFmtId="0" fontId="12" fillId="0" borderId="14" xfId="1" applyNumberFormat="1" applyFont="1" applyFill="1" applyBorder="1" applyAlignment="1" applyProtection="1">
      <alignment horizontal="left" vertical="center" wrapText="1"/>
    </xf>
    <xf numFmtId="0" fontId="65" fillId="14" borderId="124" xfId="68" applyNumberFormat="1" applyFont="1" applyFill="1" applyBorder="1" applyAlignment="1" applyProtection="1">
      <alignment horizontal="right" vertical="center"/>
    </xf>
    <xf numFmtId="0" fontId="65" fillId="14" borderId="41" xfId="68" applyNumberFormat="1" applyFont="1" applyFill="1" applyBorder="1" applyAlignment="1" applyProtection="1">
      <alignment horizontal="right" vertical="center"/>
    </xf>
    <xf numFmtId="0" fontId="69" fillId="0" borderId="129" xfId="0" applyFont="1" applyBorder="1" applyAlignment="1" applyProtection="1">
      <alignment horizontal="right" wrapText="1"/>
    </xf>
    <xf numFmtId="0" fontId="69" fillId="0" borderId="17" xfId="0" applyFont="1" applyBorder="1" applyAlignment="1" applyProtection="1">
      <alignment horizontal="right" wrapText="1"/>
    </xf>
    <xf numFmtId="0" fontId="65" fillId="14" borderId="126" xfId="68" applyNumberFormat="1" applyFont="1" applyFill="1" applyBorder="1" applyAlignment="1" applyProtection="1">
      <alignment horizontal="right" vertical="center"/>
    </xf>
    <xf numFmtId="0" fontId="65" fillId="14" borderId="55" xfId="68" applyNumberFormat="1" applyFont="1" applyFill="1" applyBorder="1" applyAlignment="1" applyProtection="1">
      <alignment horizontal="right" vertical="center"/>
    </xf>
    <xf numFmtId="0" fontId="65" fillId="14" borderId="141" xfId="68" applyNumberFormat="1" applyFont="1" applyFill="1" applyBorder="1" applyAlignment="1" applyProtection="1">
      <alignment horizontal="right" vertical="center"/>
    </xf>
    <xf numFmtId="0" fontId="65" fillId="14" borderId="73" xfId="68" applyNumberFormat="1" applyFont="1" applyFill="1" applyBorder="1" applyAlignment="1" applyProtection="1">
      <alignment horizontal="right" vertical="center"/>
    </xf>
    <xf numFmtId="0" fontId="68" fillId="14" borderId="152" xfId="60" applyFont="1" applyFill="1" applyBorder="1" applyAlignment="1" applyProtection="1">
      <alignment horizontal="right"/>
    </xf>
    <xf numFmtId="0" fontId="68" fillId="14" borderId="148" xfId="60" applyFont="1" applyFill="1" applyBorder="1" applyAlignment="1" applyProtection="1">
      <alignment horizontal="right"/>
    </xf>
    <xf numFmtId="0" fontId="26" fillId="13" borderId="60" xfId="68" applyNumberFormat="1" applyFont="1" applyFill="1" applyBorder="1" applyAlignment="1" applyProtection="1">
      <alignment horizontal="center" vertical="center"/>
    </xf>
    <xf numFmtId="0" fontId="26" fillId="13" borderId="61" xfId="68" applyNumberFormat="1" applyFont="1" applyFill="1" applyBorder="1" applyAlignment="1" applyProtection="1">
      <alignment horizontal="center" vertical="center"/>
    </xf>
    <xf numFmtId="0" fontId="18" fillId="0" borderId="75" xfId="15" applyFont="1" applyBorder="1" applyAlignment="1" applyProtection="1">
      <alignment horizontal="center" vertical="center"/>
    </xf>
    <xf numFmtId="0" fontId="12" fillId="0" borderId="78" xfId="15" applyFont="1" applyBorder="1" applyAlignment="1" applyProtection="1">
      <alignment horizontal="center" vertical="center" wrapText="1"/>
    </xf>
    <xf numFmtId="0" fontId="12" fillId="0" borderId="79" xfId="15" applyFont="1" applyBorder="1" applyAlignment="1" applyProtection="1">
      <alignment horizontal="center" vertical="center" wrapText="1"/>
    </xf>
    <xf numFmtId="0" fontId="12" fillId="0" borderId="80" xfId="15" applyFont="1" applyBorder="1" applyAlignment="1" applyProtection="1">
      <alignment horizontal="center" vertical="center" wrapText="1"/>
    </xf>
    <xf numFmtId="3" fontId="57" fillId="6" borderId="85" xfId="15" applyNumberFormat="1" applyFont="1" applyFill="1" applyBorder="1" applyAlignment="1" applyProtection="1">
      <alignment horizontal="center" vertical="center"/>
    </xf>
    <xf numFmtId="3" fontId="57" fillId="6" borderId="86" xfId="15" applyNumberFormat="1" applyFont="1" applyFill="1" applyBorder="1" applyAlignment="1" applyProtection="1">
      <alignment horizontal="center" vertical="center"/>
    </xf>
    <xf numFmtId="0" fontId="10" fillId="0" borderId="85" xfId="15" applyFont="1" applyBorder="1" applyAlignment="1" applyProtection="1">
      <alignment horizontal="right" vertical="center"/>
    </xf>
    <xf numFmtId="0" fontId="10" fillId="0" borderId="86" xfId="15" applyFont="1" applyBorder="1" applyAlignment="1" applyProtection="1">
      <alignment horizontal="right" vertical="center"/>
    </xf>
    <xf numFmtId="0" fontId="10" fillId="0" borderId="33" xfId="15" applyFont="1" applyBorder="1" applyAlignment="1" applyProtection="1">
      <alignment horizontal="center" vertical="center" wrapText="1"/>
    </xf>
    <xf numFmtId="0" fontId="10" fillId="0" borderId="34" xfId="15" applyFont="1" applyBorder="1" applyAlignment="1" applyProtection="1">
      <alignment horizontal="center" vertical="center" wrapText="1"/>
    </xf>
    <xf numFmtId="0" fontId="10" fillId="0" borderId="25" xfId="15" applyFont="1" applyBorder="1" applyAlignment="1" applyProtection="1">
      <alignment horizontal="center" vertical="center" wrapText="1"/>
    </xf>
    <xf numFmtId="0" fontId="10" fillId="0" borderId="88" xfId="15" applyFont="1" applyBorder="1" applyAlignment="1" applyProtection="1">
      <alignment horizontal="center" vertical="center" wrapText="1"/>
    </xf>
    <xf numFmtId="12" fontId="10" fillId="0" borderId="88" xfId="15" applyNumberFormat="1" applyFont="1" applyBorder="1" applyAlignment="1" applyProtection="1">
      <alignment horizontal="center" vertical="center" wrapText="1"/>
    </xf>
    <xf numFmtId="12" fontId="10" fillId="0" borderId="25" xfId="15" applyNumberFormat="1" applyFont="1" applyBorder="1" applyAlignment="1" applyProtection="1">
      <alignment horizontal="center" vertical="center" wrapText="1"/>
    </xf>
    <xf numFmtId="12" fontId="10" fillId="0" borderId="35" xfId="15" applyNumberFormat="1" applyFont="1" applyBorder="1" applyAlignment="1" applyProtection="1">
      <alignment horizontal="center" vertical="center" wrapText="1"/>
    </xf>
    <xf numFmtId="0" fontId="12" fillId="0" borderId="21" xfId="15" applyFont="1" applyBorder="1" applyAlignment="1" applyProtection="1">
      <alignment horizontal="center" vertical="center"/>
    </xf>
    <xf numFmtId="0" fontId="12" fillId="0" borderId="23" xfId="15" applyFont="1" applyBorder="1" applyAlignment="1" applyProtection="1">
      <alignment horizontal="center" vertical="center"/>
    </xf>
    <xf numFmtId="0" fontId="12" fillId="0" borderId="21" xfId="15" applyFont="1" applyBorder="1" applyAlignment="1" applyProtection="1">
      <alignment horizontal="center" vertical="center" wrapText="1"/>
    </xf>
    <xf numFmtId="0" fontId="12" fillId="0" borderId="23" xfId="15" applyFont="1" applyBorder="1" applyAlignment="1" applyProtection="1">
      <alignment horizontal="center" vertical="center" wrapText="1"/>
    </xf>
    <xf numFmtId="178" fontId="12" fillId="0" borderId="21" xfId="15" applyNumberFormat="1" applyFont="1" applyBorder="1" applyAlignment="1" applyProtection="1">
      <alignment horizontal="center" vertical="center"/>
    </xf>
    <xf numFmtId="178" fontId="12" fillId="0" borderId="23" xfId="15" applyNumberFormat="1" applyFont="1" applyBorder="1" applyAlignment="1" applyProtection="1">
      <alignment horizontal="center" vertical="center"/>
    </xf>
    <xf numFmtId="179" fontId="12" fillId="0" borderId="21" xfId="15" applyNumberFormat="1" applyFont="1" applyBorder="1" applyAlignment="1" applyProtection="1">
      <alignment horizontal="center" vertical="center"/>
    </xf>
    <xf numFmtId="179" fontId="12" fillId="0" borderId="23" xfId="15" applyNumberFormat="1" applyFont="1" applyBorder="1" applyAlignment="1" applyProtection="1">
      <alignment horizontal="center" vertical="center"/>
    </xf>
    <xf numFmtId="180" fontId="12" fillId="0" borderId="21" xfId="15" applyNumberFormat="1" applyFont="1" applyBorder="1" applyAlignment="1" applyProtection="1">
      <alignment horizontal="center" vertical="center"/>
    </xf>
    <xf numFmtId="180" fontId="12" fillId="0" borderId="23" xfId="15" applyNumberFormat="1" applyFont="1" applyBorder="1" applyAlignment="1" applyProtection="1">
      <alignment horizontal="center" vertical="center"/>
    </xf>
    <xf numFmtId="181" fontId="12" fillId="0" borderId="21" xfId="15" applyNumberFormat="1" applyFont="1" applyBorder="1" applyAlignment="1" applyProtection="1">
      <alignment horizontal="center" vertical="center"/>
    </xf>
    <xf numFmtId="181" fontId="12" fillId="0" borderId="23" xfId="15" applyNumberFormat="1" applyFont="1" applyBorder="1" applyAlignment="1" applyProtection="1">
      <alignment horizontal="center" vertical="center"/>
    </xf>
    <xf numFmtId="0" fontId="12" fillId="12" borderId="31" xfId="15" applyFont="1" applyFill="1" applyBorder="1" applyAlignment="1">
      <alignment horizontal="center" vertical="center" wrapText="1"/>
    </xf>
    <xf numFmtId="0" fontId="12" fillId="12" borderId="22" xfId="15" applyFont="1" applyFill="1" applyBorder="1" applyAlignment="1">
      <alignment horizontal="center" vertical="center" wrapText="1"/>
    </xf>
    <xf numFmtId="0" fontId="12" fillId="12" borderId="32" xfId="15" applyFont="1" applyFill="1" applyBorder="1" applyAlignment="1">
      <alignment horizontal="center" vertical="center" wrapText="1"/>
    </xf>
    <xf numFmtId="0" fontId="15" fillId="0" borderId="34" xfId="15" applyFont="1" applyFill="1" applyBorder="1" applyAlignment="1">
      <alignment horizontal="left" wrapText="1"/>
    </xf>
    <xf numFmtId="0" fontId="26" fillId="8" borderId="31" xfId="15" applyFont="1" applyFill="1" applyBorder="1" applyAlignment="1">
      <alignment horizontal="center"/>
    </xf>
    <xf numFmtId="0" fontId="26" fillId="8" borderId="22" xfId="15" applyFont="1" applyFill="1" applyBorder="1" applyAlignment="1">
      <alignment horizontal="center"/>
    </xf>
    <xf numFmtId="0" fontId="26" fillId="8" borderId="32" xfId="15" applyFont="1" applyFill="1" applyBorder="1" applyAlignment="1">
      <alignment horizontal="center"/>
    </xf>
    <xf numFmtId="0" fontId="12" fillId="12" borderId="33" xfId="15" applyFont="1" applyFill="1" applyBorder="1" applyAlignment="1">
      <alignment horizontal="center" vertical="center" wrapText="1"/>
    </xf>
    <xf numFmtId="0" fontId="12" fillId="12" borderId="34" xfId="15" applyFont="1" applyFill="1" applyBorder="1" applyAlignment="1">
      <alignment horizontal="center" vertical="center" wrapText="1"/>
    </xf>
    <xf numFmtId="0" fontId="12" fillId="12" borderId="35" xfId="15" applyFont="1" applyFill="1" applyBorder="1" applyAlignment="1">
      <alignment horizontal="center" vertical="center" wrapText="1"/>
    </xf>
    <xf numFmtId="0" fontId="13" fillId="0" borderId="34" xfId="15" applyFont="1" applyBorder="1" applyAlignment="1">
      <alignment horizontal="justify" vertical="center" wrapText="1"/>
    </xf>
    <xf numFmtId="0" fontId="13" fillId="0" borderId="0" xfId="15" applyFont="1" applyAlignment="1" applyProtection="1">
      <alignment horizontal="justify" vertical="center" wrapText="1"/>
      <protection locked="0"/>
    </xf>
    <xf numFmtId="0" fontId="53" fillId="0" borderId="0" xfId="15" applyFont="1" applyFill="1" applyBorder="1" applyAlignment="1">
      <alignment horizontal="center" vertical="center" wrapText="1"/>
    </xf>
    <xf numFmtId="3" fontId="31" fillId="0" borderId="31" xfId="15" applyNumberFormat="1" applyFont="1" applyBorder="1" applyAlignment="1">
      <alignment horizontal="center" vertical="center"/>
    </xf>
    <xf numFmtId="3" fontId="31" fillId="0" borderId="22" xfId="15" applyNumberFormat="1" applyFont="1" applyBorder="1" applyAlignment="1">
      <alignment horizontal="center" vertical="center"/>
    </xf>
    <xf numFmtId="3" fontId="31" fillId="0" borderId="32" xfId="15" applyNumberFormat="1" applyFont="1" applyBorder="1" applyAlignment="1">
      <alignment horizontal="center" vertical="center"/>
    </xf>
    <xf numFmtId="3" fontId="32" fillId="0" borderId="0" xfId="15" applyNumberFormat="1" applyFont="1" applyAlignment="1">
      <alignment horizontal="right" vertic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52" fillId="0" borderId="114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0" fontId="52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left"/>
    </xf>
    <xf numFmtId="0" fontId="6" fillId="0" borderId="120" xfId="0" applyFont="1" applyBorder="1" applyAlignment="1">
      <alignment horizontal="left"/>
    </xf>
    <xf numFmtId="0" fontId="44" fillId="0" borderId="101" xfId="58" applyFont="1" applyFill="1" applyBorder="1" applyAlignment="1">
      <alignment horizontal="left" vertical="center" wrapText="1"/>
    </xf>
    <xf numFmtId="0" fontId="44" fillId="0" borderId="30" xfId="58" applyFont="1" applyFill="1" applyBorder="1" applyAlignment="1">
      <alignment horizontal="left" vertical="center" wrapText="1"/>
    </xf>
    <xf numFmtId="0" fontId="44" fillId="0" borderId="28" xfId="58" applyFont="1" applyFill="1" applyBorder="1" applyAlignment="1">
      <alignment horizontal="left" vertical="center" wrapText="1"/>
    </xf>
    <xf numFmtId="0" fontId="44" fillId="0" borderId="68" xfId="58" applyFont="1" applyFill="1" applyBorder="1" applyAlignment="1">
      <alignment horizontal="left" vertical="center" wrapText="1"/>
    </xf>
    <xf numFmtId="0" fontId="44" fillId="0" borderId="101" xfId="58" applyFont="1" applyFill="1" applyBorder="1" applyAlignment="1">
      <alignment horizontal="center" vertical="center" wrapText="1"/>
    </xf>
    <xf numFmtId="0" fontId="44" fillId="0" borderId="30" xfId="58" applyFont="1" applyFill="1" applyBorder="1" applyAlignment="1">
      <alignment horizontal="center" vertical="center" wrapText="1"/>
    </xf>
    <xf numFmtId="0" fontId="13" fillId="0" borderId="43" xfId="5" applyFont="1" applyFill="1" applyBorder="1" applyAlignment="1">
      <alignment horizontal="left" vertical="center"/>
    </xf>
    <xf numFmtId="0" fontId="13" fillId="0" borderId="30" xfId="5" applyFont="1" applyFill="1" applyBorder="1" applyAlignment="1">
      <alignment horizontal="left" vertical="center"/>
    </xf>
    <xf numFmtId="0" fontId="13" fillId="0" borderId="28" xfId="5" applyFont="1" applyFill="1" applyBorder="1" applyAlignment="1">
      <alignment horizontal="left" vertical="center"/>
    </xf>
    <xf numFmtId="0" fontId="13" fillId="0" borderId="52" xfId="5" applyFont="1" applyFill="1" applyBorder="1" applyAlignment="1">
      <alignment horizontal="left" vertical="center"/>
    </xf>
    <xf numFmtId="0" fontId="13" fillId="0" borderId="53" xfId="5" applyFont="1" applyFill="1" applyBorder="1" applyAlignment="1">
      <alignment horizontal="left" vertical="center"/>
    </xf>
    <xf numFmtId="0" fontId="13" fillId="0" borderId="54" xfId="5" applyFont="1" applyFill="1" applyBorder="1" applyAlignment="1">
      <alignment horizontal="left" vertical="center"/>
    </xf>
    <xf numFmtId="0" fontId="12" fillId="0" borderId="65" xfId="5" applyFont="1" applyFill="1" applyBorder="1" applyAlignment="1">
      <alignment horizontal="center" vertical="center"/>
    </xf>
    <xf numFmtId="0" fontId="12" fillId="0" borderId="66" xfId="5" applyFont="1" applyFill="1" applyBorder="1" applyAlignment="1">
      <alignment horizontal="center" vertical="center"/>
    </xf>
    <xf numFmtId="0" fontId="12" fillId="0" borderId="68" xfId="5" applyFont="1" applyFill="1" applyBorder="1" applyAlignment="1">
      <alignment horizontal="right"/>
    </xf>
    <xf numFmtId="0" fontId="12" fillId="0" borderId="39" xfId="5" applyFont="1" applyFill="1" applyBorder="1" applyAlignment="1">
      <alignment horizontal="center" vertical="center"/>
    </xf>
    <xf numFmtId="0" fontId="12" fillId="0" borderId="40" xfId="5" applyFont="1" applyFill="1" applyBorder="1" applyAlignment="1">
      <alignment horizontal="center" vertical="center"/>
    </xf>
    <xf numFmtId="0" fontId="12" fillId="0" borderId="58" xfId="5" applyFont="1" applyFill="1" applyBorder="1" applyAlignment="1">
      <alignment horizontal="center" vertical="center"/>
    </xf>
    <xf numFmtId="0" fontId="13" fillId="0" borderId="52" xfId="5" applyFont="1" applyFill="1" applyBorder="1" applyAlignment="1">
      <alignment horizontal="left" vertical="center" wrapText="1"/>
    </xf>
    <xf numFmtId="0" fontId="13" fillId="0" borderId="53" xfId="5" applyFont="1" applyFill="1" applyBorder="1" applyAlignment="1">
      <alignment horizontal="left" vertical="center" wrapText="1"/>
    </xf>
    <xf numFmtId="0" fontId="13" fillId="0" borderId="54" xfId="5" applyFont="1" applyFill="1" applyBorder="1" applyAlignment="1">
      <alignment horizontal="left" vertical="center" wrapText="1"/>
    </xf>
    <xf numFmtId="0" fontId="13" fillId="0" borderId="52" xfId="5" applyFont="1" applyFill="1" applyBorder="1" applyAlignment="1">
      <alignment horizontal="center"/>
    </xf>
    <xf numFmtId="0" fontId="13" fillId="0" borderId="54" xfId="5" applyFont="1" applyFill="1" applyBorder="1" applyAlignment="1">
      <alignment horizontal="center"/>
    </xf>
    <xf numFmtId="0" fontId="13" fillId="0" borderId="43" xfId="5" applyFont="1" applyFill="1" applyBorder="1" applyAlignment="1">
      <alignment horizontal="left"/>
    </xf>
    <xf numFmtId="0" fontId="13" fillId="0" borderId="28" xfId="5" applyFont="1" applyFill="1" applyBorder="1" applyAlignment="1">
      <alignment horizontal="left"/>
    </xf>
    <xf numFmtId="0" fontId="13" fillId="0" borderId="52" xfId="5" applyFont="1" applyFill="1" applyBorder="1" applyAlignment="1">
      <alignment horizontal="left"/>
    </xf>
    <xf numFmtId="0" fontId="13" fillId="0" borderId="54" xfId="5" applyFont="1" applyFill="1" applyBorder="1" applyAlignment="1">
      <alignment horizontal="left"/>
    </xf>
    <xf numFmtId="4" fontId="13" fillId="0" borderId="60" xfId="5" applyNumberFormat="1" applyFont="1" applyFill="1" applyBorder="1" applyAlignment="1">
      <alignment horizontal="center" vertical="center"/>
    </xf>
    <xf numFmtId="4" fontId="13" fillId="0" borderId="61" xfId="5" applyNumberFormat="1" applyFont="1" applyFill="1" applyBorder="1" applyAlignment="1">
      <alignment horizontal="center" vertical="center"/>
    </xf>
    <xf numFmtId="0" fontId="13" fillId="0" borderId="43" xfId="5" applyFont="1" applyFill="1" applyBorder="1" applyAlignment="1">
      <alignment horizontal="left" vertical="center" wrapText="1"/>
    </xf>
    <xf numFmtId="0" fontId="13" fillId="0" borderId="30" xfId="5" applyFont="1" applyFill="1" applyBorder="1" applyAlignment="1">
      <alignment horizontal="left" vertical="center" wrapText="1"/>
    </xf>
    <xf numFmtId="0" fontId="13" fillId="0" borderId="28" xfId="5" applyFont="1" applyFill="1" applyBorder="1" applyAlignment="1">
      <alignment horizontal="left" vertical="center" wrapText="1"/>
    </xf>
    <xf numFmtId="0" fontId="13" fillId="0" borderId="0" xfId="5" applyNumberFormat="1" applyFont="1" applyFill="1" applyBorder="1" applyAlignment="1">
      <alignment horizontal="left" vertical="center" wrapText="1"/>
    </xf>
    <xf numFmtId="0" fontId="10" fillId="0" borderId="31" xfId="5" applyFont="1" applyFill="1" applyBorder="1" applyAlignment="1">
      <alignment horizontal="center" vertical="center" wrapText="1"/>
    </xf>
    <xf numFmtId="0" fontId="10" fillId="0" borderId="22" xfId="5" applyFont="1" applyFill="1" applyBorder="1" applyAlignment="1">
      <alignment horizontal="center" vertical="center" wrapText="1"/>
    </xf>
    <xf numFmtId="0" fontId="10" fillId="0" borderId="32" xfId="5" applyFont="1" applyFill="1" applyBorder="1" applyAlignment="1">
      <alignment horizontal="center" vertical="center" wrapText="1"/>
    </xf>
    <xf numFmtId="0" fontId="12" fillId="0" borderId="49" xfId="5" applyFont="1" applyFill="1" applyBorder="1" applyAlignment="1">
      <alignment horizontal="center" vertical="center"/>
    </xf>
    <xf numFmtId="0" fontId="12" fillId="0" borderId="41" xfId="5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Border="1" applyAlignment="1"/>
    <xf numFmtId="0" fontId="12" fillId="0" borderId="0" xfId="5" applyFont="1" applyFill="1" applyBorder="1" applyAlignment="1">
      <alignment horizontal="center" vertical="center"/>
    </xf>
    <xf numFmtId="0" fontId="11" fillId="0" borderId="0" xfId="5" applyNumberFormat="1" applyFont="1" applyFill="1" applyBorder="1" applyAlignment="1">
      <alignment horizontal="center" vertical="center" wrapText="1"/>
    </xf>
    <xf numFmtId="0" fontId="13" fillId="0" borderId="43" xfId="5" applyFont="1" applyFill="1" applyBorder="1" applyAlignment="1"/>
    <xf numFmtId="0" fontId="13" fillId="0" borderId="30" xfId="5" applyFont="1" applyFill="1" applyBorder="1" applyAlignment="1"/>
    <xf numFmtId="0" fontId="13" fillId="0" borderId="52" xfId="5" applyFont="1" applyFill="1" applyBorder="1" applyAlignment="1"/>
    <xf numFmtId="0" fontId="13" fillId="0" borderId="53" xfId="5" applyFont="1" applyFill="1" applyBorder="1" applyAlignment="1"/>
    <xf numFmtId="0" fontId="13" fillId="0" borderId="43" xfId="5" applyFont="1" applyFill="1" applyBorder="1" applyAlignment="1">
      <alignment horizontal="center" vertical="center"/>
    </xf>
    <xf numFmtId="0" fontId="13" fillId="0" borderId="28" xfId="5" applyFont="1" applyFill="1" applyBorder="1" applyAlignment="1">
      <alignment horizontal="center" vertical="center"/>
    </xf>
    <xf numFmtId="0" fontId="12" fillId="0" borderId="43" xfId="5" applyFont="1" applyFill="1" applyBorder="1" applyAlignment="1">
      <alignment horizontal="left" vertical="center" wrapText="1"/>
    </xf>
    <xf numFmtId="0" fontId="12" fillId="0" borderId="30" xfId="5" applyFont="1" applyFill="1" applyBorder="1" applyAlignment="1">
      <alignment horizontal="left" vertical="center" wrapText="1"/>
    </xf>
    <xf numFmtId="0" fontId="12" fillId="0" borderId="28" xfId="5" applyFont="1" applyFill="1" applyBorder="1" applyAlignment="1">
      <alignment horizontal="left" vertical="center" wrapText="1"/>
    </xf>
    <xf numFmtId="0" fontId="13" fillId="0" borderId="52" xfId="5" applyFont="1" applyFill="1" applyBorder="1" applyAlignment="1">
      <alignment horizontal="center" vertical="center"/>
    </xf>
    <xf numFmtId="0" fontId="13" fillId="0" borderId="53" xfId="5" applyFont="1" applyFill="1" applyBorder="1" applyAlignment="1">
      <alignment horizontal="center" vertical="center"/>
    </xf>
    <xf numFmtId="0" fontId="13" fillId="0" borderId="54" xfId="5" applyFont="1" applyFill="1" applyBorder="1" applyAlignment="1">
      <alignment horizontal="center" vertical="center"/>
    </xf>
    <xf numFmtId="0" fontId="12" fillId="0" borderId="52" xfId="5" applyFont="1" applyFill="1" applyBorder="1" applyAlignment="1">
      <alignment horizontal="left" vertical="center" wrapText="1"/>
    </xf>
    <xf numFmtId="0" fontId="12" fillId="0" borderId="53" xfId="5" applyFont="1" applyFill="1" applyBorder="1" applyAlignment="1">
      <alignment horizontal="left" vertical="center" wrapText="1"/>
    </xf>
    <xf numFmtId="0" fontId="12" fillId="0" borderId="54" xfId="5" applyFont="1" applyFill="1" applyBorder="1" applyAlignment="1">
      <alignment horizontal="left" vertical="center" wrapText="1"/>
    </xf>
    <xf numFmtId="0" fontId="67" fillId="0" borderId="0" xfId="0" applyFont="1" applyFill="1" applyProtection="1">
      <protection locked="0"/>
    </xf>
    <xf numFmtId="0" fontId="65" fillId="0" borderId="0" xfId="60" applyFont="1" applyFill="1" applyBorder="1" applyAlignment="1" applyProtection="1">
      <alignment horizontal="left" vertical="center"/>
      <protection locked="0"/>
    </xf>
    <xf numFmtId="4" fontId="66" fillId="0" borderId="0" xfId="60" applyNumberFormat="1" applyFont="1" applyFill="1" applyBorder="1" applyAlignment="1" applyProtection="1">
      <alignment horizontal="center" vertical="center"/>
      <protection locked="0"/>
    </xf>
    <xf numFmtId="164" fontId="66" fillId="0" borderId="0" xfId="60" applyNumberFormat="1" applyFont="1" applyFill="1" applyBorder="1" applyAlignment="1" applyProtection="1">
      <alignment horizontal="center" vertical="center"/>
      <protection locked="0"/>
    </xf>
    <xf numFmtId="0" fontId="66" fillId="0" borderId="0" xfId="60" applyFont="1" applyFill="1" applyBorder="1" applyAlignment="1" applyProtection="1">
      <alignment vertical="center"/>
      <protection locked="0"/>
    </xf>
    <xf numFmtId="170" fontId="66" fillId="0" borderId="0" xfId="60" applyNumberFormat="1" applyFont="1" applyFill="1" applyBorder="1" applyAlignment="1" applyProtection="1">
      <alignment vertical="center"/>
      <protection locked="0"/>
    </xf>
    <xf numFmtId="164" fontId="66" fillId="0" borderId="0" xfId="60" applyNumberFormat="1" applyFont="1" applyFill="1" applyBorder="1" applyAlignment="1" applyProtection="1">
      <alignment vertical="center"/>
      <protection locked="0"/>
    </xf>
    <xf numFmtId="0" fontId="65" fillId="0" borderId="0" xfId="60" applyFont="1" applyFill="1" applyBorder="1" applyAlignment="1" applyProtection="1">
      <alignment horizontal="right" vertical="center" wrapText="1"/>
      <protection locked="0"/>
    </xf>
    <xf numFmtId="9" fontId="66" fillId="0" borderId="0" xfId="60" applyNumberFormat="1" applyFont="1" applyFill="1" applyBorder="1" applyAlignment="1" applyProtection="1">
      <alignment horizontal="center" vertical="center"/>
      <protection locked="0"/>
    </xf>
    <xf numFmtId="0" fontId="67" fillId="0" borderId="137" xfId="0" applyFont="1" applyFill="1" applyBorder="1" applyProtection="1"/>
    <xf numFmtId="0" fontId="67" fillId="0" borderId="34" xfId="0" applyFont="1" applyFill="1" applyBorder="1" applyProtection="1"/>
    <xf numFmtId="0" fontId="65" fillId="0" borderId="34" xfId="60" applyFont="1" applyFill="1" applyBorder="1" applyAlignment="1" applyProtection="1">
      <alignment horizontal="left" vertical="center"/>
    </xf>
    <xf numFmtId="4" fontId="66" fillId="0" borderId="34" xfId="60" applyNumberFormat="1" applyFont="1" applyFill="1" applyBorder="1" applyAlignment="1" applyProtection="1">
      <alignment horizontal="center" vertical="center"/>
    </xf>
    <xf numFmtId="164" fontId="66" fillId="0" borderId="34" xfId="60" applyNumberFormat="1" applyFont="1" applyFill="1" applyBorder="1" applyAlignment="1" applyProtection="1">
      <alignment horizontal="center" vertical="center"/>
    </xf>
  </cellXfs>
  <cellStyles count="69">
    <cellStyle name="%" xfId="8"/>
    <cellStyle name="% 2" xfId="9"/>
    <cellStyle name="% 2 2" xfId="5"/>
    <cellStyle name="20% - Énfasis5 2" xfId="24"/>
    <cellStyle name="80" xfId="10"/>
    <cellStyle name="Euro" xfId="11"/>
    <cellStyle name="Excel Built-in Normal" xfId="12"/>
    <cellStyle name="Hipervínculo" xfId="4" builtinId="8"/>
    <cellStyle name="Millares 2" xfId="13"/>
    <cellStyle name="Millares 2 2" xfId="25"/>
    <cellStyle name="Millares 2 2 2" xfId="22"/>
    <cellStyle name="Millares 2 3" xfId="61"/>
    <cellStyle name="Millares 3" xfId="26"/>
    <cellStyle name="Millares 4" xfId="17"/>
    <cellStyle name="Millares_FORMULARIO UNITARIO 593´ modificado" xfId="6"/>
    <cellStyle name="Moneda" xfId="14" builtinId="4"/>
    <cellStyle name="Moneda [0] 2" xfId="62"/>
    <cellStyle name="Moneda [0] 2 2" xfId="63"/>
    <cellStyle name="Moneda [0] 2_PRESUPUESTO ACUEDUCTO MPIO SAN ALBERTO - AGOSTO 2008" xfId="64"/>
    <cellStyle name="Moneda [0] 3" xfId="65"/>
    <cellStyle name="Moneda 2" xfId="23"/>
    <cellStyle name="Moneda 2 2" xfId="27"/>
    <cellStyle name="Moneda 2 3" xfId="28"/>
    <cellStyle name="Moneda 2 4" xfId="29"/>
    <cellStyle name="Moneda 2 5" xfId="30"/>
    <cellStyle name="Moneda 2_PRESUPUESTO ACUEDUCTO MPIO SAN ALBERTO - AGOSTO 2008" xfId="66"/>
    <cellStyle name="Moneda 3" xfId="31"/>
    <cellStyle name="Moneda 4" xfId="19"/>
    <cellStyle name="Moneda 5" xfId="59"/>
    <cellStyle name="Normal" xfId="0" builtinId="0"/>
    <cellStyle name="Normal 10" xfId="58"/>
    <cellStyle name="Normal 2" xfId="1"/>
    <cellStyle name="Normal 2 14" xfId="68"/>
    <cellStyle name="Normal 2 2" xfId="32"/>
    <cellStyle name="Normal 2 2 10" xfId="33"/>
    <cellStyle name="Normal 2 2 2" xfId="34"/>
    <cellStyle name="Normal 2 2 2 2" xfId="35"/>
    <cellStyle name="Normal 2 2 2 3" xfId="36"/>
    <cellStyle name="Normal 2 2 2 4" xfId="37"/>
    <cellStyle name="Normal 2 2 2 5" xfId="38"/>
    <cellStyle name="Normal 2 2 3" xfId="39"/>
    <cellStyle name="Normal 2 2 4" xfId="40"/>
    <cellStyle name="Normal 2 2 5" xfId="41"/>
    <cellStyle name="Normal 2 2 6" xfId="42"/>
    <cellStyle name="Normal 2 2 7" xfId="43"/>
    <cellStyle name="Normal 2 2 8" xfId="44"/>
    <cellStyle name="Normal 2 2 9" xfId="45"/>
    <cellStyle name="Normal 2 3" xfId="46"/>
    <cellStyle name="Normal 2 4" xfId="47"/>
    <cellStyle name="Normal 2 5" xfId="48"/>
    <cellStyle name="Normal 2 6" xfId="49"/>
    <cellStyle name="Normal 2 7" xfId="50"/>
    <cellStyle name="Normal 2 8" xfId="15"/>
    <cellStyle name="Normal 3" xfId="18"/>
    <cellStyle name="Normal 3 2" xfId="51"/>
    <cellStyle name="Normal 3 3" xfId="60"/>
    <cellStyle name="Normal 4" xfId="52"/>
    <cellStyle name="Normal 5" xfId="53"/>
    <cellStyle name="Normal 6" xfId="54"/>
    <cellStyle name="Normal 7" xfId="55"/>
    <cellStyle name="Normal 8" xfId="56"/>
    <cellStyle name="Normal 9" xfId="21"/>
    <cellStyle name="Normal_Copia de Valor Sta Rita 27 nov" xfId="3"/>
    <cellStyle name="Normal_lista de Items" xfId="2"/>
    <cellStyle name="Normal_Sueldos y salarios 2000" xfId="20"/>
    <cellStyle name="Porcentaje" xfId="57" builtinId="5"/>
    <cellStyle name="Porcentaje 2" xfId="16"/>
    <cellStyle name="Porcentual 2" xfId="7"/>
    <cellStyle name="Porcentual 3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612775</xdr:colOff>
      <xdr:row>1</xdr:row>
      <xdr:rowOff>34924</xdr:rowOff>
    </xdr:from>
    <xdr:to>
      <xdr:col>2</xdr:col>
      <xdr:colOff>1477253</xdr:colOff>
      <xdr:row>5</xdr:row>
      <xdr:rowOff>174624</xdr:rowOff>
    </xdr:to>
    <xdr:pic>
      <xdr:nvPicPr>
        <xdr:cNvPr id="3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234949"/>
          <a:ext cx="864478" cy="91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1</xdr:row>
      <xdr:rowOff>160161</xdr:rowOff>
    </xdr:from>
    <xdr:to>
      <xdr:col>1</xdr:col>
      <xdr:colOff>1924051</xdr:colOff>
      <xdr:row>5</xdr:row>
      <xdr:rowOff>55174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1" y="337961"/>
          <a:ext cx="800100" cy="6189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4" name="3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5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5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13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57200" y="2667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8</xdr:col>
      <xdr:colOff>419101</xdr:colOff>
      <xdr:row>2</xdr:row>
      <xdr:rowOff>63500</xdr:rowOff>
    </xdr:from>
    <xdr:to>
      <xdr:col>9</xdr:col>
      <xdr:colOff>121529</xdr:colOff>
      <xdr:row>7</xdr:row>
      <xdr:rowOff>38100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1" y="457200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12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57200" y="2667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8</xdr:col>
      <xdr:colOff>419101</xdr:colOff>
      <xdr:row>2</xdr:row>
      <xdr:rowOff>38100</xdr:rowOff>
    </xdr:from>
    <xdr:to>
      <xdr:col>9</xdr:col>
      <xdr:colOff>121529</xdr:colOff>
      <xdr:row>7</xdr:row>
      <xdr:rowOff>12700</xdr:rowOff>
    </xdr:to>
    <xdr:pic>
      <xdr:nvPicPr>
        <xdr:cNvPr id="8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1" y="431800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11" name="10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4159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13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241300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7" name="6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8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7" name="6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8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%20SANCHEZ/Desktop/presupuesto%20chimichagu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alberto/AppData/Local/Microsoft/Windows/INetCache/IE/OQDS907J/Equipo01/r_catalina/Documents%20and%20Settings/Katty/Mis%20documentos/FREDONIA/presupuesto%20PMAA/A.P.U%20ACUEDUCTO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01\r_catalina\Documents%20and%20Settings\Olga%20Muriel\Mis%20documentos\PMAAFREDONIA\PMAA\DISE&#209;O\PRESUPUESTOS\Presupuesto%20Acueducto\Presupuesto%20-DISE&#209;OS\Dise&#241;o%20caraman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alberto/AppData/Local/Microsoft/Windows/INetCache/IE/OQDS907J/Sanearpc8/d/PROYECTOS/CORANTIOQUIA/Tarso/3.%20DISE&#209;O/ACUEDUCTO/cantidades%20de%20obra%20ac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U EST BOMBEO"/>
      <sheetName val="APU EST BOM 2"/>
      <sheetName val="APU BOM CONV"/>
      <sheetName val="APUs BOM MARIA "/>
      <sheetName val="A SUMIT"/>
      <sheetName val="AIU"/>
      <sheetName val="APU 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VC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ANEXO 3.1.1 NODOS"/>
      <sheetName val="ANEXO 3.1.2TUBERIAS"/>
      <sheetName val="ANEXO 3.2.1 CANT OBRA"/>
      <sheetName val="ANEXO 3.2.3 PRESUPUESTO"/>
      <sheetName val="APU "/>
      <sheetName val="RESUMEN ACUEDUCTO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PAN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1"/>
  <sheetViews>
    <sheetView tabSelected="1" view="pageBreakPreview" zoomScaleNormal="85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4.5703125" style="553" customWidth="1"/>
    <col min="2" max="2" width="4" style="553" customWidth="1"/>
    <col min="3" max="3" width="32.5703125" style="613" customWidth="1"/>
    <col min="4" max="4" width="8" style="615" customWidth="1"/>
    <col min="5" max="5" width="10.85546875" style="615" customWidth="1"/>
    <col min="6" max="6" width="12" style="616" customWidth="1"/>
    <col min="7" max="7" width="14.7109375" style="615" customWidth="1"/>
    <col min="8" max="8" width="14.42578125" style="556" bestFit="1" customWidth="1"/>
    <col min="9" max="9" width="22.5703125" style="553" customWidth="1"/>
    <col min="10" max="10" width="19.140625" style="553" customWidth="1"/>
    <col min="11" max="16384" width="11.42578125" style="553"/>
  </cols>
  <sheetData>
    <row r="1" spans="1:8" s="551" customFormat="1" ht="16.5" customHeight="1" thickTop="1" thickBot="1" x14ac:dyDescent="0.25">
      <c r="A1" s="766" t="s">
        <v>3228</v>
      </c>
      <c r="B1" s="766"/>
      <c r="C1" s="766"/>
      <c r="D1" s="766"/>
      <c r="E1" s="766"/>
      <c r="F1" s="766"/>
      <c r="G1" s="766"/>
      <c r="H1" s="555"/>
    </row>
    <row r="2" spans="1:8" s="551" customFormat="1" ht="16.5" customHeight="1" thickTop="1" thickBot="1" x14ac:dyDescent="0.25">
      <c r="A2" s="647"/>
      <c r="B2" s="648"/>
      <c r="C2" s="648"/>
      <c r="D2" s="648"/>
      <c r="E2" s="648"/>
      <c r="F2" s="648"/>
      <c r="G2" s="648"/>
      <c r="H2" s="555"/>
    </row>
    <row r="3" spans="1:8" s="551" customFormat="1" ht="16.5" customHeight="1" thickTop="1" thickBot="1" x14ac:dyDescent="0.25">
      <c r="A3" s="767" t="s">
        <v>3225</v>
      </c>
      <c r="B3" s="767"/>
      <c r="C3" s="767"/>
      <c r="D3" s="767"/>
      <c r="E3" s="767"/>
      <c r="F3" s="767"/>
      <c r="G3" s="767"/>
      <c r="H3" s="555"/>
    </row>
    <row r="4" spans="1:8" s="551" customFormat="1" ht="14.25" thickTop="1" thickBot="1" x14ac:dyDescent="0.25">
      <c r="A4" s="649"/>
      <c r="B4" s="649"/>
      <c r="C4" s="650"/>
      <c r="D4" s="651"/>
      <c r="E4" s="651"/>
      <c r="F4" s="651"/>
      <c r="G4" s="651"/>
      <c r="H4" s="555"/>
    </row>
    <row r="5" spans="1:8" s="551" customFormat="1" ht="21" customHeight="1" thickTop="1" x14ac:dyDescent="0.2">
      <c r="A5" s="772" t="s">
        <v>2</v>
      </c>
      <c r="B5" s="774" t="s">
        <v>3</v>
      </c>
      <c r="C5" s="774" t="s">
        <v>4</v>
      </c>
      <c r="D5" s="774" t="s">
        <v>5</v>
      </c>
      <c r="E5" s="752" t="s">
        <v>6</v>
      </c>
      <c r="F5" s="770" t="s">
        <v>3227</v>
      </c>
      <c r="G5" s="768" t="s">
        <v>7</v>
      </c>
      <c r="H5" s="555"/>
    </row>
    <row r="6" spans="1:8" s="551" customFormat="1" ht="13.5" thickBot="1" x14ac:dyDescent="0.25">
      <c r="A6" s="773"/>
      <c r="B6" s="775"/>
      <c r="C6" s="775"/>
      <c r="D6" s="775"/>
      <c r="E6" s="753"/>
      <c r="F6" s="771"/>
      <c r="G6" s="769"/>
      <c r="H6" s="555"/>
    </row>
    <row r="7" spans="1:8" s="551" customFormat="1" ht="12" customHeight="1" thickTop="1" x14ac:dyDescent="0.2">
      <c r="A7" s="652"/>
      <c r="B7" s="653"/>
      <c r="C7" s="653"/>
      <c r="D7" s="653"/>
      <c r="E7" s="653"/>
      <c r="F7" s="653"/>
      <c r="G7" s="654"/>
      <c r="H7" s="555"/>
    </row>
    <row r="8" spans="1:8" s="551" customFormat="1" ht="15" customHeight="1" x14ac:dyDescent="0.2">
      <c r="A8" s="754" t="s">
        <v>9</v>
      </c>
      <c r="B8" s="755"/>
      <c r="C8" s="755"/>
      <c r="D8" s="655"/>
      <c r="E8" s="656"/>
      <c r="F8" s="746"/>
      <c r="G8" s="656"/>
      <c r="H8" s="555"/>
    </row>
    <row r="9" spans="1:8" s="551" customFormat="1" x14ac:dyDescent="0.2">
      <c r="A9" s="657" t="s">
        <v>10</v>
      </c>
      <c r="B9" s="658"/>
      <c r="C9" s="659" t="s">
        <v>11</v>
      </c>
      <c r="D9" s="660"/>
      <c r="E9" s="661"/>
      <c r="F9" s="747"/>
      <c r="G9" s="661"/>
      <c r="H9" s="555"/>
    </row>
    <row r="10" spans="1:8" s="551" customFormat="1" x14ac:dyDescent="0.2">
      <c r="A10" s="662" t="s">
        <v>12</v>
      </c>
      <c r="B10" s="663" t="s">
        <v>13</v>
      </c>
      <c r="C10" s="660" t="s">
        <v>14</v>
      </c>
      <c r="D10" s="664" t="s">
        <v>688</v>
      </c>
      <c r="E10" s="665">
        <v>14758.099999999999</v>
      </c>
      <c r="F10" s="620"/>
      <c r="G10" s="621"/>
    </row>
    <row r="11" spans="1:8" s="551" customFormat="1" x14ac:dyDescent="0.2">
      <c r="A11" s="666"/>
      <c r="B11" s="667"/>
      <c r="C11" s="660"/>
      <c r="D11" s="664"/>
      <c r="E11" s="665"/>
      <c r="F11" s="620"/>
      <c r="G11" s="621"/>
    </row>
    <row r="12" spans="1:8" s="551" customFormat="1" ht="26.25" customHeight="1" x14ac:dyDescent="0.2">
      <c r="A12" s="657" t="s">
        <v>18</v>
      </c>
      <c r="B12" s="668"/>
      <c r="C12" s="659" t="s">
        <v>19</v>
      </c>
      <c r="D12" s="664"/>
      <c r="E12" s="665"/>
      <c r="F12" s="620"/>
      <c r="G12" s="621"/>
    </row>
    <row r="13" spans="1:8" s="551" customFormat="1" ht="24.95" customHeight="1" x14ac:dyDescent="0.2">
      <c r="A13" s="669" t="s">
        <v>20</v>
      </c>
      <c r="B13" s="663" t="s">
        <v>21</v>
      </c>
      <c r="C13" s="670" t="s">
        <v>3221</v>
      </c>
      <c r="D13" s="664" t="s">
        <v>3234</v>
      </c>
      <c r="E13" s="665">
        <v>2232.8000000000002</v>
      </c>
      <c r="F13" s="620"/>
      <c r="G13" s="621"/>
    </row>
    <row r="14" spans="1:8" s="551" customFormat="1" ht="24.95" customHeight="1" x14ac:dyDescent="0.2">
      <c r="A14" s="669" t="s">
        <v>23</v>
      </c>
      <c r="B14" s="663" t="s">
        <v>24</v>
      </c>
      <c r="C14" s="670" t="s">
        <v>3222</v>
      </c>
      <c r="D14" s="664" t="s">
        <v>3234</v>
      </c>
      <c r="E14" s="665">
        <v>1488.4</v>
      </c>
      <c r="F14" s="620"/>
      <c r="G14" s="621"/>
    </row>
    <row r="15" spans="1:8" s="551" customFormat="1" ht="33.75" x14ac:dyDescent="0.2">
      <c r="A15" s="669" t="s">
        <v>26</v>
      </c>
      <c r="B15" s="663" t="s">
        <v>28</v>
      </c>
      <c r="C15" s="670" t="s">
        <v>3223</v>
      </c>
      <c r="D15" s="664" t="s">
        <v>3234</v>
      </c>
      <c r="E15" s="665">
        <v>13559.300000000001</v>
      </c>
      <c r="F15" s="620"/>
      <c r="G15" s="621"/>
    </row>
    <row r="16" spans="1:8" s="551" customFormat="1" ht="33.75" x14ac:dyDescent="0.2">
      <c r="A16" s="669" t="s">
        <v>3216</v>
      </c>
      <c r="B16" s="663" t="s">
        <v>31</v>
      </c>
      <c r="C16" s="670" t="s">
        <v>3224</v>
      </c>
      <c r="D16" s="664" t="s">
        <v>3235</v>
      </c>
      <c r="E16" s="665">
        <v>8135.5</v>
      </c>
      <c r="F16" s="620"/>
      <c r="G16" s="621"/>
    </row>
    <row r="17" spans="1:7" s="551" customFormat="1" ht="26.25" customHeight="1" x14ac:dyDescent="0.2">
      <c r="A17" s="669" t="s">
        <v>3217</v>
      </c>
      <c r="B17" s="663" t="s">
        <v>32</v>
      </c>
      <c r="C17" s="670" t="s">
        <v>696</v>
      </c>
      <c r="D17" s="664" t="s">
        <v>3235</v>
      </c>
      <c r="E17" s="665">
        <v>1015.4</v>
      </c>
      <c r="F17" s="620"/>
      <c r="G17" s="621"/>
    </row>
    <row r="18" spans="1:7" s="551" customFormat="1" ht="25.5" customHeight="1" x14ac:dyDescent="0.2">
      <c r="A18" s="669" t="s">
        <v>3218</v>
      </c>
      <c r="B18" s="663" t="s">
        <v>33</v>
      </c>
      <c r="C18" s="670" t="s">
        <v>34</v>
      </c>
      <c r="D18" s="664" t="s">
        <v>3235</v>
      </c>
      <c r="E18" s="665">
        <v>4408.3</v>
      </c>
      <c r="F18" s="620"/>
      <c r="G18" s="621"/>
    </row>
    <row r="19" spans="1:7" s="551" customFormat="1" ht="22.5" x14ac:dyDescent="0.2">
      <c r="A19" s="669" t="s">
        <v>3219</v>
      </c>
      <c r="B19" s="663" t="s">
        <v>36</v>
      </c>
      <c r="C19" s="670" t="s">
        <v>37</v>
      </c>
      <c r="D19" s="664" t="s">
        <v>697</v>
      </c>
      <c r="E19" s="665">
        <v>13</v>
      </c>
      <c r="F19" s="620"/>
      <c r="G19" s="621"/>
    </row>
    <row r="20" spans="1:7" s="551" customFormat="1" ht="25.5" customHeight="1" x14ac:dyDescent="0.2">
      <c r="A20" s="669" t="s">
        <v>3220</v>
      </c>
      <c r="B20" s="663" t="s">
        <v>39</v>
      </c>
      <c r="C20" s="670" t="s">
        <v>40</v>
      </c>
      <c r="D20" s="664" t="s">
        <v>3234</v>
      </c>
      <c r="E20" s="665">
        <v>49.4</v>
      </c>
      <c r="F20" s="620"/>
      <c r="G20" s="621"/>
    </row>
    <row r="21" spans="1:7" s="552" customFormat="1" ht="24.75" customHeight="1" x14ac:dyDescent="0.2">
      <c r="A21" s="669" t="s">
        <v>35</v>
      </c>
      <c r="B21" s="667" t="s">
        <v>41</v>
      </c>
      <c r="C21" s="671" t="s">
        <v>3181</v>
      </c>
      <c r="D21" s="664" t="s">
        <v>3236</v>
      </c>
      <c r="E21" s="665">
        <v>962.95999999999992</v>
      </c>
      <c r="F21" s="620"/>
      <c r="G21" s="621"/>
    </row>
    <row r="22" spans="1:7" s="612" customFormat="1" ht="24.75" customHeight="1" x14ac:dyDescent="0.25">
      <c r="A22" s="669" t="s">
        <v>38</v>
      </c>
      <c r="B22" s="667" t="s">
        <v>43</v>
      </c>
      <c r="C22" s="672" t="s">
        <v>44</v>
      </c>
      <c r="D22" s="664" t="s">
        <v>700</v>
      </c>
      <c r="E22" s="665">
        <v>132</v>
      </c>
      <c r="F22" s="622"/>
      <c r="G22" s="621"/>
    </row>
    <row r="23" spans="1:7" s="551" customFormat="1" x14ac:dyDescent="0.2">
      <c r="A23" s="673"/>
      <c r="B23" s="674"/>
      <c r="C23" s="660"/>
      <c r="D23" s="664"/>
      <c r="E23" s="665"/>
      <c r="F23" s="620"/>
      <c r="G23" s="621"/>
    </row>
    <row r="24" spans="1:7" s="551" customFormat="1" ht="12.75" customHeight="1" x14ac:dyDescent="0.2">
      <c r="A24" s="657" t="s">
        <v>45</v>
      </c>
      <c r="B24" s="668"/>
      <c r="C24" s="659" t="s">
        <v>46</v>
      </c>
      <c r="D24" s="664"/>
      <c r="E24" s="665"/>
      <c r="F24" s="620"/>
      <c r="G24" s="621"/>
    </row>
    <row r="25" spans="1:7" s="551" customFormat="1" x14ac:dyDescent="0.2">
      <c r="A25" s="662" t="s">
        <v>47</v>
      </c>
      <c r="B25" s="663" t="s">
        <v>48</v>
      </c>
      <c r="C25" s="660" t="s">
        <v>49</v>
      </c>
      <c r="D25" s="664" t="s">
        <v>3234</v>
      </c>
      <c r="E25" s="665">
        <v>5321.5</v>
      </c>
      <c r="F25" s="620"/>
      <c r="G25" s="621"/>
    </row>
    <row r="26" spans="1:7" s="551" customFormat="1" ht="23.25" customHeight="1" x14ac:dyDescent="0.2">
      <c r="A26" s="662" t="s">
        <v>50</v>
      </c>
      <c r="B26" s="663" t="s">
        <v>51</v>
      </c>
      <c r="C26" s="675" t="s">
        <v>3184</v>
      </c>
      <c r="D26" s="664" t="s">
        <v>3234</v>
      </c>
      <c r="E26" s="665">
        <v>19840.2</v>
      </c>
      <c r="F26" s="620"/>
      <c r="G26" s="621"/>
    </row>
    <row r="27" spans="1:7" s="551" customFormat="1" ht="22.5" x14ac:dyDescent="0.2">
      <c r="A27" s="662" t="s">
        <v>53</v>
      </c>
      <c r="B27" s="663" t="s">
        <v>54</v>
      </c>
      <c r="C27" s="675" t="s">
        <v>3185</v>
      </c>
      <c r="D27" s="664" t="s">
        <v>3234</v>
      </c>
      <c r="E27" s="665">
        <v>1382.8</v>
      </c>
      <c r="F27" s="620"/>
      <c r="G27" s="621"/>
    </row>
    <row r="28" spans="1:7" s="551" customFormat="1" ht="22.5" x14ac:dyDescent="0.2">
      <c r="A28" s="662" t="s">
        <v>56</v>
      </c>
      <c r="B28" s="663" t="s">
        <v>57</v>
      </c>
      <c r="C28" s="660" t="s">
        <v>3183</v>
      </c>
      <c r="D28" s="664" t="s">
        <v>3234</v>
      </c>
      <c r="E28" s="665">
        <v>1460.9</v>
      </c>
      <c r="F28" s="620"/>
      <c r="G28" s="621"/>
    </row>
    <row r="29" spans="1:7" s="551" customFormat="1" x14ac:dyDescent="0.2">
      <c r="A29" s="666"/>
      <c r="B29" s="667"/>
      <c r="C29" s="660"/>
      <c r="D29" s="664"/>
      <c r="E29" s="665"/>
      <c r="F29" s="620"/>
      <c r="G29" s="621"/>
    </row>
    <row r="30" spans="1:7" s="551" customFormat="1" x14ac:dyDescent="0.2">
      <c r="A30" s="657" t="s">
        <v>59</v>
      </c>
      <c r="B30" s="668"/>
      <c r="C30" s="659" t="s">
        <v>60</v>
      </c>
      <c r="D30" s="664"/>
      <c r="E30" s="665"/>
      <c r="F30" s="620"/>
      <c r="G30" s="621"/>
    </row>
    <row r="31" spans="1:7" s="551" customFormat="1" ht="22.5" x14ac:dyDescent="0.2">
      <c r="A31" s="662" t="s">
        <v>61</v>
      </c>
      <c r="B31" s="663" t="s">
        <v>62</v>
      </c>
      <c r="C31" s="660" t="s">
        <v>3198</v>
      </c>
      <c r="D31" s="664" t="s">
        <v>3234</v>
      </c>
      <c r="E31" s="665">
        <v>25580.600000000002</v>
      </c>
      <c r="F31" s="620"/>
      <c r="G31" s="621"/>
    </row>
    <row r="32" spans="1:7" s="551" customFormat="1" x14ac:dyDescent="0.2">
      <c r="A32" s="666"/>
      <c r="B32" s="667"/>
      <c r="C32" s="660"/>
      <c r="D32" s="664"/>
      <c r="E32" s="665"/>
      <c r="F32" s="620"/>
      <c r="G32" s="621"/>
    </row>
    <row r="33" spans="1:7" s="551" customFormat="1" ht="12.75" customHeight="1" x14ac:dyDescent="0.2">
      <c r="A33" s="657" t="s">
        <v>64</v>
      </c>
      <c r="B33" s="668"/>
      <c r="C33" s="659" t="s">
        <v>65</v>
      </c>
      <c r="D33" s="664"/>
      <c r="E33" s="665"/>
      <c r="F33" s="620"/>
      <c r="G33" s="621"/>
    </row>
    <row r="34" spans="1:7" s="551" customFormat="1" ht="22.5" x14ac:dyDescent="0.2">
      <c r="A34" s="666" t="s">
        <v>66</v>
      </c>
      <c r="B34" s="667" t="s">
        <v>67</v>
      </c>
      <c r="C34" s="660" t="s">
        <v>68</v>
      </c>
      <c r="D34" s="664" t="s">
        <v>688</v>
      </c>
      <c r="E34" s="665">
        <v>13211.199999999999</v>
      </c>
      <c r="F34" s="620"/>
      <c r="G34" s="621"/>
    </row>
    <row r="35" spans="1:7" s="551" customFormat="1" ht="22.5" x14ac:dyDescent="0.2">
      <c r="A35" s="666" t="s">
        <v>69</v>
      </c>
      <c r="B35" s="667" t="s">
        <v>70</v>
      </c>
      <c r="C35" s="660" t="s">
        <v>71</v>
      </c>
      <c r="D35" s="664" t="s">
        <v>688</v>
      </c>
      <c r="E35" s="665">
        <v>1293.7</v>
      </c>
      <c r="F35" s="620"/>
      <c r="G35" s="621"/>
    </row>
    <row r="36" spans="1:7" s="551" customFormat="1" x14ac:dyDescent="0.2">
      <c r="A36" s="666" t="s">
        <v>72</v>
      </c>
      <c r="B36" s="667" t="s">
        <v>73</v>
      </c>
      <c r="C36" s="660" t="s">
        <v>74</v>
      </c>
      <c r="D36" s="664" t="s">
        <v>697</v>
      </c>
      <c r="E36" s="665">
        <v>516</v>
      </c>
      <c r="F36" s="620"/>
      <c r="G36" s="621"/>
    </row>
    <row r="37" spans="1:7" s="551" customFormat="1" ht="22.5" x14ac:dyDescent="0.2">
      <c r="A37" s="666" t="s">
        <v>75</v>
      </c>
      <c r="B37" s="674" t="s">
        <v>76</v>
      </c>
      <c r="C37" s="660" t="s">
        <v>77</v>
      </c>
      <c r="D37" s="664" t="s">
        <v>688</v>
      </c>
      <c r="E37" s="665">
        <v>1767.9499999999998</v>
      </c>
      <c r="F37" s="620"/>
      <c r="G37" s="621"/>
    </row>
    <row r="38" spans="1:7" s="551" customFormat="1" x14ac:dyDescent="0.2">
      <c r="A38" s="673"/>
      <c r="B38" s="674"/>
      <c r="C38" s="660"/>
      <c r="D38" s="664"/>
      <c r="E38" s="665"/>
      <c r="F38" s="620"/>
      <c r="G38" s="621"/>
    </row>
    <row r="39" spans="1:7" s="551" customFormat="1" x14ac:dyDescent="0.2">
      <c r="A39" s="657" t="s">
        <v>78</v>
      </c>
      <c r="B39" s="668"/>
      <c r="C39" s="659" t="s">
        <v>79</v>
      </c>
      <c r="D39" s="664"/>
      <c r="E39" s="665"/>
      <c r="F39" s="620"/>
      <c r="G39" s="621"/>
    </row>
    <row r="40" spans="1:7" s="551" customFormat="1" x14ac:dyDescent="0.2">
      <c r="A40" s="662" t="s">
        <v>80</v>
      </c>
      <c r="B40" s="663" t="s">
        <v>81</v>
      </c>
      <c r="C40" s="660" t="s">
        <v>82</v>
      </c>
      <c r="D40" s="664" t="s">
        <v>697</v>
      </c>
      <c r="E40" s="665">
        <v>75</v>
      </c>
      <c r="F40" s="620"/>
      <c r="G40" s="621"/>
    </row>
    <row r="41" spans="1:7" s="551" customFormat="1" x14ac:dyDescent="0.2">
      <c r="A41" s="662" t="s">
        <v>83</v>
      </c>
      <c r="B41" s="663" t="s">
        <v>84</v>
      </c>
      <c r="C41" s="660" t="s">
        <v>85</v>
      </c>
      <c r="D41" s="664" t="s">
        <v>697</v>
      </c>
      <c r="E41" s="665">
        <v>70</v>
      </c>
      <c r="F41" s="620"/>
      <c r="G41" s="621"/>
    </row>
    <row r="42" spans="1:7" s="551" customFormat="1" x14ac:dyDescent="0.2">
      <c r="A42" s="662" t="s">
        <v>86</v>
      </c>
      <c r="B42" s="663" t="s">
        <v>87</v>
      </c>
      <c r="C42" s="676" t="s">
        <v>88</v>
      </c>
      <c r="D42" s="664" t="s">
        <v>688</v>
      </c>
      <c r="E42" s="665">
        <v>4386</v>
      </c>
      <c r="F42" s="620"/>
      <c r="G42" s="621"/>
    </row>
    <row r="43" spans="1:7" s="551" customFormat="1" ht="27" customHeight="1" x14ac:dyDescent="0.2">
      <c r="A43" s="662" t="s">
        <v>89</v>
      </c>
      <c r="B43" s="663" t="s">
        <v>90</v>
      </c>
      <c r="C43" s="660" t="s">
        <v>91</v>
      </c>
      <c r="D43" s="664" t="s">
        <v>697</v>
      </c>
      <c r="E43" s="665">
        <v>516</v>
      </c>
      <c r="F43" s="620"/>
      <c r="G43" s="621"/>
    </row>
    <row r="44" spans="1:7" s="551" customFormat="1" x14ac:dyDescent="0.2">
      <c r="A44" s="677"/>
      <c r="B44" s="678"/>
      <c r="C44" s="660"/>
      <c r="D44" s="664"/>
      <c r="E44" s="665"/>
      <c r="F44" s="620"/>
      <c r="G44" s="621"/>
    </row>
    <row r="45" spans="1:7" s="551" customFormat="1" x14ac:dyDescent="0.2">
      <c r="A45" s="657" t="s">
        <v>92</v>
      </c>
      <c r="B45" s="668"/>
      <c r="C45" s="659" t="s">
        <v>93</v>
      </c>
      <c r="D45" s="664"/>
      <c r="E45" s="665"/>
      <c r="F45" s="620"/>
      <c r="G45" s="621"/>
    </row>
    <row r="46" spans="1:7" s="551" customFormat="1" ht="31.5" customHeight="1" x14ac:dyDescent="0.2">
      <c r="A46" s="666" t="s">
        <v>94</v>
      </c>
      <c r="B46" s="667" t="s">
        <v>95</v>
      </c>
      <c r="C46" s="679" t="s">
        <v>3188</v>
      </c>
      <c r="D46" s="664" t="s">
        <v>697</v>
      </c>
      <c r="E46" s="665">
        <v>215</v>
      </c>
      <c r="F46" s="620"/>
      <c r="G46" s="621"/>
    </row>
    <row r="47" spans="1:7" s="551" customFormat="1" ht="33.75" x14ac:dyDescent="0.2">
      <c r="A47" s="662" t="s">
        <v>97</v>
      </c>
      <c r="B47" s="663" t="s">
        <v>98</v>
      </c>
      <c r="C47" s="660" t="s">
        <v>3199</v>
      </c>
      <c r="D47" s="664" t="s">
        <v>697</v>
      </c>
      <c r="E47" s="665">
        <v>170</v>
      </c>
      <c r="F47" s="620"/>
      <c r="G47" s="621"/>
    </row>
    <row r="48" spans="1:7" s="551" customFormat="1" ht="33.75" x14ac:dyDescent="0.2">
      <c r="A48" s="662" t="s">
        <v>99</v>
      </c>
      <c r="B48" s="663" t="s">
        <v>100</v>
      </c>
      <c r="C48" s="660" t="s">
        <v>3200</v>
      </c>
      <c r="D48" s="664" t="s">
        <v>697</v>
      </c>
      <c r="E48" s="665">
        <v>17</v>
      </c>
      <c r="F48" s="620"/>
      <c r="G48" s="621"/>
    </row>
    <row r="49" spans="1:7" s="551" customFormat="1" ht="33.75" x14ac:dyDescent="0.2">
      <c r="A49" s="662" t="s">
        <v>101</v>
      </c>
      <c r="B49" s="663" t="s">
        <v>102</v>
      </c>
      <c r="C49" s="660" t="s">
        <v>3201</v>
      </c>
      <c r="D49" s="664" t="s">
        <v>697</v>
      </c>
      <c r="E49" s="665">
        <v>13</v>
      </c>
      <c r="F49" s="620"/>
      <c r="G49" s="621"/>
    </row>
    <row r="50" spans="1:7" s="551" customFormat="1" ht="22.5" x14ac:dyDescent="0.2">
      <c r="A50" s="662" t="s">
        <v>103</v>
      </c>
      <c r="B50" s="663" t="s">
        <v>104</v>
      </c>
      <c r="C50" s="660" t="s">
        <v>3187</v>
      </c>
      <c r="D50" s="664" t="s">
        <v>697</v>
      </c>
      <c r="E50" s="665">
        <v>211</v>
      </c>
      <c r="F50" s="620"/>
      <c r="G50" s="621"/>
    </row>
    <row r="51" spans="1:7" s="551" customFormat="1" ht="22.5" x14ac:dyDescent="0.2">
      <c r="A51" s="662" t="s">
        <v>105</v>
      </c>
      <c r="B51" s="663" t="s">
        <v>106</v>
      </c>
      <c r="C51" s="660" t="s">
        <v>107</v>
      </c>
      <c r="D51" s="664" t="s">
        <v>3234</v>
      </c>
      <c r="E51" s="665">
        <v>19.899999999999999</v>
      </c>
      <c r="F51" s="620"/>
      <c r="G51" s="621"/>
    </row>
    <row r="52" spans="1:7" s="551" customFormat="1" x14ac:dyDescent="0.2">
      <c r="A52" s="673"/>
      <c r="B52" s="674"/>
      <c r="C52" s="660"/>
      <c r="D52" s="664"/>
      <c r="E52" s="665"/>
      <c r="F52" s="620"/>
      <c r="G52" s="621"/>
    </row>
    <row r="53" spans="1:7" s="551" customFormat="1" ht="22.5" x14ac:dyDescent="0.2">
      <c r="A53" s="657" t="s">
        <v>108</v>
      </c>
      <c r="B53" s="668"/>
      <c r="C53" s="659" t="s">
        <v>3210</v>
      </c>
      <c r="D53" s="664"/>
      <c r="E53" s="665"/>
      <c r="F53" s="620"/>
      <c r="G53" s="621"/>
    </row>
    <row r="54" spans="1:7" s="551" customFormat="1" x14ac:dyDescent="0.2">
      <c r="A54" s="662" t="s">
        <v>109</v>
      </c>
      <c r="B54" s="663" t="s">
        <v>110</v>
      </c>
      <c r="C54" s="660" t="s">
        <v>111</v>
      </c>
      <c r="D54" s="664" t="s">
        <v>688</v>
      </c>
      <c r="E54" s="665">
        <v>110</v>
      </c>
      <c r="F54" s="620"/>
      <c r="G54" s="621"/>
    </row>
    <row r="55" spans="1:7" s="551" customFormat="1" ht="45" x14ac:dyDescent="0.2">
      <c r="A55" s="662" t="s">
        <v>112</v>
      </c>
      <c r="B55" s="663" t="s">
        <v>113</v>
      </c>
      <c r="C55" s="660" t="s">
        <v>114</v>
      </c>
      <c r="D55" s="664" t="s">
        <v>688</v>
      </c>
      <c r="E55" s="665">
        <v>110</v>
      </c>
      <c r="F55" s="620"/>
      <c r="G55" s="621"/>
    </row>
    <row r="56" spans="1:7" s="551" customFormat="1" x14ac:dyDescent="0.2">
      <c r="A56" s="662" t="s">
        <v>115</v>
      </c>
      <c r="B56" s="663" t="s">
        <v>116</v>
      </c>
      <c r="C56" s="660" t="s">
        <v>3202</v>
      </c>
      <c r="D56" s="664" t="s">
        <v>3236</v>
      </c>
      <c r="E56" s="665">
        <v>110</v>
      </c>
      <c r="F56" s="620"/>
      <c r="G56" s="621"/>
    </row>
    <row r="57" spans="1:7" s="551" customFormat="1" ht="22.5" x14ac:dyDescent="0.2">
      <c r="A57" s="662" t="s">
        <v>118</v>
      </c>
      <c r="B57" s="663" t="s">
        <v>119</v>
      </c>
      <c r="C57" s="660" t="s">
        <v>120</v>
      </c>
      <c r="D57" s="664" t="s">
        <v>3236</v>
      </c>
      <c r="E57" s="665">
        <v>110</v>
      </c>
      <c r="F57" s="620"/>
      <c r="G57" s="621"/>
    </row>
    <row r="58" spans="1:7" s="551" customFormat="1" x14ac:dyDescent="0.2">
      <c r="A58" s="662" t="s">
        <v>3203</v>
      </c>
      <c r="B58" s="663" t="s">
        <v>718</v>
      </c>
      <c r="C58" s="680" t="s">
        <v>719</v>
      </c>
      <c r="D58" s="664" t="s">
        <v>3236</v>
      </c>
      <c r="E58" s="665">
        <v>26.07</v>
      </c>
      <c r="F58" s="620"/>
      <c r="G58" s="621"/>
    </row>
    <row r="59" spans="1:7" s="551" customFormat="1" x14ac:dyDescent="0.2">
      <c r="A59" s="662" t="s">
        <v>3204</v>
      </c>
      <c r="B59" s="663" t="s">
        <v>720</v>
      </c>
      <c r="C59" s="680" t="s">
        <v>721</v>
      </c>
      <c r="D59" s="664" t="s">
        <v>3236</v>
      </c>
      <c r="E59" s="665">
        <v>26.07</v>
      </c>
      <c r="F59" s="620"/>
      <c r="G59" s="621"/>
    </row>
    <row r="60" spans="1:7" s="551" customFormat="1" x14ac:dyDescent="0.2">
      <c r="A60" s="662" t="s">
        <v>3207</v>
      </c>
      <c r="B60" s="663" t="s">
        <v>3208</v>
      </c>
      <c r="C60" s="680" t="s">
        <v>3209</v>
      </c>
      <c r="D60" s="664" t="s">
        <v>688</v>
      </c>
      <c r="E60" s="665">
        <v>34.76</v>
      </c>
      <c r="F60" s="620"/>
      <c r="G60" s="621"/>
    </row>
    <row r="61" spans="1:7" s="551" customFormat="1" x14ac:dyDescent="0.2">
      <c r="A61" s="662" t="s">
        <v>3211</v>
      </c>
      <c r="B61" s="663" t="s">
        <v>3212</v>
      </c>
      <c r="C61" s="680" t="s">
        <v>3213</v>
      </c>
      <c r="D61" s="664" t="s">
        <v>697</v>
      </c>
      <c r="E61" s="665">
        <v>10</v>
      </c>
      <c r="F61" s="620"/>
      <c r="G61" s="621"/>
    </row>
    <row r="62" spans="1:7" s="551" customFormat="1" x14ac:dyDescent="0.2">
      <c r="A62" s="662" t="s">
        <v>3214</v>
      </c>
      <c r="B62" s="663" t="s">
        <v>3215</v>
      </c>
      <c r="C62" s="680" t="s">
        <v>3229</v>
      </c>
      <c r="D62" s="664" t="s">
        <v>688</v>
      </c>
      <c r="E62" s="665">
        <v>120</v>
      </c>
      <c r="F62" s="620"/>
      <c r="G62" s="621"/>
    </row>
    <row r="63" spans="1:7" s="551" customFormat="1" x14ac:dyDescent="0.2">
      <c r="A63" s="666"/>
      <c r="B63" s="663"/>
      <c r="C63" s="660"/>
      <c r="D63" s="664"/>
      <c r="E63" s="665"/>
      <c r="F63" s="620"/>
      <c r="G63" s="621"/>
    </row>
    <row r="64" spans="1:7" s="551" customFormat="1" x14ac:dyDescent="0.2">
      <c r="A64" s="657" t="s">
        <v>121</v>
      </c>
      <c r="B64" s="668"/>
      <c r="C64" s="659" t="s">
        <v>122</v>
      </c>
      <c r="D64" s="664"/>
      <c r="E64" s="665"/>
      <c r="F64" s="620"/>
      <c r="G64" s="621"/>
    </row>
    <row r="65" spans="1:7" s="551" customFormat="1" ht="23.25" thickBot="1" x14ac:dyDescent="0.25">
      <c r="A65" s="681" t="s">
        <v>123</v>
      </c>
      <c r="B65" s="682">
        <v>12</v>
      </c>
      <c r="C65" s="683" t="s">
        <v>124</v>
      </c>
      <c r="D65" s="684" t="s">
        <v>125</v>
      </c>
      <c r="E65" s="685">
        <v>440</v>
      </c>
      <c r="F65" s="623"/>
      <c r="G65" s="624"/>
    </row>
    <row r="66" spans="1:7" s="551" customFormat="1" ht="20.100000000000001" customHeight="1" thickBot="1" x14ac:dyDescent="0.25">
      <c r="A66" s="686"/>
      <c r="B66" s="687"/>
      <c r="C66" s="751" t="s">
        <v>126</v>
      </c>
      <c r="D66" s="751"/>
      <c r="E66" s="751"/>
      <c r="F66" s="751"/>
      <c r="G66" s="625"/>
    </row>
    <row r="67" spans="1:7" s="551" customFormat="1" ht="12" customHeight="1" x14ac:dyDescent="0.2">
      <c r="A67" s="688"/>
      <c r="B67" s="689"/>
      <c r="C67" s="690"/>
      <c r="D67" s="690"/>
      <c r="E67" s="690"/>
      <c r="F67" s="690"/>
      <c r="G67" s="626"/>
    </row>
    <row r="68" spans="1:7" s="551" customFormat="1" ht="15" customHeight="1" x14ac:dyDescent="0.2">
      <c r="A68" s="754" t="s">
        <v>150</v>
      </c>
      <c r="B68" s="755"/>
      <c r="C68" s="755"/>
      <c r="D68" s="660"/>
      <c r="E68" s="661"/>
      <c r="F68" s="748"/>
      <c r="G68" s="619"/>
    </row>
    <row r="69" spans="1:7" s="551" customFormat="1" x14ac:dyDescent="0.2">
      <c r="A69" s="657" t="s">
        <v>151</v>
      </c>
      <c r="B69" s="668"/>
      <c r="C69" s="659" t="s">
        <v>152</v>
      </c>
      <c r="D69" s="664"/>
      <c r="E69" s="660"/>
      <c r="F69" s="747"/>
      <c r="G69" s="621"/>
    </row>
    <row r="70" spans="1:7" s="551" customFormat="1" ht="22.5" x14ac:dyDescent="0.2">
      <c r="A70" s="666" t="s">
        <v>153</v>
      </c>
      <c r="B70" s="667" t="s">
        <v>154</v>
      </c>
      <c r="C70" s="660" t="s">
        <v>155</v>
      </c>
      <c r="D70" s="664" t="s">
        <v>3234</v>
      </c>
      <c r="E70" s="665">
        <v>2.5</v>
      </c>
      <c r="F70" s="620"/>
      <c r="G70" s="621"/>
    </row>
    <row r="71" spans="1:7" s="551" customFormat="1" ht="36.75" customHeight="1" x14ac:dyDescent="0.2">
      <c r="A71" s="666" t="s">
        <v>156</v>
      </c>
      <c r="B71" s="667" t="s">
        <v>157</v>
      </c>
      <c r="C71" s="670" t="s">
        <v>158</v>
      </c>
      <c r="D71" s="664" t="s">
        <v>3234</v>
      </c>
      <c r="E71" s="665">
        <v>1.2</v>
      </c>
      <c r="F71" s="620"/>
      <c r="G71" s="621"/>
    </row>
    <row r="72" spans="1:7" s="551" customFormat="1" x14ac:dyDescent="0.2">
      <c r="A72" s="666" t="s">
        <v>159</v>
      </c>
      <c r="B72" s="691" t="s">
        <v>160</v>
      </c>
      <c r="C72" s="660" t="s">
        <v>161</v>
      </c>
      <c r="D72" s="664" t="s">
        <v>688</v>
      </c>
      <c r="E72" s="665">
        <v>3</v>
      </c>
      <c r="F72" s="620"/>
      <c r="G72" s="621"/>
    </row>
    <row r="73" spans="1:7" s="551" customFormat="1" x14ac:dyDescent="0.2">
      <c r="A73" s="666" t="s">
        <v>162</v>
      </c>
      <c r="B73" s="691" t="s">
        <v>163</v>
      </c>
      <c r="C73" s="660" t="s">
        <v>164</v>
      </c>
      <c r="D73" s="664" t="s">
        <v>688</v>
      </c>
      <c r="E73" s="665">
        <v>5</v>
      </c>
      <c r="F73" s="620"/>
      <c r="G73" s="621"/>
    </row>
    <row r="74" spans="1:7" s="551" customFormat="1" ht="22.5" x14ac:dyDescent="0.2">
      <c r="A74" s="666" t="s">
        <v>165</v>
      </c>
      <c r="B74" s="691" t="s">
        <v>166</v>
      </c>
      <c r="C74" s="660" t="s">
        <v>167</v>
      </c>
      <c r="D74" s="664" t="s">
        <v>697</v>
      </c>
      <c r="E74" s="665">
        <v>1</v>
      </c>
      <c r="F74" s="620"/>
      <c r="G74" s="621"/>
    </row>
    <row r="75" spans="1:7" s="551" customFormat="1" ht="22.5" x14ac:dyDescent="0.2">
      <c r="A75" s="666" t="s">
        <v>168</v>
      </c>
      <c r="B75" s="691" t="s">
        <v>169</v>
      </c>
      <c r="C75" s="660" t="s">
        <v>170</v>
      </c>
      <c r="D75" s="664" t="s">
        <v>3236</v>
      </c>
      <c r="E75" s="665">
        <v>41.5</v>
      </c>
      <c r="F75" s="620"/>
      <c r="G75" s="621"/>
    </row>
    <row r="76" spans="1:7" s="551" customFormat="1" ht="22.5" x14ac:dyDescent="0.2">
      <c r="A76" s="666" t="s">
        <v>171</v>
      </c>
      <c r="B76" s="691" t="s">
        <v>172</v>
      </c>
      <c r="C76" s="660" t="s">
        <v>173</v>
      </c>
      <c r="D76" s="664" t="s">
        <v>3236</v>
      </c>
      <c r="E76" s="665">
        <v>25</v>
      </c>
      <c r="F76" s="620"/>
      <c r="G76" s="621"/>
    </row>
    <row r="77" spans="1:7" s="551" customFormat="1" ht="22.5" x14ac:dyDescent="0.2">
      <c r="A77" s="666" t="s">
        <v>174</v>
      </c>
      <c r="B77" s="691" t="s">
        <v>175</v>
      </c>
      <c r="C77" s="660" t="s">
        <v>176</v>
      </c>
      <c r="D77" s="664" t="s">
        <v>3236</v>
      </c>
      <c r="E77" s="665">
        <v>18.5</v>
      </c>
      <c r="F77" s="620"/>
      <c r="G77" s="621"/>
    </row>
    <row r="78" spans="1:7" s="551" customFormat="1" x14ac:dyDescent="0.2">
      <c r="A78" s="666" t="s">
        <v>177</v>
      </c>
      <c r="B78" s="691" t="s">
        <v>178</v>
      </c>
      <c r="C78" s="660" t="s">
        <v>179</v>
      </c>
      <c r="D78" s="664" t="s">
        <v>3236</v>
      </c>
      <c r="E78" s="665">
        <v>18.5</v>
      </c>
      <c r="F78" s="620"/>
      <c r="G78" s="621"/>
    </row>
    <row r="79" spans="1:7" s="551" customFormat="1" ht="22.5" x14ac:dyDescent="0.2">
      <c r="A79" s="666" t="s">
        <v>180</v>
      </c>
      <c r="B79" s="691" t="s">
        <v>181</v>
      </c>
      <c r="C79" s="660" t="s">
        <v>182</v>
      </c>
      <c r="D79" s="664" t="s">
        <v>3236</v>
      </c>
      <c r="E79" s="665">
        <v>2.1</v>
      </c>
      <c r="F79" s="620"/>
      <c r="G79" s="621"/>
    </row>
    <row r="80" spans="1:7" s="551" customFormat="1" ht="22.5" x14ac:dyDescent="0.2">
      <c r="A80" s="666" t="s">
        <v>183</v>
      </c>
      <c r="B80" s="691" t="s">
        <v>184</v>
      </c>
      <c r="C80" s="660" t="s">
        <v>185</v>
      </c>
      <c r="D80" s="664" t="s">
        <v>697</v>
      </c>
      <c r="E80" s="665">
        <v>1</v>
      </c>
      <c r="F80" s="620"/>
      <c r="G80" s="621"/>
    </row>
    <row r="81" spans="1:7" s="551" customFormat="1" ht="22.5" x14ac:dyDescent="0.2">
      <c r="A81" s="666" t="s">
        <v>186</v>
      </c>
      <c r="B81" s="691" t="s">
        <v>187</v>
      </c>
      <c r="C81" s="660" t="s">
        <v>188</v>
      </c>
      <c r="D81" s="664" t="s">
        <v>697</v>
      </c>
      <c r="E81" s="665">
        <v>1</v>
      </c>
      <c r="F81" s="620"/>
      <c r="G81" s="621"/>
    </row>
    <row r="82" spans="1:7" s="551" customFormat="1" ht="22.5" x14ac:dyDescent="0.2">
      <c r="A82" s="666" t="s">
        <v>189</v>
      </c>
      <c r="B82" s="691" t="s">
        <v>190</v>
      </c>
      <c r="C82" s="660" t="s">
        <v>191</v>
      </c>
      <c r="D82" s="664" t="s">
        <v>688</v>
      </c>
      <c r="E82" s="665">
        <v>0.8</v>
      </c>
      <c r="F82" s="620"/>
      <c r="G82" s="621"/>
    </row>
    <row r="83" spans="1:7" s="551" customFormat="1" ht="22.5" x14ac:dyDescent="0.2">
      <c r="A83" s="666" t="s">
        <v>192</v>
      </c>
      <c r="B83" s="691" t="s">
        <v>193</v>
      </c>
      <c r="C83" s="660" t="s">
        <v>194</v>
      </c>
      <c r="D83" s="664" t="s">
        <v>697</v>
      </c>
      <c r="E83" s="665">
        <v>1</v>
      </c>
      <c r="F83" s="620"/>
      <c r="G83" s="621"/>
    </row>
    <row r="84" spans="1:7" s="551" customFormat="1" ht="22.5" x14ac:dyDescent="0.2">
      <c r="A84" s="666" t="s">
        <v>195</v>
      </c>
      <c r="B84" s="691" t="s">
        <v>196</v>
      </c>
      <c r="C84" s="660" t="s">
        <v>197</v>
      </c>
      <c r="D84" s="664" t="s">
        <v>697</v>
      </c>
      <c r="E84" s="665">
        <v>1</v>
      </c>
      <c r="F84" s="620"/>
      <c r="G84" s="621"/>
    </row>
    <row r="85" spans="1:7" s="551" customFormat="1" ht="22.5" x14ac:dyDescent="0.2">
      <c r="A85" s="666" t="s">
        <v>198</v>
      </c>
      <c r="B85" s="691" t="s">
        <v>199</v>
      </c>
      <c r="C85" s="660" t="s">
        <v>200</v>
      </c>
      <c r="D85" s="664" t="s">
        <v>697</v>
      </c>
      <c r="E85" s="665">
        <v>1</v>
      </c>
      <c r="F85" s="620"/>
      <c r="G85" s="621"/>
    </row>
    <row r="86" spans="1:7" s="551" customFormat="1" ht="22.5" x14ac:dyDescent="0.2">
      <c r="A86" s="666" t="s">
        <v>201</v>
      </c>
      <c r="B86" s="691"/>
      <c r="C86" s="660" t="s">
        <v>202</v>
      </c>
      <c r="D86" s="664"/>
      <c r="E86" s="665"/>
      <c r="F86" s="621"/>
      <c r="G86" s="621"/>
    </row>
    <row r="87" spans="1:7" s="551" customFormat="1" ht="22.5" x14ac:dyDescent="0.2">
      <c r="A87" s="666" t="s">
        <v>203</v>
      </c>
      <c r="B87" s="691" t="s">
        <v>204</v>
      </c>
      <c r="C87" s="660" t="s">
        <v>205</v>
      </c>
      <c r="D87" s="664" t="s">
        <v>697</v>
      </c>
      <c r="E87" s="665">
        <v>1</v>
      </c>
      <c r="F87" s="620"/>
      <c r="G87" s="621"/>
    </row>
    <row r="88" spans="1:7" s="551" customFormat="1" ht="22.5" x14ac:dyDescent="0.2">
      <c r="A88" s="666" t="s">
        <v>206</v>
      </c>
      <c r="B88" s="691" t="s">
        <v>207</v>
      </c>
      <c r="C88" s="660" t="s">
        <v>208</v>
      </c>
      <c r="D88" s="664" t="s">
        <v>697</v>
      </c>
      <c r="E88" s="665">
        <v>1</v>
      </c>
      <c r="F88" s="620"/>
      <c r="G88" s="621"/>
    </row>
    <row r="89" spans="1:7" s="551" customFormat="1" ht="22.5" x14ac:dyDescent="0.2">
      <c r="A89" s="666" t="s">
        <v>209</v>
      </c>
      <c r="B89" s="691"/>
      <c r="C89" s="660" t="s">
        <v>210</v>
      </c>
      <c r="D89" s="664"/>
      <c r="E89" s="665"/>
      <c r="F89" s="620"/>
      <c r="G89" s="621"/>
    </row>
    <row r="90" spans="1:7" s="551" customFormat="1" ht="22.5" x14ac:dyDescent="0.2">
      <c r="A90" s="666" t="s">
        <v>211</v>
      </c>
      <c r="B90" s="691" t="s">
        <v>212</v>
      </c>
      <c r="C90" s="660" t="s">
        <v>213</v>
      </c>
      <c r="D90" s="664" t="s">
        <v>697</v>
      </c>
      <c r="E90" s="665">
        <v>3</v>
      </c>
      <c r="F90" s="620"/>
      <c r="G90" s="621"/>
    </row>
    <row r="91" spans="1:7" s="551" customFormat="1" ht="22.5" x14ac:dyDescent="0.2">
      <c r="A91" s="666" t="s">
        <v>214</v>
      </c>
      <c r="B91" s="691" t="s">
        <v>215</v>
      </c>
      <c r="C91" s="660" t="s">
        <v>216</v>
      </c>
      <c r="D91" s="664" t="s">
        <v>3236</v>
      </c>
      <c r="E91" s="665">
        <v>0.48</v>
      </c>
      <c r="F91" s="620"/>
      <c r="G91" s="621"/>
    </row>
    <row r="92" spans="1:7" s="551" customFormat="1" ht="22.5" x14ac:dyDescent="0.2">
      <c r="A92" s="666" t="s">
        <v>217</v>
      </c>
      <c r="B92" s="691" t="s">
        <v>218</v>
      </c>
      <c r="C92" s="660" t="s">
        <v>219</v>
      </c>
      <c r="D92" s="664" t="s">
        <v>3236</v>
      </c>
      <c r="E92" s="665">
        <v>4</v>
      </c>
      <c r="F92" s="620"/>
      <c r="G92" s="621"/>
    </row>
    <row r="93" spans="1:7" s="551" customFormat="1" ht="33.75" x14ac:dyDescent="0.2">
      <c r="A93" s="666" t="s">
        <v>220</v>
      </c>
      <c r="B93" s="691" t="s">
        <v>221</v>
      </c>
      <c r="C93" s="660" t="s">
        <v>222</v>
      </c>
      <c r="D93" s="664" t="s">
        <v>697</v>
      </c>
      <c r="E93" s="665">
        <v>1</v>
      </c>
      <c r="F93" s="620"/>
      <c r="G93" s="621"/>
    </row>
    <row r="94" spans="1:7" s="551" customFormat="1" ht="33.75" x14ac:dyDescent="0.2">
      <c r="A94" s="666" t="s">
        <v>223</v>
      </c>
      <c r="B94" s="691" t="s">
        <v>224</v>
      </c>
      <c r="C94" s="660" t="s">
        <v>3205</v>
      </c>
      <c r="D94" s="664" t="s">
        <v>697</v>
      </c>
      <c r="E94" s="665">
        <v>1</v>
      </c>
      <c r="F94" s="620"/>
      <c r="G94" s="621"/>
    </row>
    <row r="95" spans="1:7" s="551" customFormat="1" ht="22.5" x14ac:dyDescent="0.2">
      <c r="A95" s="666" t="s">
        <v>225</v>
      </c>
      <c r="B95" s="691" t="s">
        <v>226</v>
      </c>
      <c r="C95" s="660" t="s">
        <v>227</v>
      </c>
      <c r="D95" s="664" t="s">
        <v>697</v>
      </c>
      <c r="E95" s="665">
        <v>1</v>
      </c>
      <c r="F95" s="620"/>
      <c r="G95" s="621"/>
    </row>
    <row r="96" spans="1:7" s="551" customFormat="1" ht="22.5" x14ac:dyDescent="0.2">
      <c r="A96" s="666" t="s">
        <v>231</v>
      </c>
      <c r="B96" s="691" t="s">
        <v>232</v>
      </c>
      <c r="C96" s="660" t="s">
        <v>233</v>
      </c>
      <c r="D96" s="664" t="s">
        <v>688</v>
      </c>
      <c r="E96" s="665">
        <v>15</v>
      </c>
      <c r="F96" s="620"/>
      <c r="G96" s="621"/>
    </row>
    <row r="97" spans="1:7" s="551" customFormat="1" ht="22.5" x14ac:dyDescent="0.2">
      <c r="A97" s="666" t="s">
        <v>234</v>
      </c>
      <c r="B97" s="691" t="s">
        <v>235</v>
      </c>
      <c r="C97" s="660" t="s">
        <v>236</v>
      </c>
      <c r="D97" s="664" t="s">
        <v>688</v>
      </c>
      <c r="E97" s="665">
        <v>7</v>
      </c>
      <c r="F97" s="620"/>
      <c r="G97" s="621"/>
    </row>
    <row r="98" spans="1:7" s="551" customFormat="1" ht="22.5" x14ac:dyDescent="0.2">
      <c r="A98" s="666" t="s">
        <v>237</v>
      </c>
      <c r="B98" s="691" t="s">
        <v>238</v>
      </c>
      <c r="C98" s="660" t="s">
        <v>239</v>
      </c>
      <c r="D98" s="664" t="s">
        <v>688</v>
      </c>
      <c r="E98" s="665">
        <v>3</v>
      </c>
      <c r="F98" s="620"/>
      <c r="G98" s="621"/>
    </row>
    <row r="99" spans="1:7" s="551" customFormat="1" ht="22.5" x14ac:dyDescent="0.2">
      <c r="A99" s="666" t="s">
        <v>240</v>
      </c>
      <c r="B99" s="691" t="s">
        <v>241</v>
      </c>
      <c r="C99" s="660" t="s">
        <v>242</v>
      </c>
      <c r="D99" s="664" t="s">
        <v>697</v>
      </c>
      <c r="E99" s="665">
        <v>3</v>
      </c>
      <c r="F99" s="620"/>
      <c r="G99" s="621"/>
    </row>
    <row r="100" spans="1:7" s="551" customFormat="1" ht="22.5" x14ac:dyDescent="0.2">
      <c r="A100" s="666" t="s">
        <v>243</v>
      </c>
      <c r="B100" s="691" t="s">
        <v>244</v>
      </c>
      <c r="C100" s="660" t="s">
        <v>245</v>
      </c>
      <c r="D100" s="664" t="s">
        <v>697</v>
      </c>
      <c r="E100" s="665">
        <v>1</v>
      </c>
      <c r="F100" s="620"/>
      <c r="G100" s="621"/>
    </row>
    <row r="101" spans="1:7" s="551" customFormat="1" ht="24.75" customHeight="1" x14ac:dyDescent="0.2">
      <c r="A101" s="666" t="s">
        <v>246</v>
      </c>
      <c r="B101" s="691" t="s">
        <v>247</v>
      </c>
      <c r="C101" s="660" t="s">
        <v>248</v>
      </c>
      <c r="D101" s="664" t="s">
        <v>697</v>
      </c>
      <c r="E101" s="665">
        <v>3</v>
      </c>
      <c r="F101" s="620"/>
      <c r="G101" s="621"/>
    </row>
    <row r="102" spans="1:7" s="551" customFormat="1" ht="22.5" x14ac:dyDescent="0.2">
      <c r="A102" s="666" t="s">
        <v>249</v>
      </c>
      <c r="B102" s="691" t="s">
        <v>250</v>
      </c>
      <c r="C102" s="660" t="s">
        <v>251</v>
      </c>
      <c r="D102" s="664" t="s">
        <v>697</v>
      </c>
      <c r="E102" s="665">
        <v>1</v>
      </c>
      <c r="F102" s="620"/>
      <c r="G102" s="621"/>
    </row>
    <row r="103" spans="1:7" s="551" customFormat="1" ht="22.5" x14ac:dyDescent="0.2">
      <c r="A103" s="666" t="s">
        <v>252</v>
      </c>
      <c r="B103" s="691" t="s">
        <v>253</v>
      </c>
      <c r="C103" s="660" t="s">
        <v>254</v>
      </c>
      <c r="D103" s="664" t="s">
        <v>697</v>
      </c>
      <c r="E103" s="665">
        <v>2</v>
      </c>
      <c r="F103" s="620"/>
      <c r="G103" s="621"/>
    </row>
    <row r="104" spans="1:7" s="551" customFormat="1" ht="22.5" x14ac:dyDescent="0.2">
      <c r="A104" s="666" t="s">
        <v>255</v>
      </c>
      <c r="B104" s="691" t="s">
        <v>256</v>
      </c>
      <c r="C104" s="660" t="s">
        <v>257</v>
      </c>
      <c r="D104" s="664" t="s">
        <v>697</v>
      </c>
      <c r="E104" s="665">
        <v>4</v>
      </c>
      <c r="F104" s="620"/>
      <c r="G104" s="621"/>
    </row>
    <row r="105" spans="1:7" s="551" customFormat="1" ht="22.5" x14ac:dyDescent="0.2">
      <c r="A105" s="666" t="s">
        <v>258</v>
      </c>
      <c r="B105" s="691" t="s">
        <v>259</v>
      </c>
      <c r="C105" s="660" t="s">
        <v>260</v>
      </c>
      <c r="D105" s="664" t="s">
        <v>697</v>
      </c>
      <c r="E105" s="665">
        <v>2</v>
      </c>
      <c r="F105" s="620"/>
      <c r="G105" s="621"/>
    </row>
    <row r="106" spans="1:7" s="551" customFormat="1" ht="22.5" x14ac:dyDescent="0.2">
      <c r="A106" s="666" t="s">
        <v>261</v>
      </c>
      <c r="B106" s="691" t="s">
        <v>262</v>
      </c>
      <c r="C106" s="660" t="s">
        <v>263</v>
      </c>
      <c r="D106" s="664" t="s">
        <v>697</v>
      </c>
      <c r="E106" s="665">
        <v>1</v>
      </c>
      <c r="F106" s="620"/>
      <c r="G106" s="621"/>
    </row>
    <row r="107" spans="1:7" s="551" customFormat="1" ht="22.5" x14ac:dyDescent="0.2">
      <c r="A107" s="666" t="s">
        <v>264</v>
      </c>
      <c r="B107" s="691" t="s">
        <v>265</v>
      </c>
      <c r="C107" s="660" t="s">
        <v>266</v>
      </c>
      <c r="D107" s="664" t="s">
        <v>697</v>
      </c>
      <c r="E107" s="665">
        <v>2</v>
      </c>
      <c r="F107" s="620"/>
      <c r="G107" s="621"/>
    </row>
    <row r="108" spans="1:7" s="551" customFormat="1" ht="22.5" x14ac:dyDescent="0.2">
      <c r="A108" s="666" t="s">
        <v>267</v>
      </c>
      <c r="B108" s="691" t="s">
        <v>268</v>
      </c>
      <c r="C108" s="660" t="s">
        <v>269</v>
      </c>
      <c r="D108" s="664" t="s">
        <v>688</v>
      </c>
      <c r="E108" s="665">
        <v>1.5</v>
      </c>
      <c r="F108" s="620"/>
      <c r="G108" s="621"/>
    </row>
    <row r="109" spans="1:7" s="551" customFormat="1" ht="22.5" x14ac:dyDescent="0.2">
      <c r="A109" s="666" t="s">
        <v>270</v>
      </c>
      <c r="B109" s="691" t="s">
        <v>271</v>
      </c>
      <c r="C109" s="660" t="s">
        <v>272</v>
      </c>
      <c r="D109" s="664" t="s">
        <v>697</v>
      </c>
      <c r="E109" s="665">
        <v>1</v>
      </c>
      <c r="F109" s="620"/>
      <c r="G109" s="621"/>
    </row>
    <row r="110" spans="1:7" s="551" customFormat="1" ht="22.5" x14ac:dyDescent="0.2">
      <c r="A110" s="666" t="s">
        <v>273</v>
      </c>
      <c r="B110" s="691" t="s">
        <v>274</v>
      </c>
      <c r="C110" s="660" t="s">
        <v>275</v>
      </c>
      <c r="D110" s="664" t="s">
        <v>688</v>
      </c>
      <c r="E110" s="665">
        <v>3</v>
      </c>
      <c r="F110" s="620"/>
      <c r="G110" s="621"/>
    </row>
    <row r="111" spans="1:7" s="551" customFormat="1" ht="22.5" x14ac:dyDescent="0.2">
      <c r="A111" s="666" t="s">
        <v>276</v>
      </c>
      <c r="B111" s="691" t="s">
        <v>277</v>
      </c>
      <c r="C111" s="660" t="s">
        <v>278</v>
      </c>
      <c r="D111" s="664" t="s">
        <v>697</v>
      </c>
      <c r="E111" s="665">
        <v>1</v>
      </c>
      <c r="F111" s="620"/>
      <c r="G111" s="621"/>
    </row>
    <row r="112" spans="1:7" s="551" customFormat="1" ht="23.25" thickBot="1" x14ac:dyDescent="0.25">
      <c r="A112" s="666" t="s">
        <v>279</v>
      </c>
      <c r="B112" s="692" t="s">
        <v>280</v>
      </c>
      <c r="C112" s="683" t="s">
        <v>281</v>
      </c>
      <c r="D112" s="684" t="s">
        <v>697</v>
      </c>
      <c r="E112" s="685">
        <v>1</v>
      </c>
      <c r="F112" s="623"/>
      <c r="G112" s="624"/>
    </row>
    <row r="113" spans="1:7" s="551" customFormat="1" ht="20.100000000000001" customHeight="1" thickBot="1" x14ac:dyDescent="0.25">
      <c r="A113" s="686"/>
      <c r="B113" s="687"/>
      <c r="C113" s="751" t="s">
        <v>282</v>
      </c>
      <c r="D113" s="751"/>
      <c r="E113" s="751"/>
      <c r="F113" s="751"/>
      <c r="G113" s="625"/>
    </row>
    <row r="114" spans="1:7" s="551" customFormat="1" ht="12" customHeight="1" x14ac:dyDescent="0.2">
      <c r="A114" s="693"/>
      <c r="B114" s="694"/>
      <c r="C114" s="695"/>
      <c r="D114" s="695"/>
      <c r="E114" s="695"/>
      <c r="F114" s="695"/>
      <c r="G114" s="627"/>
    </row>
    <row r="115" spans="1:7" s="551" customFormat="1" ht="15" customHeight="1" x14ac:dyDescent="0.2">
      <c r="A115" s="754" t="s">
        <v>283</v>
      </c>
      <c r="B115" s="755"/>
      <c r="C115" s="755"/>
      <c r="D115" s="664"/>
      <c r="E115" s="660"/>
      <c r="F115" s="747"/>
      <c r="G115" s="621"/>
    </row>
    <row r="116" spans="1:7" s="551" customFormat="1" x14ac:dyDescent="0.2">
      <c r="A116" s="657" t="s">
        <v>284</v>
      </c>
      <c r="B116" s="658"/>
      <c r="C116" s="659" t="s">
        <v>11</v>
      </c>
      <c r="D116" s="664"/>
      <c r="E116" s="660"/>
      <c r="F116" s="747"/>
      <c r="G116" s="621"/>
    </row>
    <row r="117" spans="1:7" s="551" customFormat="1" x14ac:dyDescent="0.2">
      <c r="A117" s="666" t="s">
        <v>285</v>
      </c>
      <c r="B117" s="696" t="s">
        <v>286</v>
      </c>
      <c r="C117" s="660" t="s">
        <v>287</v>
      </c>
      <c r="D117" s="664" t="s">
        <v>3236</v>
      </c>
      <c r="E117" s="665">
        <v>6390</v>
      </c>
      <c r="F117" s="622"/>
      <c r="G117" s="621"/>
    </row>
    <row r="118" spans="1:7" s="551" customFormat="1" x14ac:dyDescent="0.2">
      <c r="A118" s="666" t="s">
        <v>288</v>
      </c>
      <c r="B118" s="696" t="s">
        <v>289</v>
      </c>
      <c r="C118" s="660" t="s">
        <v>290</v>
      </c>
      <c r="D118" s="664" t="s">
        <v>3236</v>
      </c>
      <c r="E118" s="665">
        <v>6390</v>
      </c>
      <c r="F118" s="620"/>
      <c r="G118" s="621"/>
    </row>
    <row r="119" spans="1:7" s="551" customFormat="1" ht="27.75" customHeight="1" x14ac:dyDescent="0.2">
      <c r="A119" s="666" t="s">
        <v>916</v>
      </c>
      <c r="B119" s="696" t="s">
        <v>16</v>
      </c>
      <c r="C119" s="675" t="s">
        <v>3180</v>
      </c>
      <c r="D119" s="664" t="s">
        <v>697</v>
      </c>
      <c r="E119" s="665">
        <v>10</v>
      </c>
      <c r="F119" s="620"/>
      <c r="G119" s="621"/>
    </row>
    <row r="120" spans="1:7" s="551" customFormat="1" x14ac:dyDescent="0.2">
      <c r="A120" s="666"/>
      <c r="B120" s="696"/>
      <c r="C120" s="660"/>
      <c r="D120" s="664"/>
      <c r="E120" s="665"/>
      <c r="F120" s="620"/>
      <c r="G120" s="621"/>
    </row>
    <row r="121" spans="1:7" s="551" customFormat="1" x14ac:dyDescent="0.2">
      <c r="A121" s="657" t="s">
        <v>291</v>
      </c>
      <c r="B121" s="658"/>
      <c r="C121" s="659" t="s">
        <v>292</v>
      </c>
      <c r="D121" s="664"/>
      <c r="E121" s="665"/>
      <c r="F121" s="620"/>
      <c r="G121" s="621"/>
    </row>
    <row r="122" spans="1:7" s="551" customFormat="1" ht="33.75" x14ac:dyDescent="0.2">
      <c r="A122" s="666" t="s">
        <v>293</v>
      </c>
      <c r="B122" s="696" t="s">
        <v>28</v>
      </c>
      <c r="C122" s="660" t="s">
        <v>3223</v>
      </c>
      <c r="D122" s="664" t="s">
        <v>3234</v>
      </c>
      <c r="E122" s="665">
        <v>5020</v>
      </c>
      <c r="F122" s="620"/>
      <c r="G122" s="621"/>
    </row>
    <row r="123" spans="1:7" s="551" customFormat="1" x14ac:dyDescent="0.2">
      <c r="A123" s="666"/>
      <c r="B123" s="696"/>
      <c r="C123" s="660"/>
      <c r="D123" s="664"/>
      <c r="E123" s="665"/>
      <c r="F123" s="620"/>
      <c r="G123" s="621"/>
    </row>
    <row r="124" spans="1:7" s="551" customFormat="1" x14ac:dyDescent="0.2">
      <c r="A124" s="657" t="s">
        <v>296</v>
      </c>
      <c r="B124" s="658"/>
      <c r="C124" s="659" t="s">
        <v>297</v>
      </c>
      <c r="D124" s="664"/>
      <c r="E124" s="665"/>
      <c r="F124" s="620"/>
      <c r="G124" s="621"/>
    </row>
    <row r="125" spans="1:7" s="551" customFormat="1" x14ac:dyDescent="0.2">
      <c r="A125" s="666" t="s">
        <v>298</v>
      </c>
      <c r="B125" s="696" t="s">
        <v>299</v>
      </c>
      <c r="C125" s="660" t="s">
        <v>300</v>
      </c>
      <c r="D125" s="664" t="s">
        <v>3234</v>
      </c>
      <c r="E125" s="665">
        <v>3350</v>
      </c>
      <c r="F125" s="620"/>
      <c r="G125" s="621"/>
    </row>
    <row r="126" spans="1:7" s="551" customFormat="1" x14ac:dyDescent="0.2">
      <c r="A126" s="666" t="s">
        <v>301</v>
      </c>
      <c r="B126" s="696" t="s">
        <v>302</v>
      </c>
      <c r="C126" s="660" t="s">
        <v>303</v>
      </c>
      <c r="D126" s="664" t="s">
        <v>3236</v>
      </c>
      <c r="E126" s="665">
        <v>2780</v>
      </c>
      <c r="F126" s="620"/>
      <c r="G126" s="621"/>
    </row>
    <row r="127" spans="1:7" s="551" customFormat="1" ht="22.5" x14ac:dyDescent="0.2">
      <c r="A127" s="666" t="s">
        <v>304</v>
      </c>
      <c r="B127" s="696" t="s">
        <v>305</v>
      </c>
      <c r="C127" s="660" t="s">
        <v>306</v>
      </c>
      <c r="D127" s="664" t="s">
        <v>3236</v>
      </c>
      <c r="E127" s="665">
        <v>1120</v>
      </c>
      <c r="F127" s="620"/>
      <c r="G127" s="621"/>
    </row>
    <row r="128" spans="1:7" s="551" customFormat="1" x14ac:dyDescent="0.2">
      <c r="A128" s="666" t="s">
        <v>307</v>
      </c>
      <c r="B128" s="696" t="s">
        <v>308</v>
      </c>
      <c r="C128" s="660" t="s">
        <v>309</v>
      </c>
      <c r="D128" s="664" t="s">
        <v>3236</v>
      </c>
      <c r="E128" s="665">
        <v>3900</v>
      </c>
      <c r="F128" s="620"/>
      <c r="G128" s="621"/>
    </row>
    <row r="129" spans="1:7" s="551" customFormat="1" ht="22.5" x14ac:dyDescent="0.2">
      <c r="A129" s="666" t="s">
        <v>310</v>
      </c>
      <c r="B129" s="696" t="s">
        <v>311</v>
      </c>
      <c r="C129" s="660" t="s">
        <v>3186</v>
      </c>
      <c r="D129" s="664" t="s">
        <v>3234</v>
      </c>
      <c r="E129" s="665">
        <v>1370</v>
      </c>
      <c r="F129" s="620"/>
      <c r="G129" s="621"/>
    </row>
    <row r="130" spans="1:7" s="551" customFormat="1" x14ac:dyDescent="0.2">
      <c r="A130" s="666"/>
      <c r="B130" s="696"/>
      <c r="C130" s="660"/>
      <c r="D130" s="664"/>
      <c r="E130" s="665"/>
      <c r="F130" s="620"/>
      <c r="G130" s="621"/>
    </row>
    <row r="131" spans="1:7" s="551" customFormat="1" x14ac:dyDescent="0.2">
      <c r="A131" s="657" t="s">
        <v>313</v>
      </c>
      <c r="B131" s="658"/>
      <c r="C131" s="659" t="s">
        <v>314</v>
      </c>
      <c r="D131" s="664"/>
      <c r="E131" s="665"/>
      <c r="F131" s="620"/>
      <c r="G131" s="621"/>
    </row>
    <row r="132" spans="1:7" s="551" customFormat="1" x14ac:dyDescent="0.2">
      <c r="A132" s="666" t="s">
        <v>315</v>
      </c>
      <c r="B132" s="696">
        <v>10</v>
      </c>
      <c r="C132" s="660" t="s">
        <v>3162</v>
      </c>
      <c r="D132" s="664" t="s">
        <v>3234</v>
      </c>
      <c r="E132" s="665">
        <v>22.1</v>
      </c>
      <c r="F132" s="620"/>
      <c r="G132" s="621"/>
    </row>
    <row r="133" spans="1:7" s="551" customFormat="1" ht="22.5" x14ac:dyDescent="0.2">
      <c r="A133" s="666" t="s">
        <v>316</v>
      </c>
      <c r="B133" s="696" t="s">
        <v>317</v>
      </c>
      <c r="C133" s="660" t="s">
        <v>318</v>
      </c>
      <c r="D133" s="664" t="s">
        <v>3236</v>
      </c>
      <c r="E133" s="665">
        <v>1120</v>
      </c>
      <c r="F133" s="620"/>
      <c r="G133" s="621"/>
    </row>
    <row r="134" spans="1:7" s="551" customFormat="1" x14ac:dyDescent="0.2">
      <c r="A134" s="666" t="s">
        <v>319</v>
      </c>
      <c r="B134" s="696">
        <v>12</v>
      </c>
      <c r="C134" s="660" t="s">
        <v>320</v>
      </c>
      <c r="D134" s="664" t="s">
        <v>125</v>
      </c>
      <c r="E134" s="665">
        <v>2648.3</v>
      </c>
      <c r="F134" s="620"/>
      <c r="G134" s="621"/>
    </row>
    <row r="135" spans="1:7" s="551" customFormat="1" x14ac:dyDescent="0.2">
      <c r="A135" s="666"/>
      <c r="B135" s="696"/>
      <c r="C135" s="660"/>
      <c r="D135" s="664"/>
      <c r="E135" s="665"/>
      <c r="F135" s="620"/>
      <c r="G135" s="621"/>
    </row>
    <row r="136" spans="1:7" s="551" customFormat="1" ht="22.5" x14ac:dyDescent="0.2">
      <c r="A136" s="657" t="s">
        <v>322</v>
      </c>
      <c r="B136" s="658"/>
      <c r="C136" s="659" t="s">
        <v>3190</v>
      </c>
      <c r="D136" s="664"/>
      <c r="E136" s="665"/>
      <c r="F136" s="620"/>
      <c r="G136" s="621"/>
    </row>
    <row r="137" spans="1:7" s="551" customFormat="1" ht="22.5" x14ac:dyDescent="0.2">
      <c r="A137" s="666" t="s">
        <v>324</v>
      </c>
      <c r="B137" s="696" t="s">
        <v>67</v>
      </c>
      <c r="C137" s="660" t="s">
        <v>325</v>
      </c>
      <c r="D137" s="664" t="s">
        <v>688</v>
      </c>
      <c r="E137" s="665">
        <v>60</v>
      </c>
      <c r="F137" s="620"/>
      <c r="G137" s="621"/>
    </row>
    <row r="138" spans="1:7" s="551" customFormat="1" x14ac:dyDescent="0.2">
      <c r="A138" s="666" t="s">
        <v>326</v>
      </c>
      <c r="B138" s="696" t="s">
        <v>327</v>
      </c>
      <c r="C138" s="660" t="s">
        <v>328</v>
      </c>
      <c r="D138" s="664" t="s">
        <v>688</v>
      </c>
      <c r="E138" s="665">
        <v>60</v>
      </c>
      <c r="F138" s="620"/>
      <c r="G138" s="621"/>
    </row>
    <row r="139" spans="1:7" s="551" customFormat="1" ht="22.5" x14ac:dyDescent="0.2">
      <c r="A139" s="666" t="s">
        <v>330</v>
      </c>
      <c r="B139" s="696" t="s">
        <v>67</v>
      </c>
      <c r="C139" s="660" t="s">
        <v>325</v>
      </c>
      <c r="D139" s="664" t="s">
        <v>688</v>
      </c>
      <c r="E139" s="665">
        <v>155</v>
      </c>
      <c r="F139" s="620"/>
      <c r="G139" s="621"/>
    </row>
    <row r="140" spans="1:7" s="551" customFormat="1" ht="22.5" x14ac:dyDescent="0.2">
      <c r="A140" s="666" t="s">
        <v>331</v>
      </c>
      <c r="B140" s="696" t="s">
        <v>332</v>
      </c>
      <c r="C140" s="660" t="s">
        <v>333</v>
      </c>
      <c r="D140" s="664" t="s">
        <v>688</v>
      </c>
      <c r="E140" s="665">
        <v>155</v>
      </c>
      <c r="F140" s="620"/>
      <c r="G140" s="621"/>
    </row>
    <row r="141" spans="1:7" s="551" customFormat="1" ht="22.5" x14ac:dyDescent="0.2">
      <c r="A141" s="666" t="s">
        <v>334</v>
      </c>
      <c r="B141" s="696" t="s">
        <v>335</v>
      </c>
      <c r="C141" s="660" t="s">
        <v>336</v>
      </c>
      <c r="D141" s="664" t="s">
        <v>697</v>
      </c>
      <c r="E141" s="665">
        <v>2</v>
      </c>
      <c r="F141" s="620"/>
      <c r="G141" s="621"/>
    </row>
    <row r="142" spans="1:7" s="551" customFormat="1" ht="22.5" x14ac:dyDescent="0.2">
      <c r="A142" s="666" t="s">
        <v>337</v>
      </c>
      <c r="B142" s="696" t="s">
        <v>338</v>
      </c>
      <c r="C142" s="660" t="s">
        <v>3196</v>
      </c>
      <c r="D142" s="664" t="s">
        <v>697</v>
      </c>
      <c r="E142" s="665">
        <v>1</v>
      </c>
      <c r="F142" s="620"/>
      <c r="G142" s="621"/>
    </row>
    <row r="143" spans="1:7" s="551" customFormat="1" ht="45" x14ac:dyDescent="0.2">
      <c r="A143" s="666" t="s">
        <v>339</v>
      </c>
      <c r="B143" s="696" t="s">
        <v>340</v>
      </c>
      <c r="C143" s="660" t="s">
        <v>341</v>
      </c>
      <c r="D143" s="664" t="s">
        <v>697</v>
      </c>
      <c r="E143" s="665">
        <v>1</v>
      </c>
      <c r="F143" s="620"/>
      <c r="G143" s="621"/>
    </row>
    <row r="144" spans="1:7" s="551" customFormat="1" ht="36.75" customHeight="1" x14ac:dyDescent="0.2">
      <c r="A144" s="666" t="s">
        <v>342</v>
      </c>
      <c r="B144" s="696" t="s">
        <v>343</v>
      </c>
      <c r="C144" s="660" t="s">
        <v>3197</v>
      </c>
      <c r="D144" s="664" t="s">
        <v>697</v>
      </c>
      <c r="E144" s="665">
        <v>6</v>
      </c>
      <c r="F144" s="620"/>
      <c r="G144" s="621"/>
    </row>
    <row r="145" spans="1:7" s="551" customFormat="1" x14ac:dyDescent="0.2">
      <c r="A145" s="666"/>
      <c r="B145" s="696"/>
      <c r="C145" s="660"/>
      <c r="D145" s="664"/>
      <c r="E145" s="665"/>
      <c r="F145" s="620"/>
      <c r="G145" s="621"/>
    </row>
    <row r="146" spans="1:7" s="551" customFormat="1" x14ac:dyDescent="0.2">
      <c r="A146" s="657" t="s">
        <v>345</v>
      </c>
      <c r="B146" s="658"/>
      <c r="C146" s="659" t="s">
        <v>346</v>
      </c>
      <c r="D146" s="664"/>
      <c r="E146" s="665"/>
      <c r="F146" s="620"/>
      <c r="G146" s="621"/>
    </row>
    <row r="147" spans="1:7" s="551" customFormat="1" x14ac:dyDescent="0.2">
      <c r="A147" s="666" t="s">
        <v>347</v>
      </c>
      <c r="B147" s="696" t="s">
        <v>13</v>
      </c>
      <c r="C147" s="660" t="s">
        <v>14</v>
      </c>
      <c r="D147" s="664" t="s">
        <v>3234</v>
      </c>
      <c r="E147" s="665">
        <v>325.2</v>
      </c>
      <c r="F147" s="620"/>
      <c r="G147" s="621"/>
    </row>
    <row r="148" spans="1:7" s="551" customFormat="1" ht="25.5" customHeight="1" x14ac:dyDescent="0.2">
      <c r="A148" s="666" t="s">
        <v>348</v>
      </c>
      <c r="B148" s="696" t="s">
        <v>28</v>
      </c>
      <c r="C148" s="660" t="s">
        <v>3223</v>
      </c>
      <c r="D148" s="664" t="s">
        <v>3234</v>
      </c>
      <c r="E148" s="665">
        <v>813</v>
      </c>
      <c r="F148" s="620"/>
      <c r="G148" s="621"/>
    </row>
    <row r="149" spans="1:7" s="551" customFormat="1" ht="22.5" x14ac:dyDescent="0.2">
      <c r="A149" s="666" t="s">
        <v>349</v>
      </c>
      <c r="B149" s="696" t="s">
        <v>311</v>
      </c>
      <c r="C149" s="660" t="s">
        <v>312</v>
      </c>
      <c r="D149" s="664" t="s">
        <v>3234</v>
      </c>
      <c r="E149" s="665">
        <v>406.25</v>
      </c>
      <c r="F149" s="620"/>
      <c r="G149" s="621"/>
    </row>
    <row r="150" spans="1:7" s="551" customFormat="1" x14ac:dyDescent="0.2">
      <c r="A150" s="666"/>
      <c r="B150" s="696"/>
      <c r="C150" s="660"/>
      <c r="D150" s="664"/>
      <c r="E150" s="665"/>
      <c r="F150" s="620"/>
      <c r="G150" s="621"/>
    </row>
    <row r="151" spans="1:7" s="551" customFormat="1" x14ac:dyDescent="0.2">
      <c r="A151" s="657" t="s">
        <v>350</v>
      </c>
      <c r="B151" s="658"/>
      <c r="C151" s="659" t="s">
        <v>351</v>
      </c>
      <c r="D151" s="664"/>
      <c r="E151" s="665"/>
      <c r="F151" s="620"/>
      <c r="G151" s="621"/>
    </row>
    <row r="152" spans="1:7" s="551" customFormat="1" ht="22.5" x14ac:dyDescent="0.2">
      <c r="A152" s="666" t="s">
        <v>352</v>
      </c>
      <c r="B152" s="696" t="s">
        <v>353</v>
      </c>
      <c r="C152" s="660" t="s">
        <v>354</v>
      </c>
      <c r="D152" s="664" t="s">
        <v>688</v>
      </c>
      <c r="E152" s="665">
        <v>408.8</v>
      </c>
      <c r="F152" s="620"/>
      <c r="G152" s="621"/>
    </row>
    <row r="153" spans="1:7" s="551" customFormat="1" ht="22.5" x14ac:dyDescent="0.2">
      <c r="A153" s="666" t="s">
        <v>355</v>
      </c>
      <c r="B153" s="696" t="s">
        <v>356</v>
      </c>
      <c r="C153" s="660" t="s">
        <v>357</v>
      </c>
      <c r="D153" s="664" t="s">
        <v>2988</v>
      </c>
      <c r="E153" s="665">
        <v>1</v>
      </c>
      <c r="F153" s="620"/>
      <c r="G153" s="621"/>
    </row>
    <row r="154" spans="1:7" s="551" customFormat="1" x14ac:dyDescent="0.2">
      <c r="A154" s="666"/>
      <c r="B154" s="696"/>
      <c r="C154" s="660"/>
      <c r="D154" s="664"/>
      <c r="E154" s="665"/>
      <c r="F154" s="620"/>
      <c r="G154" s="621"/>
    </row>
    <row r="155" spans="1:7" s="551" customFormat="1" x14ac:dyDescent="0.2">
      <c r="A155" s="657" t="s">
        <v>359</v>
      </c>
      <c r="B155" s="658"/>
      <c r="C155" s="659" t="s">
        <v>360</v>
      </c>
      <c r="D155" s="664"/>
      <c r="E155" s="665"/>
      <c r="F155" s="620"/>
      <c r="G155" s="621"/>
    </row>
    <row r="156" spans="1:7" s="551" customFormat="1" ht="22.5" x14ac:dyDescent="0.2">
      <c r="A156" s="666" t="s">
        <v>361</v>
      </c>
      <c r="B156" s="696" t="s">
        <v>362</v>
      </c>
      <c r="C156" s="660" t="s">
        <v>363</v>
      </c>
      <c r="D156" s="664" t="s">
        <v>3234</v>
      </c>
      <c r="E156" s="665">
        <v>109.2</v>
      </c>
      <c r="F156" s="620"/>
      <c r="G156" s="621"/>
    </row>
    <row r="157" spans="1:7" s="551" customFormat="1" ht="22.5" x14ac:dyDescent="0.2">
      <c r="A157" s="666" t="s">
        <v>364</v>
      </c>
      <c r="B157" s="696" t="s">
        <v>365</v>
      </c>
      <c r="C157" s="660" t="s">
        <v>366</v>
      </c>
      <c r="D157" s="664" t="s">
        <v>3234</v>
      </c>
      <c r="E157" s="665">
        <v>72.8</v>
      </c>
      <c r="F157" s="620"/>
      <c r="G157" s="621"/>
    </row>
    <row r="158" spans="1:7" s="551" customFormat="1" ht="23.25" thickBot="1" x14ac:dyDescent="0.25">
      <c r="A158" s="697" t="s">
        <v>367</v>
      </c>
      <c r="B158" s="698" t="s">
        <v>368</v>
      </c>
      <c r="C158" s="699" t="s">
        <v>369</v>
      </c>
      <c r="D158" s="700" t="s">
        <v>3236</v>
      </c>
      <c r="E158" s="701">
        <v>600</v>
      </c>
      <c r="F158" s="628"/>
      <c r="G158" s="629"/>
    </row>
    <row r="159" spans="1:7" s="551" customFormat="1" ht="20.100000000000001" customHeight="1" thickBot="1" x14ac:dyDescent="0.25">
      <c r="A159" s="686"/>
      <c r="B159" s="687"/>
      <c r="C159" s="751" t="s">
        <v>370</v>
      </c>
      <c r="D159" s="751"/>
      <c r="E159" s="751"/>
      <c r="F159" s="751"/>
      <c r="G159" s="625"/>
    </row>
    <row r="160" spans="1:7" s="551" customFormat="1" ht="12" customHeight="1" x14ac:dyDescent="0.2">
      <c r="A160" s="693"/>
      <c r="B160" s="694"/>
      <c r="C160" s="695"/>
      <c r="D160" s="695"/>
      <c r="E160" s="695"/>
      <c r="F160" s="695"/>
      <c r="G160" s="627"/>
    </row>
    <row r="161" spans="1:7" s="551" customFormat="1" ht="15" customHeight="1" x14ac:dyDescent="0.2">
      <c r="A161" s="754" t="s">
        <v>371</v>
      </c>
      <c r="B161" s="755"/>
      <c r="C161" s="755"/>
      <c r="D161" s="664"/>
      <c r="E161" s="660"/>
      <c r="F161" s="620"/>
      <c r="G161" s="621"/>
    </row>
    <row r="162" spans="1:7" s="551" customFormat="1" x14ac:dyDescent="0.2">
      <c r="A162" s="657" t="s">
        <v>372</v>
      </c>
      <c r="B162" s="658"/>
      <c r="C162" s="659" t="s">
        <v>11</v>
      </c>
      <c r="D162" s="660"/>
      <c r="E162" s="661"/>
      <c r="F162" s="620"/>
      <c r="G162" s="621"/>
    </row>
    <row r="163" spans="1:7" s="551" customFormat="1" x14ac:dyDescent="0.2">
      <c r="A163" s="666" t="s">
        <v>373</v>
      </c>
      <c r="B163" s="696" t="s">
        <v>13</v>
      </c>
      <c r="C163" s="660" t="s">
        <v>14</v>
      </c>
      <c r="D163" s="664" t="s">
        <v>688</v>
      </c>
      <c r="E163" s="665">
        <v>330.2</v>
      </c>
      <c r="F163" s="620"/>
      <c r="G163" s="621"/>
    </row>
    <row r="164" spans="1:7" s="551" customFormat="1" x14ac:dyDescent="0.2">
      <c r="A164" s="666"/>
      <c r="B164" s="696"/>
      <c r="C164" s="660"/>
      <c r="D164" s="664"/>
      <c r="E164" s="665"/>
      <c r="F164" s="620"/>
      <c r="G164" s="621"/>
    </row>
    <row r="165" spans="1:7" s="551" customFormat="1" ht="22.5" x14ac:dyDescent="0.2">
      <c r="A165" s="657" t="s">
        <v>374</v>
      </c>
      <c r="B165" s="658"/>
      <c r="C165" s="659" t="s">
        <v>19</v>
      </c>
      <c r="D165" s="664"/>
      <c r="E165" s="665"/>
      <c r="F165" s="620"/>
      <c r="G165" s="621"/>
    </row>
    <row r="166" spans="1:7" s="551" customFormat="1" ht="29.25" customHeight="1" x14ac:dyDescent="0.2">
      <c r="A166" s="666" t="s">
        <v>375</v>
      </c>
      <c r="B166" s="702" t="s">
        <v>21</v>
      </c>
      <c r="C166" s="660" t="str">
        <f>C13</f>
        <v xml:space="preserve">Excavaciones manuales material común (seco/húmedo) </v>
      </c>
      <c r="D166" s="664" t="s">
        <v>3234</v>
      </c>
      <c r="E166" s="665">
        <v>288.7</v>
      </c>
      <c r="F166" s="620"/>
      <c r="G166" s="621"/>
    </row>
    <row r="167" spans="1:7" s="551" customFormat="1" ht="33.75" x14ac:dyDescent="0.2">
      <c r="A167" s="666" t="s">
        <v>377</v>
      </c>
      <c r="B167" s="703" t="s">
        <v>28</v>
      </c>
      <c r="C167" s="660" t="str">
        <f>C15</f>
        <v>Excavación mecánica material común, cualquier condición de humedad, cualquier altura</v>
      </c>
      <c r="D167" s="664" t="s">
        <v>3234</v>
      </c>
      <c r="E167" s="665">
        <v>297.2</v>
      </c>
      <c r="F167" s="620"/>
      <c r="G167" s="621"/>
    </row>
    <row r="168" spans="1:7" s="551" customFormat="1" ht="22.5" x14ac:dyDescent="0.2">
      <c r="A168" s="666" t="s">
        <v>378</v>
      </c>
      <c r="B168" s="703" t="s">
        <v>36</v>
      </c>
      <c r="C168" s="670" t="s">
        <v>379</v>
      </c>
      <c r="D168" s="664" t="s">
        <v>697</v>
      </c>
      <c r="E168" s="665">
        <v>3</v>
      </c>
      <c r="F168" s="620"/>
      <c r="G168" s="621"/>
    </row>
    <row r="169" spans="1:7" s="552" customFormat="1" ht="24.75" customHeight="1" x14ac:dyDescent="0.2">
      <c r="A169" s="666" t="s">
        <v>3206</v>
      </c>
      <c r="B169" s="703" t="s">
        <v>41</v>
      </c>
      <c r="C169" s="671" t="s">
        <v>3181</v>
      </c>
      <c r="D169" s="664" t="s">
        <v>3236</v>
      </c>
      <c r="E169" s="665">
        <v>752.58</v>
      </c>
      <c r="F169" s="620"/>
      <c r="G169" s="621"/>
    </row>
    <row r="170" spans="1:7" s="551" customFormat="1" x14ac:dyDescent="0.2">
      <c r="A170" s="673"/>
      <c r="B170" s="704"/>
      <c r="C170" s="660"/>
      <c r="D170" s="664"/>
      <c r="E170" s="665"/>
      <c r="F170" s="620"/>
      <c r="G170" s="621"/>
    </row>
    <row r="171" spans="1:7" s="551" customFormat="1" x14ac:dyDescent="0.2">
      <c r="A171" s="657" t="s">
        <v>380</v>
      </c>
      <c r="B171" s="658"/>
      <c r="C171" s="659" t="s">
        <v>46</v>
      </c>
      <c r="D171" s="664"/>
      <c r="E171" s="665"/>
      <c r="F171" s="620"/>
      <c r="G171" s="621"/>
    </row>
    <row r="172" spans="1:7" s="551" customFormat="1" x14ac:dyDescent="0.2">
      <c r="A172" s="666" t="s">
        <v>381</v>
      </c>
      <c r="B172" s="703" t="s">
        <v>48</v>
      </c>
      <c r="C172" s="660" t="s">
        <v>49</v>
      </c>
      <c r="D172" s="664" t="s">
        <v>3234</v>
      </c>
      <c r="E172" s="665">
        <v>483.42</v>
      </c>
      <c r="F172" s="620"/>
      <c r="G172" s="621"/>
    </row>
    <row r="173" spans="1:7" s="551" customFormat="1" x14ac:dyDescent="0.2">
      <c r="A173" s="666"/>
      <c r="B173" s="696"/>
      <c r="C173" s="660"/>
      <c r="D173" s="664"/>
      <c r="E173" s="665"/>
      <c r="F173" s="620"/>
      <c r="G173" s="621"/>
    </row>
    <row r="174" spans="1:7" s="551" customFormat="1" x14ac:dyDescent="0.2">
      <c r="A174" s="657" t="s">
        <v>382</v>
      </c>
      <c r="B174" s="658"/>
      <c r="C174" s="659" t="s">
        <v>65</v>
      </c>
      <c r="D174" s="664"/>
      <c r="E174" s="665"/>
      <c r="F174" s="620"/>
      <c r="G174" s="621"/>
    </row>
    <row r="175" spans="1:7" s="551" customFormat="1" ht="22.5" x14ac:dyDescent="0.2">
      <c r="A175" s="673" t="s">
        <v>383</v>
      </c>
      <c r="B175" s="667" t="s">
        <v>70</v>
      </c>
      <c r="C175" s="660" t="s">
        <v>71</v>
      </c>
      <c r="D175" s="664" t="s">
        <v>688</v>
      </c>
      <c r="E175" s="665">
        <v>484.59</v>
      </c>
      <c r="F175" s="620"/>
      <c r="G175" s="621"/>
    </row>
    <row r="176" spans="1:7" s="551" customFormat="1" x14ac:dyDescent="0.2">
      <c r="A176" s="673"/>
      <c r="B176" s="704"/>
      <c r="C176" s="660"/>
      <c r="D176" s="664"/>
      <c r="E176" s="665"/>
      <c r="F176" s="620"/>
      <c r="G176" s="621"/>
    </row>
    <row r="177" spans="1:8" s="551" customFormat="1" x14ac:dyDescent="0.2">
      <c r="A177" s="657" t="s">
        <v>384</v>
      </c>
      <c r="B177" s="658"/>
      <c r="C177" s="659" t="s">
        <v>93</v>
      </c>
      <c r="D177" s="664"/>
      <c r="E177" s="665"/>
      <c r="F177" s="620"/>
      <c r="G177" s="621"/>
    </row>
    <row r="178" spans="1:8" s="551" customFormat="1" ht="22.5" x14ac:dyDescent="0.2">
      <c r="A178" s="666" t="s">
        <v>385</v>
      </c>
      <c r="B178" s="696" t="s">
        <v>95</v>
      </c>
      <c r="C178" s="679" t="s">
        <v>3188</v>
      </c>
      <c r="D178" s="664" t="s">
        <v>697</v>
      </c>
      <c r="E178" s="665">
        <v>3</v>
      </c>
      <c r="F178" s="620"/>
      <c r="G178" s="621"/>
    </row>
    <row r="179" spans="1:8" s="551" customFormat="1" ht="27.75" customHeight="1" x14ac:dyDescent="0.2">
      <c r="A179" s="666" t="s">
        <v>386</v>
      </c>
      <c r="B179" s="705" t="s">
        <v>98</v>
      </c>
      <c r="C179" s="660" t="str">
        <f>C47</f>
        <v>Cuerpo para pozo de inspección D = 1,2 m, h: 1,0 - 2,0 m  Inc escalera de gato c/40 cm  e=0,18 m</v>
      </c>
      <c r="D179" s="664" t="s">
        <v>697</v>
      </c>
      <c r="E179" s="665">
        <v>3</v>
      </c>
      <c r="F179" s="620"/>
      <c r="G179" s="621"/>
    </row>
    <row r="180" spans="1:8" s="551" customFormat="1" ht="32.25" customHeight="1" x14ac:dyDescent="0.2">
      <c r="A180" s="666" t="s">
        <v>387</v>
      </c>
      <c r="B180" s="705" t="s">
        <v>104</v>
      </c>
      <c r="C180" s="660" t="str">
        <f>C50</f>
        <v>Base y cañuela para pozo de inspección hasta D =1.60 m</v>
      </c>
      <c r="D180" s="664" t="s">
        <v>697</v>
      </c>
      <c r="E180" s="665">
        <v>3</v>
      </c>
      <c r="F180" s="620"/>
      <c r="G180" s="621"/>
    </row>
    <row r="181" spans="1:8" s="551" customFormat="1" ht="22.5" x14ac:dyDescent="0.2">
      <c r="A181" s="666" t="s">
        <v>388</v>
      </c>
      <c r="B181" s="705" t="s">
        <v>106</v>
      </c>
      <c r="C181" s="660" t="s">
        <v>107</v>
      </c>
      <c r="D181" s="664" t="s">
        <v>3234</v>
      </c>
      <c r="E181" s="665">
        <v>0.3</v>
      </c>
      <c r="F181" s="620"/>
      <c r="G181" s="621"/>
    </row>
    <row r="182" spans="1:8" s="551" customFormat="1" x14ac:dyDescent="0.2">
      <c r="A182" s="673"/>
      <c r="B182" s="704"/>
      <c r="C182" s="660"/>
      <c r="D182" s="664"/>
      <c r="E182" s="665"/>
      <c r="F182" s="620"/>
      <c r="G182" s="621"/>
    </row>
    <row r="183" spans="1:8" s="551" customFormat="1" x14ac:dyDescent="0.2">
      <c r="A183" s="657" t="s">
        <v>389</v>
      </c>
      <c r="B183" s="658"/>
      <c r="C183" s="659" t="s">
        <v>390</v>
      </c>
      <c r="D183" s="664"/>
      <c r="E183" s="665"/>
      <c r="F183" s="620"/>
      <c r="G183" s="621"/>
    </row>
    <row r="184" spans="1:8" s="551" customFormat="1" x14ac:dyDescent="0.2">
      <c r="A184" s="666" t="s">
        <v>391</v>
      </c>
      <c r="B184" s="696">
        <v>9</v>
      </c>
      <c r="C184" s="660" t="s">
        <v>392</v>
      </c>
      <c r="D184" s="664" t="s">
        <v>3234</v>
      </c>
      <c r="E184" s="665">
        <v>2.5</v>
      </c>
      <c r="F184" s="620"/>
      <c r="G184" s="621"/>
    </row>
    <row r="185" spans="1:8" s="551" customFormat="1" ht="23.25" thickBot="1" x14ac:dyDescent="0.25">
      <c r="A185" s="706" t="s">
        <v>393</v>
      </c>
      <c r="B185" s="707">
        <v>12</v>
      </c>
      <c r="C185" s="683" t="s">
        <v>124</v>
      </c>
      <c r="D185" s="684" t="s">
        <v>125</v>
      </c>
      <c r="E185" s="665">
        <v>112.5</v>
      </c>
      <c r="F185" s="623"/>
      <c r="G185" s="621"/>
    </row>
    <row r="186" spans="1:8" s="551" customFormat="1" ht="20.100000000000001" customHeight="1" thickBot="1" x14ac:dyDescent="0.25">
      <c r="A186" s="686"/>
      <c r="B186" s="708"/>
      <c r="C186" s="764" t="s">
        <v>394</v>
      </c>
      <c r="D186" s="765"/>
      <c r="E186" s="765"/>
      <c r="F186" s="765"/>
      <c r="G186" s="630"/>
    </row>
    <row r="187" spans="1:8" s="551" customFormat="1" ht="13.5" thickBot="1" x14ac:dyDescent="0.25">
      <c r="A187" s="709"/>
      <c r="B187" s="710"/>
      <c r="C187" s="711"/>
      <c r="D187" s="712"/>
      <c r="E187" s="712"/>
      <c r="F187" s="713"/>
      <c r="G187" s="631"/>
      <c r="H187" s="555"/>
    </row>
    <row r="188" spans="1:8" s="551" customFormat="1" ht="15.75" customHeight="1" thickBot="1" x14ac:dyDescent="0.25">
      <c r="A188" s="756" t="s">
        <v>400</v>
      </c>
      <c r="B188" s="757"/>
      <c r="C188" s="757"/>
      <c r="D188" s="757"/>
      <c r="E188" s="757"/>
      <c r="F188" s="757"/>
      <c r="G188" s="632"/>
      <c r="H188" s="555"/>
    </row>
    <row r="189" spans="1:8" s="551" customFormat="1" x14ac:dyDescent="0.2">
      <c r="A189" s="758" t="s">
        <v>3237</v>
      </c>
      <c r="B189" s="759"/>
      <c r="C189" s="759"/>
      <c r="D189" s="759"/>
      <c r="E189" s="759"/>
      <c r="F189" s="759"/>
      <c r="G189" s="743"/>
      <c r="H189" s="555"/>
    </row>
    <row r="190" spans="1:8" s="551" customFormat="1" x14ac:dyDescent="0.2">
      <c r="A190" s="758" t="s">
        <v>3238</v>
      </c>
      <c r="B190" s="759"/>
      <c r="C190" s="759"/>
      <c r="D190" s="759"/>
      <c r="E190" s="759"/>
      <c r="F190" s="759"/>
      <c r="G190" s="744"/>
      <c r="H190" s="555"/>
    </row>
    <row r="191" spans="1:8" s="551" customFormat="1" x14ac:dyDescent="0.2">
      <c r="A191" s="758" t="s">
        <v>3239</v>
      </c>
      <c r="B191" s="759"/>
      <c r="C191" s="759"/>
      <c r="D191" s="759"/>
      <c r="E191" s="759"/>
      <c r="F191" s="759"/>
      <c r="G191" s="744"/>
      <c r="H191" s="555"/>
    </row>
    <row r="192" spans="1:8" s="551" customFormat="1" ht="13.5" thickBot="1" x14ac:dyDescent="0.25">
      <c r="A192" s="760" t="s">
        <v>3230</v>
      </c>
      <c r="B192" s="761"/>
      <c r="C192" s="761"/>
      <c r="D192" s="761"/>
      <c r="E192" s="761"/>
      <c r="F192" s="761"/>
      <c r="G192" s="745"/>
      <c r="H192" s="555"/>
    </row>
    <row r="193" spans="1:8" s="551" customFormat="1" ht="15.75" customHeight="1" thickBot="1" x14ac:dyDescent="0.25">
      <c r="A193" s="788" t="s">
        <v>401</v>
      </c>
      <c r="B193" s="789"/>
      <c r="C193" s="789"/>
      <c r="D193" s="789"/>
      <c r="E193" s="789"/>
      <c r="F193" s="789"/>
      <c r="G193" s="633"/>
      <c r="H193" s="555"/>
    </row>
    <row r="194" spans="1:8" s="551" customFormat="1" ht="14.25" thickTop="1" thickBot="1" x14ac:dyDescent="0.25">
      <c r="A194" s="900"/>
      <c r="B194" s="900"/>
      <c r="C194" s="901"/>
      <c r="D194" s="901"/>
      <c r="E194" s="902"/>
      <c r="F194" s="903"/>
      <c r="G194" s="634"/>
      <c r="H194" s="555"/>
    </row>
    <row r="195" spans="1:8" s="551" customFormat="1" ht="15.75" customHeight="1" thickTop="1" thickBot="1" x14ac:dyDescent="0.25">
      <c r="A195" s="790" t="s">
        <v>3226</v>
      </c>
      <c r="B195" s="791"/>
      <c r="C195" s="791"/>
      <c r="D195" s="791"/>
      <c r="E195" s="791"/>
      <c r="F195" s="791"/>
      <c r="G195" s="791"/>
      <c r="H195" s="555"/>
    </row>
    <row r="196" spans="1:8" s="551" customFormat="1" ht="14.25" thickTop="1" thickBot="1" x14ac:dyDescent="0.25">
      <c r="A196" s="717"/>
      <c r="B196" s="718"/>
      <c r="C196" s="719"/>
      <c r="D196" s="719"/>
      <c r="E196" s="720"/>
      <c r="F196" s="721"/>
      <c r="G196" s="722"/>
      <c r="H196" s="555"/>
    </row>
    <row r="197" spans="1:8" s="551" customFormat="1" ht="13.5" customHeight="1" thickTop="1" x14ac:dyDescent="0.2">
      <c r="A197" s="772" t="s">
        <v>2</v>
      </c>
      <c r="B197" s="774" t="s">
        <v>3</v>
      </c>
      <c r="C197" s="774" t="s">
        <v>4</v>
      </c>
      <c r="D197" s="774" t="s">
        <v>5</v>
      </c>
      <c r="E197" s="752" t="s">
        <v>6</v>
      </c>
      <c r="F197" s="770" t="s">
        <v>3227</v>
      </c>
      <c r="G197" s="762" t="s">
        <v>7</v>
      </c>
      <c r="H197" s="555"/>
    </row>
    <row r="198" spans="1:8" s="551" customFormat="1" ht="33" customHeight="1" thickBot="1" x14ac:dyDescent="0.25">
      <c r="A198" s="773"/>
      <c r="B198" s="775"/>
      <c r="C198" s="775"/>
      <c r="D198" s="775"/>
      <c r="E198" s="753"/>
      <c r="F198" s="771"/>
      <c r="G198" s="763"/>
      <c r="H198" s="555"/>
    </row>
    <row r="199" spans="1:8" s="551" customFormat="1" ht="12" customHeight="1" thickTop="1" x14ac:dyDescent="0.2">
      <c r="A199" s="723"/>
      <c r="B199" s="724"/>
      <c r="C199" s="725"/>
      <c r="D199" s="725"/>
      <c r="E199" s="725"/>
      <c r="F199" s="725"/>
      <c r="G199" s="725"/>
      <c r="H199" s="555"/>
    </row>
    <row r="200" spans="1:8" s="551" customFormat="1" ht="15" customHeight="1" x14ac:dyDescent="0.2">
      <c r="A200" s="777" t="s">
        <v>127</v>
      </c>
      <c r="B200" s="778"/>
      <c r="C200" s="779"/>
      <c r="D200" s="726"/>
      <c r="E200" s="665"/>
      <c r="F200" s="749"/>
      <c r="G200" s="750"/>
      <c r="H200" s="555"/>
    </row>
    <row r="201" spans="1:8" s="551" customFormat="1" x14ac:dyDescent="0.2">
      <c r="A201" s="727" t="s">
        <v>128</v>
      </c>
      <c r="B201" s="704"/>
      <c r="C201" s="659" t="s">
        <v>129</v>
      </c>
      <c r="D201" s="664"/>
      <c r="E201" s="665"/>
      <c r="F201" s="749"/>
      <c r="G201" s="750"/>
      <c r="H201" s="555"/>
    </row>
    <row r="202" spans="1:8" s="551" customFormat="1" ht="22.5" x14ac:dyDescent="0.2">
      <c r="A202" s="666" t="s">
        <v>130</v>
      </c>
      <c r="B202" s="696"/>
      <c r="C202" s="676" t="s">
        <v>131</v>
      </c>
      <c r="D202" s="664"/>
      <c r="E202" s="665"/>
      <c r="F202" s="635"/>
      <c r="G202" s="636"/>
      <c r="H202" s="555"/>
    </row>
    <row r="203" spans="1:8" s="551" customFormat="1" ht="33.75" x14ac:dyDescent="0.2">
      <c r="A203" s="728" t="s">
        <v>132</v>
      </c>
      <c r="B203" s="663" t="s">
        <v>133</v>
      </c>
      <c r="C203" s="660" t="s">
        <v>3191</v>
      </c>
      <c r="D203" s="664" t="s">
        <v>688</v>
      </c>
      <c r="E203" s="665">
        <v>4386</v>
      </c>
      <c r="F203" s="621"/>
      <c r="G203" s="637"/>
      <c r="H203" s="555"/>
    </row>
    <row r="204" spans="1:8" s="551" customFormat="1" ht="33.75" x14ac:dyDescent="0.2">
      <c r="A204" s="728" t="s">
        <v>135</v>
      </c>
      <c r="B204" s="663" t="s">
        <v>136</v>
      </c>
      <c r="C204" s="660" t="s">
        <v>3192</v>
      </c>
      <c r="D204" s="664" t="s">
        <v>688</v>
      </c>
      <c r="E204" s="665">
        <v>10241.6</v>
      </c>
      <c r="F204" s="621"/>
      <c r="G204" s="637"/>
      <c r="H204" s="555"/>
    </row>
    <row r="205" spans="1:8" s="551" customFormat="1" ht="33.75" x14ac:dyDescent="0.2">
      <c r="A205" s="728" t="s">
        <v>138</v>
      </c>
      <c r="B205" s="663" t="s">
        <v>139</v>
      </c>
      <c r="C205" s="660" t="s">
        <v>3193</v>
      </c>
      <c r="D205" s="664" t="s">
        <v>688</v>
      </c>
      <c r="E205" s="665">
        <v>1987.4</v>
      </c>
      <c r="F205" s="621"/>
      <c r="G205" s="637"/>
      <c r="H205" s="555"/>
    </row>
    <row r="206" spans="1:8" s="551" customFormat="1" ht="33.75" x14ac:dyDescent="0.2">
      <c r="A206" s="729" t="s">
        <v>140</v>
      </c>
      <c r="B206" s="663" t="s">
        <v>141</v>
      </c>
      <c r="C206" s="660" t="s">
        <v>3194</v>
      </c>
      <c r="D206" s="664" t="s">
        <v>688</v>
      </c>
      <c r="E206" s="665">
        <v>982.2</v>
      </c>
      <c r="F206" s="621"/>
      <c r="G206" s="637"/>
      <c r="H206" s="555"/>
    </row>
    <row r="207" spans="1:8" s="551" customFormat="1" ht="33.75" x14ac:dyDescent="0.2">
      <c r="A207" s="729" t="s">
        <v>143</v>
      </c>
      <c r="B207" s="663" t="s">
        <v>144</v>
      </c>
      <c r="C207" s="660" t="s">
        <v>3195</v>
      </c>
      <c r="D207" s="664" t="s">
        <v>688</v>
      </c>
      <c r="E207" s="665">
        <v>1293.7</v>
      </c>
      <c r="F207" s="621"/>
      <c r="G207" s="637"/>
      <c r="H207" s="555"/>
    </row>
    <row r="208" spans="1:8" s="551" customFormat="1" ht="22.5" x14ac:dyDescent="0.2">
      <c r="A208" s="727" t="s">
        <v>145</v>
      </c>
      <c r="B208" s="730"/>
      <c r="C208" s="659" t="s">
        <v>146</v>
      </c>
      <c r="D208" s="664"/>
      <c r="E208" s="665"/>
      <c r="F208" s="621"/>
      <c r="G208" s="637"/>
      <c r="H208" s="555"/>
    </row>
    <row r="209" spans="1:8" s="551" customFormat="1" ht="23.25" thickBot="1" x14ac:dyDescent="0.25">
      <c r="A209" s="731" t="s">
        <v>147</v>
      </c>
      <c r="B209" s="682" t="s">
        <v>148</v>
      </c>
      <c r="C209" s="683" t="s">
        <v>3189</v>
      </c>
      <c r="D209" s="684" t="s">
        <v>697</v>
      </c>
      <c r="E209" s="685">
        <v>516</v>
      </c>
      <c r="F209" s="624"/>
      <c r="G209" s="638"/>
      <c r="H209" s="555"/>
    </row>
    <row r="210" spans="1:8" s="551" customFormat="1" ht="20.100000000000001" customHeight="1" thickBot="1" x14ac:dyDescent="0.25">
      <c r="A210" s="686"/>
      <c r="B210" s="687"/>
      <c r="C210" s="751" t="s">
        <v>149</v>
      </c>
      <c r="D210" s="751"/>
      <c r="E210" s="751"/>
      <c r="F210" s="751"/>
      <c r="G210" s="625"/>
      <c r="H210" s="555"/>
    </row>
    <row r="211" spans="1:8" s="551" customFormat="1" ht="12" customHeight="1" x14ac:dyDescent="0.2">
      <c r="A211" s="688"/>
      <c r="B211" s="689"/>
      <c r="C211" s="732"/>
      <c r="D211" s="732"/>
      <c r="E211" s="732"/>
      <c r="F211" s="732"/>
      <c r="G211" s="639"/>
      <c r="H211" s="555"/>
    </row>
    <row r="212" spans="1:8" s="551" customFormat="1" ht="12.95" customHeight="1" x14ac:dyDescent="0.2">
      <c r="A212" s="777" t="s">
        <v>150</v>
      </c>
      <c r="B212" s="778"/>
      <c r="C212" s="779"/>
      <c r="D212" s="660"/>
      <c r="E212" s="661"/>
      <c r="F212" s="748"/>
      <c r="G212" s="619"/>
      <c r="H212" s="555"/>
    </row>
    <row r="213" spans="1:8" s="551" customFormat="1" x14ac:dyDescent="0.2">
      <c r="A213" s="657" t="s">
        <v>151</v>
      </c>
      <c r="B213" s="668"/>
      <c r="C213" s="659" t="s">
        <v>152</v>
      </c>
      <c r="D213" s="664"/>
      <c r="E213" s="660"/>
      <c r="F213" s="747"/>
      <c r="G213" s="621"/>
      <c r="H213" s="555"/>
    </row>
    <row r="214" spans="1:8" s="551" customFormat="1" ht="22.5" x14ac:dyDescent="0.2">
      <c r="A214" s="666" t="s">
        <v>228</v>
      </c>
      <c r="B214" s="667" t="s">
        <v>229</v>
      </c>
      <c r="C214" s="670" t="s">
        <v>230</v>
      </c>
      <c r="D214" s="664" t="s">
        <v>688</v>
      </c>
      <c r="E214" s="665">
        <v>15</v>
      </c>
      <c r="F214" s="621"/>
      <c r="G214" s="621"/>
      <c r="H214" s="555"/>
    </row>
    <row r="215" spans="1:8" s="551" customFormat="1" ht="22.5" x14ac:dyDescent="0.2">
      <c r="A215" s="666" t="s">
        <v>234</v>
      </c>
      <c r="B215" s="667" t="s">
        <v>235</v>
      </c>
      <c r="C215" s="660" t="s">
        <v>236</v>
      </c>
      <c r="D215" s="664" t="s">
        <v>688</v>
      </c>
      <c r="E215" s="665">
        <v>7</v>
      </c>
      <c r="F215" s="621"/>
      <c r="G215" s="621"/>
      <c r="H215" s="555"/>
    </row>
    <row r="216" spans="1:8" s="551" customFormat="1" ht="22.5" x14ac:dyDescent="0.2">
      <c r="A216" s="666" t="s">
        <v>237</v>
      </c>
      <c r="B216" s="667" t="s">
        <v>238</v>
      </c>
      <c r="C216" s="660" t="s">
        <v>239</v>
      </c>
      <c r="D216" s="664" t="s">
        <v>688</v>
      </c>
      <c r="E216" s="665">
        <v>3</v>
      </c>
      <c r="F216" s="621"/>
      <c r="G216" s="621"/>
      <c r="H216" s="555"/>
    </row>
    <row r="217" spans="1:8" s="551" customFormat="1" ht="22.5" x14ac:dyDescent="0.2">
      <c r="A217" s="666" t="s">
        <v>240</v>
      </c>
      <c r="B217" s="667" t="s">
        <v>241</v>
      </c>
      <c r="C217" s="660" t="s">
        <v>242</v>
      </c>
      <c r="D217" s="664" t="s">
        <v>697</v>
      </c>
      <c r="E217" s="665">
        <v>3</v>
      </c>
      <c r="F217" s="621"/>
      <c r="G217" s="621"/>
      <c r="H217" s="555"/>
    </row>
    <row r="218" spans="1:8" s="551" customFormat="1" ht="22.5" x14ac:dyDescent="0.2">
      <c r="A218" s="666" t="s">
        <v>243</v>
      </c>
      <c r="B218" s="667" t="s">
        <v>244</v>
      </c>
      <c r="C218" s="660" t="s">
        <v>245</v>
      </c>
      <c r="D218" s="664" t="s">
        <v>697</v>
      </c>
      <c r="E218" s="665">
        <v>1</v>
      </c>
      <c r="F218" s="621"/>
      <c r="G218" s="621"/>
      <c r="H218" s="555"/>
    </row>
    <row r="219" spans="1:8" s="551" customFormat="1" ht="22.5" x14ac:dyDescent="0.2">
      <c r="A219" s="666" t="s">
        <v>246</v>
      </c>
      <c r="B219" s="667" t="s">
        <v>247</v>
      </c>
      <c r="C219" s="660" t="s">
        <v>248</v>
      </c>
      <c r="D219" s="664" t="s">
        <v>697</v>
      </c>
      <c r="E219" s="665">
        <v>3</v>
      </c>
      <c r="F219" s="621"/>
      <c r="G219" s="621"/>
      <c r="H219" s="555"/>
    </row>
    <row r="220" spans="1:8" s="551" customFormat="1" ht="22.5" x14ac:dyDescent="0.2">
      <c r="A220" s="666" t="s">
        <v>249</v>
      </c>
      <c r="B220" s="667" t="s">
        <v>250</v>
      </c>
      <c r="C220" s="660" t="s">
        <v>251</v>
      </c>
      <c r="D220" s="664" t="s">
        <v>697</v>
      </c>
      <c r="E220" s="665">
        <v>1</v>
      </c>
      <c r="F220" s="621"/>
      <c r="G220" s="621"/>
      <c r="H220" s="555"/>
    </row>
    <row r="221" spans="1:8" s="551" customFormat="1" ht="22.5" x14ac:dyDescent="0.2">
      <c r="A221" s="666" t="s">
        <v>252</v>
      </c>
      <c r="B221" s="667" t="s">
        <v>253</v>
      </c>
      <c r="C221" s="660" t="s">
        <v>254</v>
      </c>
      <c r="D221" s="664" t="s">
        <v>697</v>
      </c>
      <c r="E221" s="665">
        <v>2</v>
      </c>
      <c r="F221" s="621"/>
      <c r="G221" s="621"/>
      <c r="H221" s="555"/>
    </row>
    <row r="222" spans="1:8" s="551" customFormat="1" ht="22.5" x14ac:dyDescent="0.2">
      <c r="A222" s="666" t="s">
        <v>255</v>
      </c>
      <c r="B222" s="667" t="s">
        <v>256</v>
      </c>
      <c r="C222" s="660" t="s">
        <v>257</v>
      </c>
      <c r="D222" s="664" t="s">
        <v>697</v>
      </c>
      <c r="E222" s="665">
        <v>4</v>
      </c>
      <c r="F222" s="621"/>
      <c r="G222" s="621"/>
      <c r="H222" s="555"/>
    </row>
    <row r="223" spans="1:8" s="551" customFormat="1" ht="22.5" x14ac:dyDescent="0.2">
      <c r="A223" s="666" t="s">
        <v>258</v>
      </c>
      <c r="B223" s="667" t="s">
        <v>259</v>
      </c>
      <c r="C223" s="660" t="s">
        <v>260</v>
      </c>
      <c r="D223" s="664" t="s">
        <v>697</v>
      </c>
      <c r="E223" s="665">
        <v>2</v>
      </c>
      <c r="F223" s="621"/>
      <c r="G223" s="621"/>
      <c r="H223" s="555"/>
    </row>
    <row r="224" spans="1:8" s="551" customFormat="1" ht="22.5" x14ac:dyDescent="0.2">
      <c r="A224" s="666" t="s">
        <v>261</v>
      </c>
      <c r="B224" s="667" t="s">
        <v>262</v>
      </c>
      <c r="C224" s="660" t="s">
        <v>263</v>
      </c>
      <c r="D224" s="664" t="s">
        <v>697</v>
      </c>
      <c r="E224" s="665">
        <v>1</v>
      </c>
      <c r="F224" s="621"/>
      <c r="G224" s="621"/>
      <c r="H224" s="555"/>
    </row>
    <row r="225" spans="1:8" s="551" customFormat="1" ht="22.5" x14ac:dyDescent="0.2">
      <c r="A225" s="666" t="s">
        <v>264</v>
      </c>
      <c r="B225" s="667" t="s">
        <v>265</v>
      </c>
      <c r="C225" s="660" t="s">
        <v>266</v>
      </c>
      <c r="D225" s="664" t="s">
        <v>697</v>
      </c>
      <c r="E225" s="665">
        <v>2</v>
      </c>
      <c r="F225" s="621"/>
      <c r="G225" s="621"/>
      <c r="H225" s="555"/>
    </row>
    <row r="226" spans="1:8" s="551" customFormat="1" ht="22.5" x14ac:dyDescent="0.2">
      <c r="A226" s="666" t="s">
        <v>267</v>
      </c>
      <c r="B226" s="667" t="s">
        <v>268</v>
      </c>
      <c r="C226" s="660" t="s">
        <v>269</v>
      </c>
      <c r="D226" s="664" t="s">
        <v>688</v>
      </c>
      <c r="E226" s="665">
        <v>1.5</v>
      </c>
      <c r="F226" s="621"/>
      <c r="G226" s="621"/>
      <c r="H226" s="555"/>
    </row>
    <row r="227" spans="1:8" s="551" customFormat="1" ht="22.5" x14ac:dyDescent="0.2">
      <c r="A227" s="666" t="s">
        <v>270</v>
      </c>
      <c r="B227" s="667" t="s">
        <v>271</v>
      </c>
      <c r="C227" s="660" t="s">
        <v>272</v>
      </c>
      <c r="D227" s="664" t="s">
        <v>697</v>
      </c>
      <c r="E227" s="665">
        <v>1</v>
      </c>
      <c r="F227" s="621"/>
      <c r="G227" s="621"/>
      <c r="H227" s="555"/>
    </row>
    <row r="228" spans="1:8" s="551" customFormat="1" ht="22.5" x14ac:dyDescent="0.2">
      <c r="A228" s="666" t="s">
        <v>273</v>
      </c>
      <c r="B228" s="667" t="s">
        <v>274</v>
      </c>
      <c r="C228" s="660" t="s">
        <v>275</v>
      </c>
      <c r="D228" s="664" t="s">
        <v>688</v>
      </c>
      <c r="E228" s="665">
        <v>3</v>
      </c>
      <c r="F228" s="621"/>
      <c r="G228" s="621"/>
      <c r="H228" s="555"/>
    </row>
    <row r="229" spans="1:8" s="551" customFormat="1" ht="22.5" x14ac:dyDescent="0.2">
      <c r="A229" s="666" t="s">
        <v>276</v>
      </c>
      <c r="B229" s="667" t="s">
        <v>277</v>
      </c>
      <c r="C229" s="660" t="s">
        <v>278</v>
      </c>
      <c r="D229" s="664" t="s">
        <v>697</v>
      </c>
      <c r="E229" s="665">
        <v>1</v>
      </c>
      <c r="F229" s="621"/>
      <c r="G229" s="621"/>
      <c r="H229" s="555"/>
    </row>
    <row r="230" spans="1:8" s="551" customFormat="1" ht="23.25" thickBot="1" x14ac:dyDescent="0.25">
      <c r="A230" s="706" t="s">
        <v>279</v>
      </c>
      <c r="B230" s="692" t="s">
        <v>280</v>
      </c>
      <c r="C230" s="683" t="s">
        <v>281</v>
      </c>
      <c r="D230" s="684" t="s">
        <v>697</v>
      </c>
      <c r="E230" s="685">
        <v>1</v>
      </c>
      <c r="F230" s="624"/>
      <c r="G230" s="624"/>
      <c r="H230" s="555"/>
    </row>
    <row r="231" spans="1:8" s="551" customFormat="1" ht="20.100000000000001" customHeight="1" thickBot="1" x14ac:dyDescent="0.25">
      <c r="A231" s="686"/>
      <c r="B231" s="687"/>
      <c r="C231" s="751" t="s">
        <v>282</v>
      </c>
      <c r="D231" s="751"/>
      <c r="E231" s="751"/>
      <c r="F231" s="751"/>
      <c r="G231" s="625"/>
      <c r="H231" s="555"/>
    </row>
    <row r="232" spans="1:8" s="551" customFormat="1" ht="12" customHeight="1" x14ac:dyDescent="0.2">
      <c r="A232" s="709"/>
      <c r="B232" s="710"/>
      <c r="C232" s="734"/>
      <c r="D232" s="734"/>
      <c r="E232" s="735"/>
      <c r="F232" s="736"/>
      <c r="G232" s="640"/>
      <c r="H232" s="555"/>
    </row>
    <row r="233" spans="1:8" s="551" customFormat="1" ht="15" customHeight="1" x14ac:dyDescent="0.2">
      <c r="A233" s="754" t="s">
        <v>283</v>
      </c>
      <c r="B233" s="755"/>
      <c r="C233" s="755"/>
      <c r="D233" s="664"/>
      <c r="E233" s="660"/>
      <c r="F233" s="747"/>
      <c r="G233" s="621"/>
      <c r="H233" s="555"/>
    </row>
    <row r="234" spans="1:8" s="551" customFormat="1" x14ac:dyDescent="0.2">
      <c r="A234" s="657" t="s">
        <v>284</v>
      </c>
      <c r="B234" s="658"/>
      <c r="C234" s="659" t="s">
        <v>11</v>
      </c>
      <c r="D234" s="664"/>
      <c r="E234" s="660"/>
      <c r="F234" s="747"/>
      <c r="G234" s="621"/>
      <c r="H234" s="555"/>
    </row>
    <row r="235" spans="1:8" s="551" customFormat="1" ht="33.75" x14ac:dyDescent="0.2">
      <c r="A235" s="666" t="s">
        <v>323</v>
      </c>
      <c r="B235" s="696" t="s">
        <v>136</v>
      </c>
      <c r="C235" s="660" t="s">
        <v>3192</v>
      </c>
      <c r="D235" s="664" t="s">
        <v>688</v>
      </c>
      <c r="E235" s="665">
        <v>60</v>
      </c>
      <c r="F235" s="621"/>
      <c r="G235" s="621"/>
      <c r="H235" s="555"/>
    </row>
    <row r="236" spans="1:8" s="551" customFormat="1" ht="33.75" x14ac:dyDescent="0.2">
      <c r="A236" s="666" t="s">
        <v>329</v>
      </c>
      <c r="B236" s="696" t="s">
        <v>139</v>
      </c>
      <c r="C236" s="660" t="s">
        <v>3193</v>
      </c>
      <c r="D236" s="664" t="s">
        <v>688</v>
      </c>
      <c r="E236" s="665">
        <v>155</v>
      </c>
      <c r="F236" s="621"/>
      <c r="G236" s="621"/>
      <c r="H236" s="555"/>
    </row>
    <row r="237" spans="1:8" s="551" customFormat="1" ht="22.5" x14ac:dyDescent="0.2">
      <c r="A237" s="666" t="s">
        <v>334</v>
      </c>
      <c r="B237" s="696" t="s">
        <v>335</v>
      </c>
      <c r="C237" s="660" t="s">
        <v>336</v>
      </c>
      <c r="D237" s="664" t="s">
        <v>697</v>
      </c>
      <c r="E237" s="665">
        <v>2</v>
      </c>
      <c r="F237" s="621"/>
      <c r="G237" s="621"/>
      <c r="H237" s="555"/>
    </row>
    <row r="238" spans="1:8" s="551" customFormat="1" ht="22.5" x14ac:dyDescent="0.2">
      <c r="A238" s="666" t="s">
        <v>337</v>
      </c>
      <c r="B238" s="696" t="s">
        <v>338</v>
      </c>
      <c r="C238" s="660" t="s">
        <v>3196</v>
      </c>
      <c r="D238" s="664" t="s">
        <v>697</v>
      </c>
      <c r="E238" s="665">
        <v>1</v>
      </c>
      <c r="F238" s="621"/>
      <c r="G238" s="621"/>
      <c r="H238" s="555"/>
    </row>
    <row r="239" spans="1:8" s="551" customFormat="1" ht="45.75" thickBot="1" x14ac:dyDescent="0.25">
      <c r="A239" s="706" t="s">
        <v>339</v>
      </c>
      <c r="B239" s="737" t="s">
        <v>340</v>
      </c>
      <c r="C239" s="683" t="s">
        <v>341</v>
      </c>
      <c r="D239" s="684" t="s">
        <v>697</v>
      </c>
      <c r="E239" s="685">
        <v>1</v>
      </c>
      <c r="F239" s="624"/>
      <c r="G239" s="624"/>
      <c r="H239" s="555"/>
    </row>
    <row r="240" spans="1:8" s="551" customFormat="1" ht="20.100000000000001" customHeight="1" thickBot="1" x14ac:dyDescent="0.25">
      <c r="A240" s="686"/>
      <c r="B240" s="687"/>
      <c r="C240" s="751" t="s">
        <v>370</v>
      </c>
      <c r="D240" s="751"/>
      <c r="E240" s="751"/>
      <c r="F240" s="751"/>
      <c r="G240" s="625"/>
      <c r="H240" s="555"/>
    </row>
    <row r="241" spans="1:10" s="551" customFormat="1" ht="12" customHeight="1" x14ac:dyDescent="0.2">
      <c r="A241" s="738"/>
      <c r="B241" s="739"/>
      <c r="C241" s="733"/>
      <c r="D241" s="733"/>
      <c r="E241" s="733"/>
      <c r="F241" s="733"/>
      <c r="G241" s="639"/>
      <c r="H241" s="555"/>
    </row>
    <row r="242" spans="1:10" s="551" customFormat="1" ht="15" customHeight="1" x14ac:dyDescent="0.2">
      <c r="A242" s="754" t="s">
        <v>395</v>
      </c>
      <c r="B242" s="755"/>
      <c r="C242" s="755"/>
      <c r="D242" s="726"/>
      <c r="E242" s="665"/>
      <c r="F242" s="747"/>
      <c r="G242" s="637"/>
      <c r="H242" s="555"/>
    </row>
    <row r="243" spans="1:10" s="551" customFormat="1" x14ac:dyDescent="0.2">
      <c r="A243" s="727" t="s">
        <v>396</v>
      </c>
      <c r="B243" s="740"/>
      <c r="C243" s="659" t="s">
        <v>397</v>
      </c>
      <c r="D243" s="664"/>
      <c r="E243" s="665"/>
      <c r="F243" s="747"/>
      <c r="G243" s="637"/>
      <c r="H243" s="555"/>
    </row>
    <row r="244" spans="1:10" s="551" customFormat="1" ht="34.5" thickBot="1" x14ac:dyDescent="0.25">
      <c r="A244" s="706" t="s">
        <v>398</v>
      </c>
      <c r="B244" s="682" t="s">
        <v>144</v>
      </c>
      <c r="C244" s="683" t="s">
        <v>3195</v>
      </c>
      <c r="D244" s="684" t="s">
        <v>688</v>
      </c>
      <c r="E244" s="685">
        <v>484.59</v>
      </c>
      <c r="F244" s="624"/>
      <c r="G244" s="638"/>
      <c r="H244" s="555"/>
    </row>
    <row r="245" spans="1:10" s="551" customFormat="1" ht="20.100000000000001" customHeight="1" thickBot="1" x14ac:dyDescent="0.25">
      <c r="A245" s="686"/>
      <c r="B245" s="687"/>
      <c r="C245" s="751" t="s">
        <v>399</v>
      </c>
      <c r="D245" s="751"/>
      <c r="E245" s="751"/>
      <c r="F245" s="751"/>
      <c r="G245" s="630"/>
      <c r="H245" s="555"/>
    </row>
    <row r="246" spans="1:10" s="551" customFormat="1" ht="12" customHeight="1" thickBot="1" x14ac:dyDescent="0.25">
      <c r="A246" s="909"/>
      <c r="B246" s="910"/>
      <c r="C246" s="911"/>
      <c r="D246" s="911"/>
      <c r="E246" s="912"/>
      <c r="F246" s="913"/>
      <c r="G246" s="641"/>
      <c r="H246" s="555"/>
    </row>
    <row r="247" spans="1:10" s="551" customFormat="1" ht="13.5" thickTop="1" x14ac:dyDescent="0.2">
      <c r="A247" s="780" t="s">
        <v>3231</v>
      </c>
      <c r="B247" s="781"/>
      <c r="C247" s="781"/>
      <c r="D247" s="781"/>
      <c r="E247" s="781"/>
      <c r="F247" s="781"/>
      <c r="G247" s="642"/>
      <c r="H247" s="555"/>
    </row>
    <row r="248" spans="1:10" s="551" customFormat="1" ht="15" customHeight="1" x14ac:dyDescent="0.2">
      <c r="A248" s="782" t="s">
        <v>3232</v>
      </c>
      <c r="B248" s="783"/>
      <c r="C248" s="783"/>
      <c r="D248" s="783"/>
      <c r="E248" s="783"/>
      <c r="F248" s="783"/>
      <c r="G248" s="643"/>
      <c r="H248" s="555"/>
    </row>
    <row r="249" spans="1:10" s="551" customFormat="1" ht="13.5" thickBot="1" x14ac:dyDescent="0.25">
      <c r="A249" s="784" t="s">
        <v>3231</v>
      </c>
      <c r="B249" s="785"/>
      <c r="C249" s="785"/>
      <c r="D249" s="785"/>
      <c r="E249" s="785"/>
      <c r="F249" s="785"/>
      <c r="G249" s="644"/>
      <c r="H249" s="555"/>
    </row>
    <row r="250" spans="1:10" s="551" customFormat="1" ht="14.25" thickTop="1" thickBot="1" x14ac:dyDescent="0.25">
      <c r="A250" s="741"/>
      <c r="B250" s="742"/>
      <c r="C250" s="714"/>
      <c r="D250" s="714"/>
      <c r="E250" s="715"/>
      <c r="F250" s="716"/>
      <c r="G250" s="645"/>
      <c r="H250" s="555"/>
    </row>
    <row r="251" spans="1:10" s="551" customFormat="1" ht="14.25" thickTop="1" thickBot="1" x14ac:dyDescent="0.25">
      <c r="A251" s="786" t="s">
        <v>3233</v>
      </c>
      <c r="B251" s="787"/>
      <c r="C251" s="787"/>
      <c r="D251" s="787"/>
      <c r="E251" s="787"/>
      <c r="F251" s="787"/>
      <c r="G251" s="646"/>
      <c r="H251" s="557"/>
      <c r="I251" s="558"/>
      <c r="J251" s="558"/>
    </row>
    <row r="252" spans="1:10" s="551" customFormat="1" ht="13.5" thickTop="1" x14ac:dyDescent="0.2">
      <c r="A252" s="900"/>
      <c r="B252" s="900"/>
      <c r="C252" s="904"/>
      <c r="D252" s="904"/>
      <c r="E252" s="905"/>
      <c r="F252" s="906"/>
      <c r="G252" s="904"/>
      <c r="H252" s="557"/>
      <c r="I252" s="558"/>
      <c r="J252" s="558"/>
    </row>
    <row r="253" spans="1:10" s="556" customFormat="1" x14ac:dyDescent="0.2">
      <c r="A253" s="900"/>
      <c r="B253" s="900"/>
      <c r="C253" s="907"/>
      <c r="D253" s="908"/>
      <c r="E253" s="902"/>
      <c r="F253" s="903"/>
      <c r="G253" s="634"/>
      <c r="I253" s="553"/>
      <c r="J253" s="553"/>
    </row>
    <row r="254" spans="1:10" s="556" customFormat="1" x14ac:dyDescent="0.2">
      <c r="A254" s="553"/>
      <c r="B254" s="553"/>
      <c r="C254" s="613"/>
      <c r="D254" s="615"/>
      <c r="E254" s="615"/>
      <c r="F254" s="616"/>
      <c r="G254" s="615"/>
      <c r="I254" s="553"/>
      <c r="J254" s="553"/>
    </row>
    <row r="256" spans="1:10" s="556" customFormat="1" x14ac:dyDescent="0.2">
      <c r="A256" s="553"/>
      <c r="B256" s="553"/>
      <c r="C256" s="613"/>
      <c r="D256" s="615"/>
      <c r="E256" s="615"/>
      <c r="F256" s="616"/>
      <c r="G256" s="617"/>
      <c r="I256" s="553"/>
      <c r="J256" s="553"/>
    </row>
    <row r="257" spans="1:10" s="556" customFormat="1" x14ac:dyDescent="0.2">
      <c r="A257" s="553"/>
      <c r="B257" s="553"/>
      <c r="C257" s="613"/>
      <c r="D257" s="615"/>
      <c r="E257" s="615"/>
      <c r="F257" s="616"/>
      <c r="G257" s="615"/>
      <c r="I257" s="553"/>
      <c r="J257" s="553"/>
    </row>
    <row r="259" spans="1:10" s="556" customFormat="1" ht="15.75" x14ac:dyDescent="0.2">
      <c r="A259" s="553"/>
      <c r="B259" s="553"/>
      <c r="C259" s="614"/>
      <c r="D259" s="614"/>
      <c r="E259" s="614"/>
      <c r="F259" s="618"/>
      <c r="G259" s="615"/>
      <c r="I259" s="553"/>
      <c r="J259" s="553"/>
    </row>
    <row r="260" spans="1:10" s="556" customFormat="1" ht="15.75" x14ac:dyDescent="0.2">
      <c r="A260" s="553"/>
      <c r="B260" s="553"/>
      <c r="C260" s="776"/>
      <c r="D260" s="776"/>
      <c r="E260" s="776"/>
      <c r="F260" s="776"/>
      <c r="G260" s="615"/>
      <c r="I260" s="553"/>
      <c r="J260" s="553"/>
    </row>
    <row r="261" spans="1:10" s="556" customFormat="1" ht="15.75" x14ac:dyDescent="0.2">
      <c r="A261" s="553"/>
      <c r="B261" s="553"/>
      <c r="C261" s="776"/>
      <c r="D261" s="776"/>
      <c r="E261" s="776"/>
      <c r="F261" s="776"/>
      <c r="G261" s="615"/>
      <c r="I261" s="553"/>
      <c r="J261" s="553"/>
    </row>
  </sheetData>
  <sheetProtection algorithmName="SHA-512" hashValue="K0H70NU1hnIXRqSEHW00ZOVucq+RvODtV6Ia0NW1npyM7Vaeh5S1gCpEIGTk+hp2Og8TxFWQPvz7Dd7YQ7tztw==" saltValue="6C2U4RQMEN81W3sxL70l1Q==" spinCount="100000" sheet="1" objects="1" scenarios="1"/>
  <mergeCells count="45">
    <mergeCell ref="C261:F261"/>
    <mergeCell ref="A197:A198"/>
    <mergeCell ref="B197:B198"/>
    <mergeCell ref="C197:C198"/>
    <mergeCell ref="D197:D198"/>
    <mergeCell ref="F197:F198"/>
    <mergeCell ref="A212:C212"/>
    <mergeCell ref="C245:F245"/>
    <mergeCell ref="A200:C200"/>
    <mergeCell ref="C260:F260"/>
    <mergeCell ref="A247:F247"/>
    <mergeCell ref="A248:F248"/>
    <mergeCell ref="A249:F249"/>
    <mergeCell ref="A251:F251"/>
    <mergeCell ref="A233:C233"/>
    <mergeCell ref="C210:F210"/>
    <mergeCell ref="A1:G1"/>
    <mergeCell ref="A3:G3"/>
    <mergeCell ref="G5:G6"/>
    <mergeCell ref="F5:F6"/>
    <mergeCell ref="A8:C8"/>
    <mergeCell ref="A5:A6"/>
    <mergeCell ref="B5:B6"/>
    <mergeCell ref="C5:C6"/>
    <mergeCell ref="D5:D6"/>
    <mergeCell ref="A242:C242"/>
    <mergeCell ref="A189:F189"/>
    <mergeCell ref="A192:F192"/>
    <mergeCell ref="G197:G198"/>
    <mergeCell ref="C186:F186"/>
    <mergeCell ref="C231:F231"/>
    <mergeCell ref="C240:F240"/>
    <mergeCell ref="A193:F193"/>
    <mergeCell ref="A190:F190"/>
    <mergeCell ref="A191:F191"/>
    <mergeCell ref="A195:G195"/>
    <mergeCell ref="C66:F66"/>
    <mergeCell ref="E5:E6"/>
    <mergeCell ref="E197:E198"/>
    <mergeCell ref="C159:F159"/>
    <mergeCell ref="C113:F113"/>
    <mergeCell ref="A161:C161"/>
    <mergeCell ref="A188:F188"/>
    <mergeCell ref="A68:C68"/>
    <mergeCell ref="A115:C115"/>
  </mergeCells>
  <printOptions horizontalCentered="1"/>
  <pageMargins left="0.51181102362204722" right="0.51181102362204722" top="0.74803149606299213" bottom="0.59055118110236227" header="0.31496062992125984" footer="0.31496062992125984"/>
  <pageSetup scale="70" orientation="portrait" r:id="rId1"/>
  <headerFooter>
    <oddFooter>&amp;R&amp;P de &amp;N</oddFooter>
  </headerFooter>
  <rowBreaks count="7" manualBreakCount="7">
    <brk id="44" max="9" man="1"/>
    <brk id="82" max="9" man="1"/>
    <brk id="114" max="9" man="1"/>
    <brk id="160" max="9" man="1"/>
    <brk id="194" max="11" man="1"/>
    <brk id="232" max="9" man="1"/>
    <brk id="26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topLeftCell="A7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s="22" customFormat="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s="22" customFormat="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s="22" customFormat="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s="22" customFormat="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s="22" customFormat="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s="22" customFormat="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3098</v>
      </c>
      <c r="D12" s="36" t="s">
        <v>3152</v>
      </c>
      <c r="E12" s="876" t="s">
        <v>3153</v>
      </c>
      <c r="F12" s="877"/>
      <c r="G12" s="878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3100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601"/>
      <c r="K15" s="598"/>
    </row>
    <row r="16" spans="2:11" x14ac:dyDescent="0.25">
      <c r="B16" s="600"/>
      <c r="C16" s="866" t="s">
        <v>3107</v>
      </c>
      <c r="D16" s="867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66" t="s">
        <v>3108</v>
      </c>
      <c r="D17" s="867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3109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3110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601"/>
    </row>
    <row r="22" spans="2:10" x14ac:dyDescent="0.25">
      <c r="B22" s="56"/>
      <c r="C22" s="872" t="s">
        <v>3114</v>
      </c>
      <c r="D22" s="873"/>
      <c r="E22" s="874"/>
      <c r="F22" s="57" t="s">
        <v>321</v>
      </c>
      <c r="G22" s="508">
        <f>'1'!G24</f>
        <v>440</v>
      </c>
      <c r="H22" s="57">
        <v>300</v>
      </c>
      <c r="I22" s="48">
        <f t="shared" ref="I22:I25" si="0">+H22*G22</f>
        <v>132000</v>
      </c>
      <c r="J22" s="601"/>
    </row>
    <row r="23" spans="2:10" x14ac:dyDescent="0.25">
      <c r="B23" s="56"/>
      <c r="C23" s="872" t="s">
        <v>3115</v>
      </c>
      <c r="D23" s="873"/>
      <c r="E23" s="874"/>
      <c r="F23" s="57" t="s">
        <v>22</v>
      </c>
      <c r="G23" s="508">
        <f>'1'!G25</f>
        <v>21000</v>
      </c>
      <c r="H23" s="57">
        <v>0.76</v>
      </c>
      <c r="I23" s="48">
        <f t="shared" si="0"/>
        <v>15960</v>
      </c>
      <c r="J23" s="601"/>
    </row>
    <row r="24" spans="2:10" x14ac:dyDescent="0.25">
      <c r="B24" s="56"/>
      <c r="C24" s="872" t="s">
        <v>3150</v>
      </c>
      <c r="D24" s="873"/>
      <c r="E24" s="874"/>
      <c r="F24" s="57" t="s">
        <v>22</v>
      </c>
      <c r="G24" s="508">
        <f>'3'!G24</f>
        <v>67000</v>
      </c>
      <c r="H24" s="57">
        <v>0.76</v>
      </c>
      <c r="I24" s="48">
        <f t="shared" si="0"/>
        <v>50920</v>
      </c>
      <c r="J24" s="601"/>
    </row>
    <row r="25" spans="2:10" x14ac:dyDescent="0.25">
      <c r="B25" s="56"/>
      <c r="C25" s="872" t="s">
        <v>3116</v>
      </c>
      <c r="D25" s="873"/>
      <c r="E25" s="874"/>
      <c r="F25" s="57" t="s">
        <v>3117</v>
      </c>
      <c r="G25" s="508">
        <v>15</v>
      </c>
      <c r="H25" s="57">
        <v>305</v>
      </c>
      <c r="I25" s="48">
        <f t="shared" si="0"/>
        <v>4575</v>
      </c>
      <c r="J25" s="601"/>
    </row>
    <row r="26" spans="2:10" x14ac:dyDescent="0.25">
      <c r="B26" s="56"/>
      <c r="C26" s="872"/>
      <c r="D26" s="873"/>
      <c r="E26" s="874"/>
      <c r="F26" s="57"/>
      <c r="G26" s="58"/>
      <c r="H26" s="57"/>
      <c r="I26" s="59"/>
      <c r="J26" s="601"/>
    </row>
    <row r="27" spans="2:10" ht="15.75" thickBot="1" x14ac:dyDescent="0.3">
      <c r="B27" s="600"/>
      <c r="C27" s="861" t="s">
        <v>3119</v>
      </c>
      <c r="D27" s="862"/>
      <c r="E27" s="863"/>
      <c r="F27" s="60"/>
      <c r="G27" s="61"/>
      <c r="H27" s="62"/>
      <c r="I27" s="63">
        <f>SUM(I22:I25)*0.05</f>
        <v>10172.75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3109</v>
      </c>
      <c r="I28" s="53">
        <f>ROUND(SUM(I22:I27),0)</f>
        <v>213628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3120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58" t="s">
        <v>3121</v>
      </c>
      <c r="D32" s="860"/>
      <c r="E32" s="596" t="s">
        <v>3122</v>
      </c>
      <c r="F32" s="596" t="s">
        <v>3123</v>
      </c>
      <c r="G32" s="596" t="s">
        <v>3124</v>
      </c>
      <c r="H32" s="596" t="s">
        <v>3125</v>
      </c>
      <c r="I32" s="43" t="s">
        <v>3106</v>
      </c>
      <c r="J32" s="601"/>
    </row>
    <row r="33" spans="2:13" x14ac:dyDescent="0.25">
      <c r="B33" s="600"/>
      <c r="C33" s="849"/>
      <c r="D33" s="851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64"/>
      <c r="D34" s="865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3109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3126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58" t="s">
        <v>3127</v>
      </c>
      <c r="D38" s="860"/>
      <c r="E38" s="596" t="s">
        <v>3128</v>
      </c>
      <c r="F38" s="596" t="s">
        <v>3129</v>
      </c>
      <c r="G38" s="72" t="s">
        <v>3130</v>
      </c>
      <c r="H38" s="596" t="s">
        <v>3125</v>
      </c>
      <c r="I38" s="43" t="s">
        <v>3106</v>
      </c>
      <c r="J38" s="601"/>
      <c r="K38" s="598"/>
      <c r="L38" s="598"/>
      <c r="M38" s="598"/>
    </row>
    <row r="39" spans="2:13" x14ac:dyDescent="0.25">
      <c r="B39" s="600"/>
      <c r="C39" s="866"/>
      <c r="D39" s="867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66" t="s">
        <v>3151</v>
      </c>
      <c r="D40" s="867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0.32</v>
      </c>
      <c r="I40" s="48">
        <f>+H40*G40</f>
        <v>23834.977820160002</v>
      </c>
      <c r="J40" s="601"/>
      <c r="K40" s="598"/>
      <c r="L40" s="598"/>
      <c r="M40" s="598"/>
    </row>
    <row r="41" spans="2:13" x14ac:dyDescent="0.25">
      <c r="B41" s="56"/>
      <c r="C41" s="866" t="s">
        <v>3147</v>
      </c>
      <c r="D41" s="867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0.35</v>
      </c>
      <c r="I41" s="48">
        <f>+H41*G41</f>
        <v>26069.5069908</v>
      </c>
      <c r="J41" s="601"/>
      <c r="K41" s="598"/>
      <c r="L41" s="598"/>
      <c r="M41" s="598"/>
    </row>
    <row r="42" spans="2:13" x14ac:dyDescent="0.25">
      <c r="B42" s="56"/>
      <c r="C42" s="866" t="s">
        <v>3132</v>
      </c>
      <c r="D42" s="867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68"/>
      <c r="D43" s="869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3109</v>
      </c>
      <c r="I44" s="80">
        <f>(SUM(I39:I43))</f>
        <v>64801.345948560003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70" t="s">
        <v>3133</v>
      </c>
      <c r="H46" s="871"/>
      <c r="I46" s="83">
        <f>ROUND(+I18+I28+I35+I44,0)</f>
        <v>290829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3134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58" t="s">
        <v>3135</v>
      </c>
      <c r="D49" s="859"/>
      <c r="E49" s="859"/>
      <c r="F49" s="859"/>
      <c r="G49" s="860"/>
      <c r="H49" s="596" t="s">
        <v>3136</v>
      </c>
      <c r="I49" s="43" t="s">
        <v>3137</v>
      </c>
      <c r="J49" s="601"/>
    </row>
    <row r="50" spans="2:10" x14ac:dyDescent="0.25">
      <c r="B50" s="600"/>
      <c r="C50" s="849" t="s">
        <v>3138</v>
      </c>
      <c r="D50" s="850"/>
      <c r="E50" s="850"/>
      <c r="F50" s="850"/>
      <c r="G50" s="851"/>
      <c r="H50" s="84">
        <v>0.2</v>
      </c>
      <c r="I50" s="85">
        <f>H50*I46</f>
        <v>58165.8</v>
      </c>
      <c r="J50" s="601"/>
    </row>
    <row r="51" spans="2:10" x14ac:dyDescent="0.25">
      <c r="B51" s="600"/>
      <c r="C51" s="849" t="s">
        <v>3139</v>
      </c>
      <c r="D51" s="850"/>
      <c r="E51" s="850"/>
      <c r="F51" s="850"/>
      <c r="G51" s="851"/>
      <c r="H51" s="84">
        <v>0.05</v>
      </c>
      <c r="I51" s="85">
        <f>H51*I46</f>
        <v>14541.45</v>
      </c>
      <c r="J51" s="601"/>
    </row>
    <row r="52" spans="2:10" ht="15.75" thickBot="1" x14ac:dyDescent="0.3">
      <c r="B52" s="600"/>
      <c r="C52" s="852" t="s">
        <v>3140</v>
      </c>
      <c r="D52" s="853"/>
      <c r="E52" s="853"/>
      <c r="F52" s="853"/>
      <c r="G52" s="854"/>
      <c r="H52" s="86">
        <v>0.05</v>
      </c>
      <c r="I52" s="71">
        <f>H52*I46</f>
        <v>14541.45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3109</v>
      </c>
      <c r="I53" s="53">
        <f>ROUND(SUM(I50:I52),0)</f>
        <v>87249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55" t="s">
        <v>3141</v>
      </c>
      <c r="H55" s="856"/>
      <c r="I55" s="89">
        <f>I53+I46</f>
        <v>378078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57" t="s">
        <v>3142</v>
      </c>
      <c r="I56" s="857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3143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s="22" customFormat="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s="22" customFormat="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s="22" customFormat="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s="22" customFormat="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s="22" customFormat="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s="22" customFormat="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3098</v>
      </c>
      <c r="D12" s="36" t="s">
        <v>3154</v>
      </c>
      <c r="E12" s="876" t="s">
        <v>3155</v>
      </c>
      <c r="F12" s="877"/>
      <c r="G12" s="878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3100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601"/>
      <c r="K15" s="598"/>
    </row>
    <row r="16" spans="2:11" x14ac:dyDescent="0.25">
      <c r="B16" s="600"/>
      <c r="C16" s="866" t="s">
        <v>3107</v>
      </c>
      <c r="D16" s="867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66" t="s">
        <v>3108</v>
      </c>
      <c r="D17" s="867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3109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3110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601"/>
    </row>
    <row r="22" spans="2:10" x14ac:dyDescent="0.25">
      <c r="B22" s="56"/>
      <c r="C22" s="872" t="s">
        <v>3114</v>
      </c>
      <c r="D22" s="873"/>
      <c r="E22" s="874"/>
      <c r="F22" s="57" t="s">
        <v>321</v>
      </c>
      <c r="G22" s="508">
        <f>'1'!G24</f>
        <v>440</v>
      </c>
      <c r="H22" s="57">
        <v>441</v>
      </c>
      <c r="I22" s="48">
        <f t="shared" ref="I22:I25" si="0">+H22*G22</f>
        <v>194040</v>
      </c>
      <c r="J22" s="601"/>
    </row>
    <row r="23" spans="2:10" x14ac:dyDescent="0.25">
      <c r="B23" s="56"/>
      <c r="C23" s="872" t="s">
        <v>3115</v>
      </c>
      <c r="D23" s="873"/>
      <c r="E23" s="874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72" t="s">
        <v>3150</v>
      </c>
      <c r="D24" s="873"/>
      <c r="E24" s="874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72" t="s">
        <v>3116</v>
      </c>
      <c r="D25" s="873"/>
      <c r="E25" s="874"/>
      <c r="F25" s="57" t="s">
        <v>3117</v>
      </c>
      <c r="G25" s="50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72"/>
      <c r="D26" s="873"/>
      <c r="E26" s="874"/>
      <c r="F26" s="57"/>
      <c r="G26" s="58"/>
      <c r="H26" s="57"/>
      <c r="I26" s="59"/>
      <c r="J26" s="601"/>
    </row>
    <row r="27" spans="2:10" ht="15.75" thickBot="1" x14ac:dyDescent="0.3">
      <c r="B27" s="600"/>
      <c r="C27" s="861" t="s">
        <v>3119</v>
      </c>
      <c r="D27" s="862"/>
      <c r="E27" s="863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3109</v>
      </c>
      <c r="I28" s="53">
        <f>ROUND(SUM(I22:I27),0)</f>
        <v>280361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3120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58" t="s">
        <v>3121</v>
      </c>
      <c r="D32" s="860"/>
      <c r="E32" s="596" t="s">
        <v>3122</v>
      </c>
      <c r="F32" s="596" t="s">
        <v>3123</v>
      </c>
      <c r="G32" s="596" t="s">
        <v>3124</v>
      </c>
      <c r="H32" s="596" t="s">
        <v>3125</v>
      </c>
      <c r="I32" s="43" t="s">
        <v>3106</v>
      </c>
      <c r="J32" s="601"/>
    </row>
    <row r="33" spans="2:13" x14ac:dyDescent="0.25">
      <c r="B33" s="600"/>
      <c r="C33" s="849"/>
      <c r="D33" s="851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64"/>
      <c r="D34" s="865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3109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3126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58" t="s">
        <v>3127</v>
      </c>
      <c r="D38" s="860"/>
      <c r="E38" s="596" t="s">
        <v>3128</v>
      </c>
      <c r="F38" s="596" t="s">
        <v>3129</v>
      </c>
      <c r="G38" s="72" t="s">
        <v>3130</v>
      </c>
      <c r="H38" s="596" t="s">
        <v>3125</v>
      </c>
      <c r="I38" s="43" t="s">
        <v>3106</v>
      </c>
      <c r="J38" s="601"/>
      <c r="K38" s="598"/>
      <c r="L38" s="598"/>
      <c r="M38" s="598"/>
    </row>
    <row r="39" spans="2:13" x14ac:dyDescent="0.25">
      <c r="B39" s="600"/>
      <c r="C39" s="866"/>
      <c r="D39" s="867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66" t="s">
        <v>3151</v>
      </c>
      <c r="D40" s="867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66" t="s">
        <v>3147</v>
      </c>
      <c r="D41" s="867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66" t="s">
        <v>3132</v>
      </c>
      <c r="D42" s="867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68"/>
      <c r="D43" s="869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3109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70" t="s">
        <v>3133</v>
      </c>
      <c r="H46" s="871"/>
      <c r="I46" s="83">
        <f>ROUND(+I18+I28+I35+I44,0)</f>
        <v>363521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3134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58" t="s">
        <v>3135</v>
      </c>
      <c r="D49" s="859"/>
      <c r="E49" s="859"/>
      <c r="F49" s="859"/>
      <c r="G49" s="860"/>
      <c r="H49" s="596" t="s">
        <v>3136</v>
      </c>
      <c r="I49" s="43" t="s">
        <v>3137</v>
      </c>
      <c r="J49" s="601"/>
    </row>
    <row r="50" spans="2:10" x14ac:dyDescent="0.25">
      <c r="B50" s="600"/>
      <c r="C50" s="849" t="s">
        <v>3138</v>
      </c>
      <c r="D50" s="850"/>
      <c r="E50" s="850"/>
      <c r="F50" s="850"/>
      <c r="G50" s="851"/>
      <c r="H50" s="84">
        <v>0.2</v>
      </c>
      <c r="I50" s="85">
        <f>H50*I46</f>
        <v>72704.2</v>
      </c>
      <c r="J50" s="601"/>
    </row>
    <row r="51" spans="2:10" x14ac:dyDescent="0.25">
      <c r="B51" s="600"/>
      <c r="C51" s="849" t="s">
        <v>3139</v>
      </c>
      <c r="D51" s="850"/>
      <c r="E51" s="850"/>
      <c r="F51" s="850"/>
      <c r="G51" s="851"/>
      <c r="H51" s="84">
        <v>0.05</v>
      </c>
      <c r="I51" s="85">
        <f>H51*I46</f>
        <v>18176.05</v>
      </c>
      <c r="J51" s="601"/>
    </row>
    <row r="52" spans="2:10" ht="15.75" thickBot="1" x14ac:dyDescent="0.3">
      <c r="B52" s="600"/>
      <c r="C52" s="852" t="s">
        <v>3140</v>
      </c>
      <c r="D52" s="853"/>
      <c r="E52" s="853"/>
      <c r="F52" s="853"/>
      <c r="G52" s="854"/>
      <c r="H52" s="86">
        <v>0.05</v>
      </c>
      <c r="I52" s="71">
        <f>H52*I46</f>
        <v>18176.05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3109</v>
      </c>
      <c r="I53" s="53">
        <f>ROUND(SUM(I50:I52),0)</f>
        <v>109056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55" t="s">
        <v>3141</v>
      </c>
      <c r="H55" s="856"/>
      <c r="I55" s="89">
        <f>I53+I46</f>
        <v>472577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57" t="s">
        <v>3142</v>
      </c>
      <c r="I56" s="857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3143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s="22" customFormat="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s="22" customFormat="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s="22" customFormat="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s="22" customFormat="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s="22" customFormat="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s="22" customFormat="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3098</v>
      </c>
      <c r="D12" s="36" t="s">
        <v>3156</v>
      </c>
      <c r="E12" s="876" t="s">
        <v>3157</v>
      </c>
      <c r="F12" s="877"/>
      <c r="G12" s="878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3100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601"/>
      <c r="K15" s="598"/>
    </row>
    <row r="16" spans="2:11" x14ac:dyDescent="0.25">
      <c r="B16" s="600"/>
      <c r="C16" s="866" t="s">
        <v>3107</v>
      </c>
      <c r="D16" s="867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66" t="s">
        <v>3108</v>
      </c>
      <c r="D17" s="867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3109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3110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601"/>
    </row>
    <row r="22" spans="2:10" x14ac:dyDescent="0.25">
      <c r="B22" s="56"/>
      <c r="C22" s="872" t="s">
        <v>3114</v>
      </c>
      <c r="D22" s="873"/>
      <c r="E22" s="874"/>
      <c r="F22" s="57" t="s">
        <v>321</v>
      </c>
      <c r="G22" s="508">
        <f>'1'!G24</f>
        <v>440</v>
      </c>
      <c r="H22" s="57">
        <v>441</v>
      </c>
      <c r="I22" s="48">
        <f t="shared" ref="I22:I26" si="0">+H22*G22</f>
        <v>194040</v>
      </c>
      <c r="J22" s="601"/>
    </row>
    <row r="23" spans="2:10" x14ac:dyDescent="0.25">
      <c r="B23" s="56"/>
      <c r="C23" s="872" t="s">
        <v>3115</v>
      </c>
      <c r="D23" s="873"/>
      <c r="E23" s="874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72" t="s">
        <v>3150</v>
      </c>
      <c r="D24" s="873"/>
      <c r="E24" s="874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72" t="s">
        <v>3116</v>
      </c>
      <c r="D25" s="873"/>
      <c r="E25" s="874"/>
      <c r="F25" s="57" t="s">
        <v>3117</v>
      </c>
      <c r="G25" s="50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72" t="s">
        <v>3118</v>
      </c>
      <c r="D26" s="873"/>
      <c r="E26" s="874"/>
      <c r="F26" s="57" t="s">
        <v>321</v>
      </c>
      <c r="G26" s="58">
        <v>7076</v>
      </c>
      <c r="H26" s="57">
        <v>2.2000000000000002</v>
      </c>
      <c r="I26" s="48">
        <f t="shared" si="0"/>
        <v>15567.2</v>
      </c>
      <c r="J26" s="601"/>
    </row>
    <row r="27" spans="2:10" ht="15.75" thickBot="1" x14ac:dyDescent="0.3">
      <c r="B27" s="600"/>
      <c r="C27" s="861" t="s">
        <v>3119</v>
      </c>
      <c r="D27" s="862"/>
      <c r="E27" s="863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3109</v>
      </c>
      <c r="I28" s="53">
        <f>ROUND(SUM(I22:I27),0)</f>
        <v>295928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3120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58" t="s">
        <v>3121</v>
      </c>
      <c r="D32" s="860"/>
      <c r="E32" s="596" t="s">
        <v>3122</v>
      </c>
      <c r="F32" s="596" t="s">
        <v>3123</v>
      </c>
      <c r="G32" s="596" t="s">
        <v>3124</v>
      </c>
      <c r="H32" s="596" t="s">
        <v>3125</v>
      </c>
      <c r="I32" s="43" t="s">
        <v>3106</v>
      </c>
      <c r="J32" s="601"/>
    </row>
    <row r="33" spans="2:13" x14ac:dyDescent="0.25">
      <c r="B33" s="600"/>
      <c r="C33" s="849"/>
      <c r="D33" s="851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64"/>
      <c r="D34" s="865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3109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3126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58" t="s">
        <v>3127</v>
      </c>
      <c r="D38" s="860"/>
      <c r="E38" s="596" t="s">
        <v>3128</v>
      </c>
      <c r="F38" s="596" t="s">
        <v>3129</v>
      </c>
      <c r="G38" s="72" t="s">
        <v>3130</v>
      </c>
      <c r="H38" s="596" t="s">
        <v>3125</v>
      </c>
      <c r="I38" s="43" t="s">
        <v>3106</v>
      </c>
      <c r="J38" s="601"/>
      <c r="K38" s="598"/>
      <c r="L38" s="598"/>
      <c r="M38" s="598"/>
    </row>
    <row r="39" spans="2:13" x14ac:dyDescent="0.25">
      <c r="B39" s="600"/>
      <c r="C39" s="866"/>
      <c r="D39" s="867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66" t="s">
        <v>3151</v>
      </c>
      <c r="D40" s="867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66" t="s">
        <v>3147</v>
      </c>
      <c r="D41" s="867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66" t="s">
        <v>3132</v>
      </c>
      <c r="D42" s="867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68"/>
      <c r="D43" s="869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3109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70" t="s">
        <v>3133</v>
      </c>
      <c r="H46" s="871"/>
      <c r="I46" s="83">
        <f>ROUND(+I18+I28+I35+I44,0)</f>
        <v>379088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3134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58" t="s">
        <v>3135</v>
      </c>
      <c r="D49" s="859"/>
      <c r="E49" s="859"/>
      <c r="F49" s="859"/>
      <c r="G49" s="860"/>
      <c r="H49" s="596" t="s">
        <v>3136</v>
      </c>
      <c r="I49" s="43" t="s">
        <v>3137</v>
      </c>
      <c r="J49" s="601"/>
    </row>
    <row r="50" spans="2:10" x14ac:dyDescent="0.25">
      <c r="B50" s="600"/>
      <c r="C50" s="849" t="s">
        <v>3138</v>
      </c>
      <c r="D50" s="850"/>
      <c r="E50" s="850"/>
      <c r="F50" s="850"/>
      <c r="G50" s="851"/>
      <c r="H50" s="84">
        <v>0.2</v>
      </c>
      <c r="I50" s="85">
        <f>H50*I46</f>
        <v>75817.600000000006</v>
      </c>
      <c r="J50" s="601"/>
    </row>
    <row r="51" spans="2:10" x14ac:dyDescent="0.25">
      <c r="B51" s="600"/>
      <c r="C51" s="849" t="s">
        <v>3139</v>
      </c>
      <c r="D51" s="850"/>
      <c r="E51" s="850"/>
      <c r="F51" s="850"/>
      <c r="G51" s="851"/>
      <c r="H51" s="84">
        <v>0.05</v>
      </c>
      <c r="I51" s="85">
        <f>H51*I46</f>
        <v>18954.400000000001</v>
      </c>
      <c r="J51" s="601"/>
    </row>
    <row r="52" spans="2:10" ht="15.75" thickBot="1" x14ac:dyDescent="0.3">
      <c r="B52" s="600"/>
      <c r="C52" s="852" t="s">
        <v>3140</v>
      </c>
      <c r="D52" s="853"/>
      <c r="E52" s="853"/>
      <c r="F52" s="853"/>
      <c r="G52" s="854"/>
      <c r="H52" s="86">
        <v>0.05</v>
      </c>
      <c r="I52" s="71">
        <f>H52*I46</f>
        <v>18954.400000000001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3109</v>
      </c>
      <c r="I53" s="53">
        <f>ROUND(SUM(I50:I52),0)</f>
        <v>113726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55" t="s">
        <v>3141</v>
      </c>
      <c r="H55" s="856"/>
      <c r="I55" s="89">
        <f>I53+I46</f>
        <v>492814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57" t="s">
        <v>3142</v>
      </c>
      <c r="I56" s="857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3143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8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s="22" customFormat="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s="22" customFormat="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s="22" customFormat="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s="22" customFormat="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s="22" customFormat="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s="22" customFormat="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3098</v>
      </c>
      <c r="D12" s="36" t="s">
        <v>3158</v>
      </c>
      <c r="E12" s="876" t="s">
        <v>3159</v>
      </c>
      <c r="F12" s="877"/>
      <c r="G12" s="878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3100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601"/>
      <c r="K15" s="598"/>
    </row>
    <row r="16" spans="2:11" x14ac:dyDescent="0.25">
      <c r="B16" s="600"/>
      <c r="C16" s="866" t="s">
        <v>3107</v>
      </c>
      <c r="D16" s="867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66" t="s">
        <v>3108</v>
      </c>
      <c r="D17" s="867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3109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3110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601"/>
    </row>
    <row r="22" spans="2:10" x14ac:dyDescent="0.25">
      <c r="B22" s="56"/>
      <c r="C22" s="872" t="s">
        <v>3114</v>
      </c>
      <c r="D22" s="873"/>
      <c r="E22" s="874"/>
      <c r="F22" s="57" t="s">
        <v>321</v>
      </c>
      <c r="G22" s="508">
        <f>'1'!G24</f>
        <v>440</v>
      </c>
      <c r="H22" s="57">
        <v>441</v>
      </c>
      <c r="I22" s="48">
        <f t="shared" ref="I22:I25" si="0">+H22*G22</f>
        <v>194040</v>
      </c>
      <c r="J22" s="601"/>
    </row>
    <row r="23" spans="2:10" x14ac:dyDescent="0.25">
      <c r="B23" s="56"/>
      <c r="C23" s="872" t="s">
        <v>3115</v>
      </c>
      <c r="D23" s="873"/>
      <c r="E23" s="874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72" t="s">
        <v>3150</v>
      </c>
      <c r="D24" s="873"/>
      <c r="E24" s="874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72" t="s">
        <v>3116</v>
      </c>
      <c r="D25" s="873"/>
      <c r="E25" s="874"/>
      <c r="F25" s="57" t="s">
        <v>3117</v>
      </c>
      <c r="G25" s="50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72"/>
      <c r="D26" s="873"/>
      <c r="E26" s="874"/>
      <c r="F26" s="57"/>
      <c r="G26" s="58"/>
      <c r="H26" s="57"/>
      <c r="I26" s="59"/>
      <c r="J26" s="601"/>
    </row>
    <row r="27" spans="2:10" ht="15.75" thickBot="1" x14ac:dyDescent="0.3">
      <c r="B27" s="600"/>
      <c r="C27" s="861" t="s">
        <v>3119</v>
      </c>
      <c r="D27" s="862"/>
      <c r="E27" s="863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3109</v>
      </c>
      <c r="I28" s="53">
        <f>ROUND(SUM(I22:I27),0)</f>
        <v>280361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3120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58" t="s">
        <v>3121</v>
      </c>
      <c r="D32" s="860"/>
      <c r="E32" s="596" t="s">
        <v>3122</v>
      </c>
      <c r="F32" s="596" t="s">
        <v>3123</v>
      </c>
      <c r="G32" s="596" t="s">
        <v>3124</v>
      </c>
      <c r="H32" s="596" t="s">
        <v>3125</v>
      </c>
      <c r="I32" s="43" t="s">
        <v>3106</v>
      </c>
      <c r="J32" s="601"/>
    </row>
    <row r="33" spans="2:13" x14ac:dyDescent="0.25">
      <c r="B33" s="600"/>
      <c r="C33" s="849"/>
      <c r="D33" s="851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64"/>
      <c r="D34" s="865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3109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3126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58" t="s">
        <v>3127</v>
      </c>
      <c r="D38" s="860"/>
      <c r="E38" s="596" t="s">
        <v>3128</v>
      </c>
      <c r="F38" s="596" t="s">
        <v>3129</v>
      </c>
      <c r="G38" s="72" t="s">
        <v>3130</v>
      </c>
      <c r="H38" s="596" t="s">
        <v>3125</v>
      </c>
      <c r="I38" s="43" t="s">
        <v>3106</v>
      </c>
      <c r="J38" s="601"/>
      <c r="K38" s="598"/>
      <c r="L38" s="598"/>
      <c r="M38" s="598"/>
    </row>
    <row r="39" spans="2:13" x14ac:dyDescent="0.25">
      <c r="B39" s="600"/>
      <c r="C39" s="866"/>
      <c r="D39" s="867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66" t="s">
        <v>3151</v>
      </c>
      <c r="D40" s="867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66" t="s">
        <v>3147</v>
      </c>
      <c r="D41" s="867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66" t="s">
        <v>3132</v>
      </c>
      <c r="D42" s="867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68"/>
      <c r="D43" s="869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3109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70" t="s">
        <v>3133</v>
      </c>
      <c r="H46" s="871"/>
      <c r="I46" s="83">
        <f>ROUND(+I18+I28+I35+I44,0)</f>
        <v>363521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3134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58" t="s">
        <v>3135</v>
      </c>
      <c r="D49" s="859"/>
      <c r="E49" s="859"/>
      <c r="F49" s="859"/>
      <c r="G49" s="860"/>
      <c r="H49" s="596" t="s">
        <v>3136</v>
      </c>
      <c r="I49" s="43" t="s">
        <v>3137</v>
      </c>
      <c r="J49" s="601"/>
    </row>
    <row r="50" spans="2:10" x14ac:dyDescent="0.25">
      <c r="B50" s="600"/>
      <c r="C50" s="849" t="s">
        <v>3138</v>
      </c>
      <c r="D50" s="850"/>
      <c r="E50" s="850"/>
      <c r="F50" s="850"/>
      <c r="G50" s="851"/>
      <c r="H50" s="84">
        <v>0.2</v>
      </c>
      <c r="I50" s="85">
        <f>H50*I46</f>
        <v>72704.2</v>
      </c>
      <c r="J50" s="601"/>
    </row>
    <row r="51" spans="2:10" x14ac:dyDescent="0.25">
      <c r="B51" s="600"/>
      <c r="C51" s="849" t="s">
        <v>3139</v>
      </c>
      <c r="D51" s="850"/>
      <c r="E51" s="850"/>
      <c r="F51" s="850"/>
      <c r="G51" s="851"/>
      <c r="H51" s="84">
        <v>0.05</v>
      </c>
      <c r="I51" s="85">
        <f>H51*I46</f>
        <v>18176.05</v>
      </c>
      <c r="J51" s="601"/>
    </row>
    <row r="52" spans="2:10" ht="15.75" thickBot="1" x14ac:dyDescent="0.3">
      <c r="B52" s="600"/>
      <c r="C52" s="852" t="s">
        <v>3140</v>
      </c>
      <c r="D52" s="853"/>
      <c r="E52" s="853"/>
      <c r="F52" s="853"/>
      <c r="G52" s="854"/>
      <c r="H52" s="86">
        <v>0.05</v>
      </c>
      <c r="I52" s="71">
        <f>H52*I46</f>
        <v>18176.05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3109</v>
      </c>
      <c r="I53" s="53">
        <f>ROUND(SUM(I50:I52),0)</f>
        <v>109056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55" t="s">
        <v>3141</v>
      </c>
      <c r="H55" s="856"/>
      <c r="I55" s="89">
        <f>I53+I46</f>
        <v>472577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57" t="s">
        <v>3142</v>
      </c>
      <c r="I56" s="857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3143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8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s="22" customFormat="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s="22" customFormat="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s="22" customFormat="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s="22" customFormat="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s="22" customFormat="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s="22" customFormat="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3098</v>
      </c>
      <c r="D12" s="36" t="s">
        <v>3160</v>
      </c>
      <c r="E12" s="876" t="s">
        <v>3161</v>
      </c>
      <c r="F12" s="877"/>
      <c r="G12" s="878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3100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601"/>
      <c r="K15" s="598"/>
    </row>
    <row r="16" spans="2:11" x14ac:dyDescent="0.25">
      <c r="B16" s="600"/>
      <c r="C16" s="866" t="s">
        <v>3107</v>
      </c>
      <c r="D16" s="867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66" t="s">
        <v>3108</v>
      </c>
      <c r="D17" s="867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3109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3110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601"/>
    </row>
    <row r="22" spans="2:10" x14ac:dyDescent="0.25">
      <c r="B22" s="56"/>
      <c r="C22" s="872" t="s">
        <v>3114</v>
      </c>
      <c r="D22" s="873"/>
      <c r="E22" s="874"/>
      <c r="F22" s="57" t="s">
        <v>321</v>
      </c>
      <c r="G22" s="508">
        <f>'1'!G24</f>
        <v>440</v>
      </c>
      <c r="H22" s="57">
        <v>441</v>
      </c>
      <c r="I22" s="48">
        <f t="shared" ref="I22:I26" si="0">+H22*G22</f>
        <v>194040</v>
      </c>
      <c r="J22" s="601"/>
    </row>
    <row r="23" spans="2:10" x14ac:dyDescent="0.25">
      <c r="B23" s="56"/>
      <c r="C23" s="872" t="s">
        <v>3115</v>
      </c>
      <c r="D23" s="873"/>
      <c r="E23" s="874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72" t="s">
        <v>3150</v>
      </c>
      <c r="D24" s="873"/>
      <c r="E24" s="874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72" t="s">
        <v>3116</v>
      </c>
      <c r="D25" s="873"/>
      <c r="E25" s="874"/>
      <c r="F25" s="57" t="s">
        <v>3117</v>
      </c>
      <c r="G25" s="5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72" t="s">
        <v>3118</v>
      </c>
      <c r="D26" s="873"/>
      <c r="E26" s="874"/>
      <c r="F26" s="57" t="s">
        <v>321</v>
      </c>
      <c r="G26" s="58">
        <v>7076</v>
      </c>
      <c r="H26" s="57">
        <v>2.2000000000000002</v>
      </c>
      <c r="I26" s="48">
        <f t="shared" si="0"/>
        <v>15567.2</v>
      </c>
      <c r="J26" s="601"/>
    </row>
    <row r="27" spans="2:10" ht="15.75" thickBot="1" x14ac:dyDescent="0.3">
      <c r="B27" s="600"/>
      <c r="C27" s="861" t="s">
        <v>3119</v>
      </c>
      <c r="D27" s="862"/>
      <c r="E27" s="863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3109</v>
      </c>
      <c r="I28" s="53">
        <f>ROUND(SUM(I22:I27),0)</f>
        <v>295928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3120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58" t="s">
        <v>3121</v>
      </c>
      <c r="D32" s="860"/>
      <c r="E32" s="596" t="s">
        <v>3122</v>
      </c>
      <c r="F32" s="596" t="s">
        <v>3123</v>
      </c>
      <c r="G32" s="596" t="s">
        <v>3124</v>
      </c>
      <c r="H32" s="596" t="s">
        <v>3125</v>
      </c>
      <c r="I32" s="43" t="s">
        <v>3106</v>
      </c>
      <c r="J32" s="601"/>
    </row>
    <row r="33" spans="2:13" x14ac:dyDescent="0.25">
      <c r="B33" s="600"/>
      <c r="C33" s="849"/>
      <c r="D33" s="851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64"/>
      <c r="D34" s="865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3109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3126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58" t="s">
        <v>3127</v>
      </c>
      <c r="D38" s="860"/>
      <c r="E38" s="596" t="s">
        <v>3128</v>
      </c>
      <c r="F38" s="596" t="s">
        <v>3129</v>
      </c>
      <c r="G38" s="72" t="s">
        <v>3130</v>
      </c>
      <c r="H38" s="596" t="s">
        <v>3125</v>
      </c>
      <c r="I38" s="43" t="s">
        <v>3106</v>
      </c>
      <c r="J38" s="601"/>
      <c r="K38" s="598"/>
      <c r="L38" s="598"/>
      <c r="M38" s="598"/>
    </row>
    <row r="39" spans="2:13" x14ac:dyDescent="0.25">
      <c r="B39" s="600"/>
      <c r="C39" s="866"/>
      <c r="D39" s="867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66" t="s">
        <v>3151</v>
      </c>
      <c r="D40" s="867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66" t="s">
        <v>3147</v>
      </c>
      <c r="D41" s="867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66" t="s">
        <v>3132</v>
      </c>
      <c r="D42" s="867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68"/>
      <c r="D43" s="869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3109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70" t="s">
        <v>3133</v>
      </c>
      <c r="H46" s="871"/>
      <c r="I46" s="83">
        <f>ROUND(+I18+I28+I35+I44,0)</f>
        <v>379088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3134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58" t="s">
        <v>3135</v>
      </c>
      <c r="D49" s="859"/>
      <c r="E49" s="859"/>
      <c r="F49" s="859"/>
      <c r="G49" s="860"/>
      <c r="H49" s="596" t="s">
        <v>3136</v>
      </c>
      <c r="I49" s="43" t="s">
        <v>3137</v>
      </c>
      <c r="J49" s="601"/>
    </row>
    <row r="50" spans="2:10" x14ac:dyDescent="0.25">
      <c r="B50" s="600"/>
      <c r="C50" s="849" t="s">
        <v>3138</v>
      </c>
      <c r="D50" s="850"/>
      <c r="E50" s="850"/>
      <c r="F50" s="850"/>
      <c r="G50" s="851"/>
      <c r="H50" s="84">
        <v>0.2</v>
      </c>
      <c r="I50" s="85">
        <f>H50*I46</f>
        <v>75817.600000000006</v>
      </c>
      <c r="J50" s="601"/>
    </row>
    <row r="51" spans="2:10" x14ac:dyDescent="0.25">
      <c r="B51" s="600"/>
      <c r="C51" s="849" t="s">
        <v>3139</v>
      </c>
      <c r="D51" s="850"/>
      <c r="E51" s="850"/>
      <c r="F51" s="850"/>
      <c r="G51" s="851"/>
      <c r="H51" s="84">
        <v>0.05</v>
      </c>
      <c r="I51" s="85">
        <f>H51*I46</f>
        <v>18954.400000000001</v>
      </c>
      <c r="J51" s="601"/>
    </row>
    <row r="52" spans="2:10" ht="15.75" thickBot="1" x14ac:dyDescent="0.3">
      <c r="B52" s="600"/>
      <c r="C52" s="852" t="s">
        <v>3140</v>
      </c>
      <c r="D52" s="853"/>
      <c r="E52" s="853"/>
      <c r="F52" s="853"/>
      <c r="G52" s="854"/>
      <c r="H52" s="86">
        <v>0.05</v>
      </c>
      <c r="I52" s="71">
        <f>H52*I46</f>
        <v>18954.400000000001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3109</v>
      </c>
      <c r="I53" s="53">
        <f>ROUND(SUM(I50:I52),0)</f>
        <v>113726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55" t="s">
        <v>3141</v>
      </c>
      <c r="H55" s="856"/>
      <c r="I55" s="89">
        <f>I53+I46</f>
        <v>492814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57" t="s">
        <v>3142</v>
      </c>
      <c r="I56" s="857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3143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8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s="22" customFormat="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s="22" customFormat="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s="22" customFormat="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s="22" customFormat="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s="22" customFormat="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s="22" customFormat="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3098</v>
      </c>
      <c r="D12" s="36" t="s">
        <v>3163</v>
      </c>
      <c r="E12" s="876" t="s">
        <v>3164</v>
      </c>
      <c r="F12" s="877"/>
      <c r="G12" s="878"/>
      <c r="H12" s="37" t="s">
        <v>5</v>
      </c>
      <c r="I12" s="38" t="s">
        <v>42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3100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601"/>
      <c r="K15" s="598"/>
    </row>
    <row r="16" spans="2:11" x14ac:dyDescent="0.25">
      <c r="B16" s="600"/>
      <c r="C16" s="866"/>
      <c r="D16" s="867"/>
      <c r="E16" s="44"/>
      <c r="F16" s="45"/>
      <c r="G16" s="46"/>
      <c r="H16" s="47"/>
      <c r="I16" s="48"/>
      <c r="J16" s="601"/>
      <c r="K16" s="602"/>
    </row>
    <row r="17" spans="2:10" ht="15.75" thickBot="1" x14ac:dyDescent="0.3">
      <c r="B17" s="600"/>
      <c r="C17" s="866" t="s">
        <v>3108</v>
      </c>
      <c r="D17" s="867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3109</v>
      </c>
      <c r="I18" s="53">
        <f>(SUM(I16:I17))</f>
        <v>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3110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601"/>
    </row>
    <row r="22" spans="2:10" x14ac:dyDescent="0.25">
      <c r="B22" s="56"/>
      <c r="C22" s="872" t="s">
        <v>3165</v>
      </c>
      <c r="D22" s="873"/>
      <c r="E22" s="874"/>
      <c r="F22" s="57" t="s">
        <v>22</v>
      </c>
      <c r="G22" s="58">
        <f>'2'!I50</f>
        <v>387686</v>
      </c>
      <c r="H22" s="57">
        <v>0.03</v>
      </c>
      <c r="I22" s="48">
        <f t="shared" ref="I22:I23" si="0">+H22*G22</f>
        <v>11630.58</v>
      </c>
      <c r="J22" s="601"/>
    </row>
    <row r="23" spans="2:10" x14ac:dyDescent="0.25">
      <c r="B23" s="56"/>
      <c r="C23" s="872" t="s">
        <v>3166</v>
      </c>
      <c r="D23" s="873"/>
      <c r="E23" s="874"/>
      <c r="F23" s="57" t="s">
        <v>3167</v>
      </c>
      <c r="G23" s="58">
        <v>250</v>
      </c>
      <c r="H23" s="57">
        <v>55</v>
      </c>
      <c r="I23" s="48">
        <f t="shared" si="0"/>
        <v>13750</v>
      </c>
      <c r="J23" s="601"/>
    </row>
    <row r="24" spans="2:10" x14ac:dyDescent="0.25">
      <c r="B24" s="56"/>
      <c r="C24" s="872"/>
      <c r="D24" s="873"/>
      <c r="E24" s="874"/>
      <c r="F24" s="57"/>
      <c r="G24" s="58"/>
      <c r="H24" s="57"/>
      <c r="I24" s="59"/>
      <c r="J24" s="601"/>
    </row>
    <row r="25" spans="2:10" ht="15.75" thickBot="1" x14ac:dyDescent="0.3">
      <c r="B25" s="600"/>
      <c r="C25" s="861" t="s">
        <v>3119</v>
      </c>
      <c r="D25" s="862"/>
      <c r="E25" s="863"/>
      <c r="F25" s="60"/>
      <c r="G25" s="61"/>
      <c r="H25" s="62"/>
      <c r="I25" s="63">
        <f>SUM(I22:I23)*0.05</f>
        <v>1269.0290000000002</v>
      </c>
      <c r="J25" s="601"/>
    </row>
    <row r="26" spans="2:10" ht="16.5" thickTop="1" thickBot="1" x14ac:dyDescent="0.3">
      <c r="B26" s="600"/>
      <c r="C26" s="64"/>
      <c r="D26" s="65"/>
      <c r="E26" s="65"/>
      <c r="F26" s="65"/>
      <c r="G26" s="66"/>
      <c r="H26" s="52" t="s">
        <v>3109</v>
      </c>
      <c r="I26" s="53">
        <f>ROUND(SUM(I22:I25),0)</f>
        <v>26650</v>
      </c>
      <c r="J26" s="601"/>
    </row>
    <row r="27" spans="2:10" ht="15.75" thickTop="1" x14ac:dyDescent="0.25">
      <c r="B27" s="611"/>
      <c r="C27" s="598"/>
      <c r="D27" s="598"/>
      <c r="E27" s="598"/>
      <c r="F27" s="598"/>
      <c r="G27" s="598"/>
      <c r="H27" s="598"/>
      <c r="I27" s="599"/>
      <c r="J27" s="611"/>
    </row>
    <row r="28" spans="2:10" x14ac:dyDescent="0.25">
      <c r="B28" s="600"/>
      <c r="C28" s="64"/>
      <c r="D28" s="65"/>
      <c r="E28" s="65"/>
      <c r="F28" s="65"/>
      <c r="G28" s="66"/>
      <c r="H28" s="32"/>
      <c r="I28" s="55"/>
      <c r="J28" s="601"/>
    </row>
    <row r="29" spans="2:10" ht="15.75" thickBot="1" x14ac:dyDescent="0.3">
      <c r="B29" s="600"/>
      <c r="C29" s="39" t="s">
        <v>3120</v>
      </c>
      <c r="D29" s="32"/>
      <c r="E29" s="32"/>
      <c r="F29" s="32"/>
      <c r="G29" s="32"/>
      <c r="H29" s="32"/>
      <c r="I29" s="67"/>
      <c r="J29" s="601"/>
    </row>
    <row r="30" spans="2:10" ht="15.75" thickTop="1" x14ac:dyDescent="0.25">
      <c r="B30" s="600"/>
      <c r="C30" s="858" t="s">
        <v>3121</v>
      </c>
      <c r="D30" s="860"/>
      <c r="E30" s="596" t="s">
        <v>3122</v>
      </c>
      <c r="F30" s="596" t="s">
        <v>3123</v>
      </c>
      <c r="G30" s="596" t="s">
        <v>3124</v>
      </c>
      <c r="H30" s="596" t="s">
        <v>3125</v>
      </c>
      <c r="I30" s="43" t="s">
        <v>3106</v>
      </c>
      <c r="J30" s="601"/>
    </row>
    <row r="31" spans="2:10" x14ac:dyDescent="0.25">
      <c r="B31" s="600"/>
      <c r="C31" s="849"/>
      <c r="D31" s="851"/>
      <c r="E31" s="68"/>
      <c r="F31" s="68"/>
      <c r="G31" s="68"/>
      <c r="H31" s="68"/>
      <c r="I31" s="69"/>
      <c r="J31" s="601"/>
    </row>
    <row r="32" spans="2:10" ht="15.75" thickBot="1" x14ac:dyDescent="0.3">
      <c r="B32" s="600"/>
      <c r="C32" s="864"/>
      <c r="D32" s="865"/>
      <c r="E32" s="70"/>
      <c r="F32" s="70"/>
      <c r="G32" s="70"/>
      <c r="H32" s="70"/>
      <c r="I32" s="71"/>
      <c r="J32" s="601"/>
    </row>
    <row r="33" spans="2:13" ht="16.5" thickTop="1" thickBot="1" x14ac:dyDescent="0.3">
      <c r="B33" s="600"/>
      <c r="C33" s="54"/>
      <c r="D33" s="32"/>
      <c r="E33" s="32"/>
      <c r="F33" s="32"/>
      <c r="G33" s="32"/>
      <c r="H33" s="52" t="s">
        <v>3109</v>
      </c>
      <c r="I33" s="53">
        <f>ROUND(SUM(I31:I32),0)</f>
        <v>0</v>
      </c>
      <c r="J33" s="601"/>
      <c r="K33" s="598"/>
      <c r="L33" s="598"/>
      <c r="M33" s="598"/>
    </row>
    <row r="34" spans="2:13" ht="15.75" thickTop="1" x14ac:dyDescent="0.25">
      <c r="B34" s="600"/>
      <c r="C34" s="39" t="s">
        <v>3126</v>
      </c>
      <c r="D34" s="32"/>
      <c r="E34" s="32"/>
      <c r="F34" s="32"/>
      <c r="G34" s="32"/>
      <c r="H34" s="32"/>
      <c r="I34" s="55"/>
      <c r="J34" s="601"/>
      <c r="K34" s="598"/>
      <c r="L34" s="598"/>
      <c r="M34" s="598"/>
    </row>
    <row r="35" spans="2:13" ht="15.75" thickBot="1" x14ac:dyDescent="0.3">
      <c r="B35" s="600"/>
      <c r="C35" s="54"/>
      <c r="D35" s="32"/>
      <c r="E35" s="32"/>
      <c r="F35" s="32"/>
      <c r="G35" s="32"/>
      <c r="H35" s="32"/>
      <c r="I35" s="55"/>
      <c r="J35" s="601"/>
      <c r="K35" s="598"/>
      <c r="L35" s="598"/>
      <c r="M35" s="598"/>
    </row>
    <row r="36" spans="2:13" ht="23.25" customHeight="1" thickTop="1" x14ac:dyDescent="0.25">
      <c r="B36" s="600"/>
      <c r="C36" s="858" t="s">
        <v>3127</v>
      </c>
      <c r="D36" s="860"/>
      <c r="E36" s="596" t="s">
        <v>3128</v>
      </c>
      <c r="F36" s="596" t="s">
        <v>3129</v>
      </c>
      <c r="G36" s="72" t="s">
        <v>3130</v>
      </c>
      <c r="H36" s="596" t="s">
        <v>3125</v>
      </c>
      <c r="I36" s="43" t="s">
        <v>3106</v>
      </c>
      <c r="J36" s="601"/>
      <c r="K36" s="598"/>
      <c r="L36" s="598"/>
      <c r="M36" s="598"/>
    </row>
    <row r="37" spans="2:13" x14ac:dyDescent="0.25">
      <c r="B37" s="600"/>
      <c r="C37" s="866"/>
      <c r="D37" s="867"/>
      <c r="E37" s="46"/>
      <c r="F37" s="73"/>
      <c r="G37" s="46"/>
      <c r="H37" s="47"/>
      <c r="I37" s="48"/>
      <c r="J37" s="601"/>
      <c r="K37" s="598"/>
      <c r="L37" s="598"/>
      <c r="M37" s="598"/>
    </row>
    <row r="38" spans="2:13" x14ac:dyDescent="0.25">
      <c r="B38" s="56"/>
      <c r="C38" s="866" t="s">
        <v>3151</v>
      </c>
      <c r="D38" s="867"/>
      <c r="E38" s="46">
        <f>Cuadrillas!$H$90*2</f>
        <v>48951.305</v>
      </c>
      <c r="F38" s="73">
        <v>1.5216000000000001</v>
      </c>
      <c r="G38" s="46">
        <f>+F38*E38</f>
        <v>74484.305688000008</v>
      </c>
      <c r="H38" s="47">
        <v>0.05</v>
      </c>
      <c r="I38" s="48">
        <f>+H38*G38</f>
        <v>3724.2152844000007</v>
      </c>
      <c r="J38" s="601"/>
      <c r="K38" s="598"/>
      <c r="L38" s="598"/>
      <c r="M38" s="598"/>
    </row>
    <row r="39" spans="2:13" x14ac:dyDescent="0.25">
      <c r="B39" s="56"/>
      <c r="C39" s="866" t="s">
        <v>3168</v>
      </c>
      <c r="D39" s="867"/>
      <c r="E39" s="46">
        <f>Cuadrillas!$H$90</f>
        <v>24475.6525</v>
      </c>
      <c r="F39" s="73">
        <v>1.5216000000000001</v>
      </c>
      <c r="G39" s="46">
        <f>+F39*E39</f>
        <v>37242.152844000004</v>
      </c>
      <c r="H39" s="47">
        <v>0.1</v>
      </c>
      <c r="I39" s="48">
        <f>+H39*G39</f>
        <v>3724.2152844000007</v>
      </c>
      <c r="J39" s="601"/>
      <c r="K39" s="598"/>
      <c r="L39" s="598"/>
      <c r="M39" s="598"/>
    </row>
    <row r="40" spans="2:13" x14ac:dyDescent="0.25">
      <c r="B40" s="56"/>
      <c r="C40" s="866" t="s">
        <v>3132</v>
      </c>
      <c r="D40" s="867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0.1</v>
      </c>
      <c r="I40" s="48">
        <f>+H40*G40</f>
        <v>7448.4305688000013</v>
      </c>
      <c r="J40" s="601"/>
      <c r="K40" s="598"/>
      <c r="L40" s="598"/>
      <c r="M40" s="598"/>
    </row>
    <row r="41" spans="2:13" ht="15.75" thickBot="1" x14ac:dyDescent="0.3">
      <c r="B41" s="600"/>
      <c r="C41" s="868"/>
      <c r="D41" s="869"/>
      <c r="E41" s="74"/>
      <c r="F41" s="75"/>
      <c r="G41" s="74"/>
      <c r="H41" s="76"/>
      <c r="I41" s="63"/>
      <c r="J41" s="601"/>
      <c r="K41" s="598"/>
      <c r="L41" s="598"/>
      <c r="M41" s="598"/>
    </row>
    <row r="42" spans="2:13" ht="16.5" thickTop="1" thickBot="1" x14ac:dyDescent="0.3">
      <c r="B42" s="600"/>
      <c r="C42" s="54"/>
      <c r="D42" s="77"/>
      <c r="E42" s="78"/>
      <c r="F42" s="79"/>
      <c r="G42" s="78"/>
      <c r="H42" s="52" t="s">
        <v>3109</v>
      </c>
      <c r="I42" s="80">
        <f>(SUM(I37:I41))</f>
        <v>14896.861137600003</v>
      </c>
      <c r="J42" s="601"/>
      <c r="K42" s="598"/>
      <c r="L42" s="598"/>
      <c r="M42" s="598"/>
    </row>
    <row r="43" spans="2:13" ht="16.5" thickTop="1" thickBot="1" x14ac:dyDescent="0.3">
      <c r="B43" s="600"/>
      <c r="C43" s="54"/>
      <c r="D43" s="32"/>
      <c r="E43" s="32"/>
      <c r="F43" s="32"/>
      <c r="G43" s="81"/>
      <c r="H43" s="81"/>
      <c r="I43" s="41"/>
      <c r="J43" s="601"/>
      <c r="K43" s="598"/>
      <c r="L43" s="598"/>
      <c r="M43" s="598"/>
    </row>
    <row r="44" spans="2:13" ht="16.5" thickTop="1" thickBot="1" x14ac:dyDescent="0.3">
      <c r="B44" s="600"/>
      <c r="C44" s="82"/>
      <c r="D44" s="65"/>
      <c r="E44" s="65"/>
      <c r="F44" s="65"/>
      <c r="G44" s="870" t="s">
        <v>3133</v>
      </c>
      <c r="H44" s="871"/>
      <c r="I44" s="83">
        <f>ROUND(+I18+I26+I33+I42,0)</f>
        <v>41947</v>
      </c>
      <c r="J44" s="601"/>
      <c r="K44" s="598"/>
      <c r="L44" s="598"/>
      <c r="M44" s="599"/>
    </row>
    <row r="45" spans="2:13" ht="15.75" thickTop="1" x14ac:dyDescent="0.25">
      <c r="B45" s="600"/>
      <c r="C45" s="39" t="s">
        <v>3134</v>
      </c>
      <c r="D45" s="32"/>
      <c r="E45" s="32"/>
      <c r="F45" s="32"/>
      <c r="G45" s="32"/>
      <c r="H45" s="32"/>
      <c r="I45" s="55"/>
      <c r="J45" s="601"/>
      <c r="K45" s="598"/>
      <c r="L45" s="598"/>
      <c r="M45" s="598"/>
    </row>
    <row r="46" spans="2:13" ht="15.75" thickBot="1" x14ac:dyDescent="0.3">
      <c r="B46" s="600"/>
      <c r="C46" s="54"/>
      <c r="D46" s="32"/>
      <c r="E46" s="32"/>
      <c r="F46" s="32"/>
      <c r="G46" s="32"/>
      <c r="H46" s="32"/>
      <c r="I46" s="55"/>
      <c r="J46" s="601"/>
      <c r="K46" s="598"/>
      <c r="L46" s="598"/>
      <c r="M46" s="598"/>
    </row>
    <row r="47" spans="2:13" ht="15.75" thickTop="1" x14ac:dyDescent="0.25">
      <c r="B47" s="600"/>
      <c r="C47" s="858" t="s">
        <v>3135</v>
      </c>
      <c r="D47" s="859"/>
      <c r="E47" s="859"/>
      <c r="F47" s="859"/>
      <c r="G47" s="860"/>
      <c r="H47" s="596" t="s">
        <v>3136</v>
      </c>
      <c r="I47" s="43" t="s">
        <v>3137</v>
      </c>
      <c r="J47" s="601"/>
      <c r="K47" s="598"/>
      <c r="L47" s="598"/>
      <c r="M47" s="598"/>
    </row>
    <row r="48" spans="2:13" x14ac:dyDescent="0.25">
      <c r="B48" s="600"/>
      <c r="C48" s="849" t="s">
        <v>3138</v>
      </c>
      <c r="D48" s="850"/>
      <c r="E48" s="850"/>
      <c r="F48" s="850"/>
      <c r="G48" s="851"/>
      <c r="H48" s="84">
        <v>0.2</v>
      </c>
      <c r="I48" s="85">
        <f>H48*I44</f>
        <v>8389.4</v>
      </c>
      <c r="J48" s="601"/>
      <c r="K48" s="598"/>
      <c r="L48" s="598"/>
      <c r="M48" s="598"/>
    </row>
    <row r="49" spans="2:10" x14ac:dyDescent="0.25">
      <c r="B49" s="600"/>
      <c r="C49" s="849" t="s">
        <v>3139</v>
      </c>
      <c r="D49" s="850"/>
      <c r="E49" s="850"/>
      <c r="F49" s="850"/>
      <c r="G49" s="851"/>
      <c r="H49" s="84">
        <v>0.05</v>
      </c>
      <c r="I49" s="85">
        <f>H49*I44</f>
        <v>2097.35</v>
      </c>
      <c r="J49" s="601"/>
    </row>
    <row r="50" spans="2:10" ht="15.75" thickBot="1" x14ac:dyDescent="0.3">
      <c r="B50" s="600"/>
      <c r="C50" s="852" t="s">
        <v>3140</v>
      </c>
      <c r="D50" s="853"/>
      <c r="E50" s="853"/>
      <c r="F50" s="853"/>
      <c r="G50" s="854"/>
      <c r="H50" s="86">
        <v>0.05</v>
      </c>
      <c r="I50" s="71">
        <f>H50*I44</f>
        <v>2097.35</v>
      </c>
      <c r="J50" s="601"/>
    </row>
    <row r="51" spans="2:10" ht="16.5" thickTop="1" thickBot="1" x14ac:dyDescent="0.3">
      <c r="B51" s="600"/>
      <c r="C51" s="82"/>
      <c r="D51" s="65"/>
      <c r="E51" s="65"/>
      <c r="F51" s="65"/>
      <c r="G51" s="65"/>
      <c r="H51" s="52" t="s">
        <v>3109</v>
      </c>
      <c r="I51" s="53">
        <f>ROUND(SUM(I48:I50),0)</f>
        <v>12584</v>
      </c>
      <c r="J51" s="601"/>
    </row>
    <row r="52" spans="2:10" ht="16.5" thickTop="1" thickBot="1" x14ac:dyDescent="0.3">
      <c r="B52" s="600"/>
      <c r="C52" s="54"/>
      <c r="D52" s="32"/>
      <c r="E52" s="32"/>
      <c r="F52" s="32"/>
      <c r="G52" s="32"/>
      <c r="H52" s="32"/>
      <c r="I52" s="55"/>
      <c r="J52" s="601"/>
    </row>
    <row r="53" spans="2:10" ht="16.5" thickTop="1" thickBot="1" x14ac:dyDescent="0.3">
      <c r="B53" s="600"/>
      <c r="C53" s="87"/>
      <c r="D53" s="88"/>
      <c r="E53" s="88"/>
      <c r="F53" s="88"/>
      <c r="G53" s="855" t="s">
        <v>3141</v>
      </c>
      <c r="H53" s="856"/>
      <c r="I53" s="89">
        <f>I51+I44</f>
        <v>54531</v>
      </c>
      <c r="J53" s="601"/>
    </row>
    <row r="54" spans="2:10" hidden="1" x14ac:dyDescent="0.25">
      <c r="B54" s="600"/>
      <c r="C54" s="90"/>
      <c r="D54" s="32"/>
      <c r="E54" s="607"/>
      <c r="F54" s="607"/>
      <c r="G54" s="608"/>
      <c r="H54" s="857" t="s">
        <v>3142</v>
      </c>
      <c r="I54" s="857"/>
      <c r="J54" s="601"/>
    </row>
    <row r="55" spans="2:10" hidden="1" x14ac:dyDescent="0.25">
      <c r="B55" s="600"/>
      <c r="C55" s="90"/>
      <c r="D55" s="32"/>
      <c r="E55" s="32"/>
      <c r="F55" s="32"/>
      <c r="G55" s="607"/>
      <c r="H55" s="607"/>
      <c r="I55" s="91" t="s">
        <v>3143</v>
      </c>
      <c r="J55" s="601"/>
    </row>
    <row r="56" spans="2:10" ht="15.75" thickBot="1" x14ac:dyDescent="0.3">
      <c r="B56" s="609"/>
      <c r="C56" s="92"/>
      <c r="D56" s="597"/>
      <c r="E56" s="597"/>
      <c r="F56" s="597"/>
      <c r="G56" s="597"/>
      <c r="H56" s="93"/>
      <c r="I56" s="94"/>
      <c r="J56" s="610"/>
    </row>
  </sheetData>
  <mergeCells count="32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9:D39"/>
    <mergeCell ref="C21:E21"/>
    <mergeCell ref="C22:E22"/>
    <mergeCell ref="C23:E23"/>
    <mergeCell ref="C24:E24"/>
    <mergeCell ref="C25:E25"/>
    <mergeCell ref="C30:D30"/>
    <mergeCell ref="C31:D31"/>
    <mergeCell ref="C32:D32"/>
    <mergeCell ref="C36:D36"/>
    <mergeCell ref="C37:D37"/>
    <mergeCell ref="C38:D38"/>
    <mergeCell ref="C50:G50"/>
    <mergeCell ref="G53:H53"/>
    <mergeCell ref="H54:I54"/>
    <mergeCell ref="C40:D40"/>
    <mergeCell ref="C41:D41"/>
    <mergeCell ref="G44:H44"/>
    <mergeCell ref="C47:G47"/>
    <mergeCell ref="C48:G48"/>
    <mergeCell ref="C49:G49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6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55"/>
  <sheetViews>
    <sheetView view="pageBreakPreview" zoomScale="80" zoomScaleSheetLayoutView="80" workbookViewId="0">
      <selection activeCell="D8" sqref="D8:I11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4.5" customHeight="1" thickBot="1" x14ac:dyDescent="0.3">
      <c r="B12" s="28"/>
      <c r="C12" s="35" t="s">
        <v>3098</v>
      </c>
      <c r="D12" s="96" t="s">
        <v>689</v>
      </c>
      <c r="E12" s="876" t="s">
        <v>690</v>
      </c>
      <c r="F12" s="877"/>
      <c r="G12" s="878"/>
      <c r="H12" s="37" t="s">
        <v>5</v>
      </c>
      <c r="I12" s="38" t="s">
        <v>691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3100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58" t="s">
        <v>3101</v>
      </c>
      <c r="D15" s="859"/>
      <c r="E15" s="596" t="s">
        <v>3102</v>
      </c>
      <c r="F15" s="596" t="s">
        <v>3103</v>
      </c>
      <c r="G15" s="596" t="s">
        <v>3169</v>
      </c>
      <c r="H15" s="596" t="s">
        <v>3105</v>
      </c>
      <c r="I15" s="43" t="s">
        <v>3106</v>
      </c>
      <c r="J15" s="29"/>
    </row>
    <row r="16" spans="2:11" x14ac:dyDescent="0.25">
      <c r="B16" s="28"/>
      <c r="C16" s="866"/>
      <c r="D16" s="867"/>
      <c r="E16" s="44"/>
      <c r="F16" s="45"/>
      <c r="G16" s="46"/>
      <c r="H16" s="47"/>
      <c r="I16" s="48">
        <f>+H16*G16</f>
        <v>0</v>
      </c>
      <c r="J16" s="29"/>
      <c r="K16" s="97"/>
    </row>
    <row r="17" spans="2:10" x14ac:dyDescent="0.25">
      <c r="B17" s="56"/>
      <c r="C17" s="866" t="s">
        <v>3108</v>
      </c>
      <c r="D17" s="867"/>
      <c r="E17" s="44"/>
      <c r="F17" s="45"/>
      <c r="G17" s="46">
        <v>10000</v>
      </c>
      <c r="H17" s="505">
        <v>25</v>
      </c>
      <c r="I17" s="48">
        <f>+G17/H17</f>
        <v>400</v>
      </c>
      <c r="J17" s="29"/>
    </row>
    <row r="18" spans="2:10" x14ac:dyDescent="0.25">
      <c r="B18" s="28"/>
      <c r="C18" s="885"/>
      <c r="D18" s="886"/>
      <c r="E18" s="45"/>
      <c r="F18" s="45"/>
      <c r="G18" s="46"/>
      <c r="H18" s="47"/>
      <c r="I18" s="48"/>
      <c r="J18" s="29"/>
    </row>
    <row r="19" spans="2:10" ht="15.75" thickBot="1" x14ac:dyDescent="0.3">
      <c r="B19" s="28"/>
      <c r="C19" s="887"/>
      <c r="D19" s="888"/>
      <c r="E19" s="60"/>
      <c r="F19" s="98"/>
      <c r="G19" s="62"/>
      <c r="H19" s="99"/>
      <c r="I19" s="63"/>
      <c r="J19" s="29"/>
    </row>
    <row r="20" spans="2:10" ht="16.5" thickTop="1" thickBot="1" x14ac:dyDescent="0.3">
      <c r="B20" s="28"/>
      <c r="C20" s="54"/>
      <c r="D20" s="32"/>
      <c r="E20" s="32"/>
      <c r="F20" s="32"/>
      <c r="G20" s="32"/>
      <c r="H20" s="52" t="s">
        <v>3109</v>
      </c>
      <c r="I20" s="53">
        <f>(SUM(I16:I19))</f>
        <v>400</v>
      </c>
      <c r="J20" s="29"/>
    </row>
    <row r="21" spans="2:10" ht="15.75" thickTop="1" x14ac:dyDescent="0.25">
      <c r="B21" s="28"/>
      <c r="C21" s="54"/>
      <c r="D21" s="32"/>
      <c r="E21" s="32"/>
      <c r="F21" s="32"/>
      <c r="G21" s="32"/>
      <c r="H21" s="32"/>
      <c r="I21" s="55"/>
      <c r="J21" s="29"/>
    </row>
    <row r="22" spans="2:10" ht="15.75" thickBot="1" x14ac:dyDescent="0.3">
      <c r="B22" s="28"/>
      <c r="C22" s="39" t="s">
        <v>3110</v>
      </c>
      <c r="D22" s="32"/>
      <c r="E22" s="32"/>
      <c r="F22" s="32"/>
      <c r="G22" s="32"/>
      <c r="H22" s="32"/>
      <c r="I22" s="41"/>
      <c r="J22" s="29"/>
    </row>
    <row r="23" spans="2:10" ht="15.75" thickTop="1" x14ac:dyDescent="0.25">
      <c r="B23" s="28"/>
      <c r="C23" s="879" t="s">
        <v>3101</v>
      </c>
      <c r="D23" s="880"/>
      <c r="E23" s="880"/>
      <c r="F23" s="596" t="s">
        <v>3111</v>
      </c>
      <c r="G23" s="596" t="s">
        <v>3112</v>
      </c>
      <c r="H23" s="596" t="s">
        <v>3113</v>
      </c>
      <c r="I23" s="43" t="s">
        <v>3106</v>
      </c>
      <c r="J23" s="29"/>
    </row>
    <row r="24" spans="2:10" x14ac:dyDescent="0.25">
      <c r="B24" s="28"/>
      <c r="C24" s="872" t="s">
        <v>3170</v>
      </c>
      <c r="D24" s="873"/>
      <c r="E24" s="874"/>
      <c r="F24" s="44" t="s">
        <v>3167</v>
      </c>
      <c r="G24" s="106">
        <v>27840</v>
      </c>
      <c r="H24" s="106">
        <v>10</v>
      </c>
      <c r="I24" s="48">
        <f>+H24*G24</f>
        <v>278400</v>
      </c>
      <c r="J24" s="29"/>
    </row>
    <row r="25" spans="2:10" x14ac:dyDescent="0.25">
      <c r="B25" s="28"/>
      <c r="C25" s="872" t="s">
        <v>3171</v>
      </c>
      <c r="D25" s="873"/>
      <c r="E25" s="874"/>
      <c r="F25" s="44" t="s">
        <v>42</v>
      </c>
      <c r="G25" s="106">
        <v>290</v>
      </c>
      <c r="H25" s="106">
        <f>160*2*4</f>
        <v>1280</v>
      </c>
      <c r="I25" s="48">
        <f>+H25*G25</f>
        <v>371200</v>
      </c>
      <c r="J25" s="29"/>
    </row>
    <row r="26" spans="2:10" x14ac:dyDescent="0.25">
      <c r="B26" s="28"/>
      <c r="C26" s="872" t="s">
        <v>3172</v>
      </c>
      <c r="D26" s="873"/>
      <c r="E26" s="874"/>
      <c r="F26" s="44" t="s">
        <v>17</v>
      </c>
      <c r="G26" s="106">
        <v>27840</v>
      </c>
      <c r="H26" s="106">
        <v>6</v>
      </c>
      <c r="I26" s="48">
        <f>+H26*G26</f>
        <v>167040</v>
      </c>
      <c r="J26" s="29"/>
    </row>
    <row r="27" spans="2:10" x14ac:dyDescent="0.25">
      <c r="B27" s="28"/>
      <c r="C27" s="872" t="s">
        <v>3173</v>
      </c>
      <c r="D27" s="873"/>
      <c r="E27" s="874"/>
      <c r="F27" s="107" t="s">
        <v>17</v>
      </c>
      <c r="G27" s="108">
        <v>148763</v>
      </c>
      <c r="H27" s="108">
        <v>2</v>
      </c>
      <c r="I27" s="109">
        <f>+H27*G27</f>
        <v>297526</v>
      </c>
      <c r="J27" s="29"/>
    </row>
    <row r="28" spans="2:10" ht="15.75" thickBot="1" x14ac:dyDescent="0.3">
      <c r="B28" s="28"/>
      <c r="C28" s="852" t="s">
        <v>3174</v>
      </c>
      <c r="D28" s="853"/>
      <c r="E28" s="854"/>
      <c r="F28" s="60" t="s">
        <v>17</v>
      </c>
      <c r="G28" s="62">
        <v>23200</v>
      </c>
      <c r="H28" s="62">
        <v>1</v>
      </c>
      <c r="I28" s="63">
        <f>+G28*H28</f>
        <v>23200</v>
      </c>
      <c r="J28" s="29"/>
    </row>
    <row r="29" spans="2:10" ht="16.5" thickTop="1" thickBot="1" x14ac:dyDescent="0.3">
      <c r="B29" s="28"/>
      <c r="C29" s="64"/>
      <c r="D29" s="65"/>
      <c r="E29" s="65"/>
      <c r="F29" s="65"/>
      <c r="G29" s="66"/>
      <c r="H29" s="52" t="s">
        <v>3109</v>
      </c>
      <c r="I29" s="53">
        <f>ROUND(SUM(I24:I28),0)</f>
        <v>1137366</v>
      </c>
      <c r="J29" s="29"/>
    </row>
    <row r="30" spans="2:10" ht="15.75" thickTop="1" x14ac:dyDescent="0.25">
      <c r="B30" s="28"/>
      <c r="C30" s="64"/>
      <c r="D30" s="65"/>
      <c r="E30" s="65"/>
      <c r="F30" s="65"/>
      <c r="G30" s="66"/>
      <c r="H30" s="32"/>
      <c r="I30" s="55"/>
      <c r="J30" s="29"/>
    </row>
    <row r="31" spans="2:10" ht="15.75" thickBot="1" x14ac:dyDescent="0.3">
      <c r="B31" s="28"/>
      <c r="C31" s="39" t="s">
        <v>3120</v>
      </c>
      <c r="D31" s="32"/>
      <c r="E31" s="32"/>
      <c r="F31" s="32"/>
      <c r="G31" s="32"/>
      <c r="H31" s="32"/>
      <c r="I31" s="67"/>
      <c r="J31" s="29"/>
    </row>
    <row r="32" spans="2:10" ht="15.75" thickTop="1" x14ac:dyDescent="0.25">
      <c r="B32" s="28"/>
      <c r="C32" s="858" t="s">
        <v>3121</v>
      </c>
      <c r="D32" s="860"/>
      <c r="E32" s="596" t="s">
        <v>3122</v>
      </c>
      <c r="F32" s="596" t="s">
        <v>3123</v>
      </c>
      <c r="G32" s="596" t="s">
        <v>3124</v>
      </c>
      <c r="H32" s="596" t="s">
        <v>3125</v>
      </c>
      <c r="I32" s="43" t="s">
        <v>3106</v>
      </c>
      <c r="J32" s="29"/>
    </row>
    <row r="33" spans="2:13" x14ac:dyDescent="0.25">
      <c r="B33" s="28"/>
      <c r="C33" s="889"/>
      <c r="D33" s="890"/>
      <c r="E33" s="68"/>
      <c r="F33" s="68"/>
      <c r="G33" s="68"/>
      <c r="H33" s="68"/>
      <c r="I33" s="69"/>
      <c r="J33" s="29"/>
    </row>
    <row r="34" spans="2:13" ht="15.75" thickBot="1" x14ac:dyDescent="0.3">
      <c r="B34" s="28"/>
      <c r="C34" s="864"/>
      <c r="D34" s="865"/>
      <c r="E34" s="70"/>
      <c r="F34" s="70"/>
      <c r="G34" s="70"/>
      <c r="H34" s="70"/>
      <c r="I34" s="100"/>
      <c r="J34" s="29"/>
    </row>
    <row r="35" spans="2:13" ht="16.5" thickTop="1" thickBot="1" x14ac:dyDescent="0.3">
      <c r="B35" s="28"/>
      <c r="C35" s="54"/>
      <c r="D35" s="32"/>
      <c r="E35" s="32"/>
      <c r="F35" s="32"/>
      <c r="G35" s="32"/>
      <c r="H35" s="52" t="s">
        <v>3109</v>
      </c>
      <c r="I35" s="53">
        <f>ROUND(SUM(I33:I34),0)</f>
        <v>0</v>
      </c>
      <c r="J35" s="29"/>
    </row>
    <row r="36" spans="2:13" ht="15.75" thickTop="1" x14ac:dyDescent="0.25">
      <c r="B36" s="28"/>
      <c r="C36" s="39" t="s">
        <v>3126</v>
      </c>
      <c r="D36" s="32"/>
      <c r="E36" s="32"/>
      <c r="F36" s="32"/>
      <c r="G36" s="32"/>
      <c r="H36" s="32"/>
      <c r="I36" s="55"/>
      <c r="J36" s="29"/>
    </row>
    <row r="37" spans="2:13" ht="15.75" thickBot="1" x14ac:dyDescent="0.3">
      <c r="B37" s="28"/>
      <c r="C37" s="54"/>
      <c r="D37" s="32"/>
      <c r="E37" s="32"/>
      <c r="F37" s="32"/>
      <c r="G37" s="32"/>
      <c r="H37" s="32"/>
      <c r="I37" s="55"/>
      <c r="J37" s="29"/>
    </row>
    <row r="38" spans="2:13" ht="23.25" customHeight="1" thickTop="1" x14ac:dyDescent="0.25">
      <c r="B38" s="28"/>
      <c r="C38" s="858" t="s">
        <v>3127</v>
      </c>
      <c r="D38" s="860"/>
      <c r="E38" s="596" t="s">
        <v>3128</v>
      </c>
      <c r="F38" s="596" t="s">
        <v>3129</v>
      </c>
      <c r="G38" s="101" t="s">
        <v>3130</v>
      </c>
      <c r="H38" s="596" t="s">
        <v>3125</v>
      </c>
      <c r="I38" s="43" t="s">
        <v>3106</v>
      </c>
      <c r="J38" s="29"/>
    </row>
    <row r="39" spans="2:13" x14ac:dyDescent="0.25">
      <c r="B39" s="28"/>
      <c r="C39" s="866" t="s">
        <v>3175</v>
      </c>
      <c r="D39" s="867"/>
      <c r="E39" s="509">
        <f>Cuadrillas!$H$90</f>
        <v>24475.6525</v>
      </c>
      <c r="F39" s="73">
        <v>1.5216000000000001</v>
      </c>
      <c r="G39" s="46">
        <f>+E39*F39</f>
        <v>37242.152844000004</v>
      </c>
      <c r="H39" s="505">
        <v>30</v>
      </c>
      <c r="I39" s="48">
        <f>+H39*G39</f>
        <v>1117264.5853200001</v>
      </c>
      <c r="J39" s="29"/>
    </row>
    <row r="40" spans="2:13" x14ac:dyDescent="0.25">
      <c r="B40" s="28"/>
      <c r="C40" s="866"/>
      <c r="D40" s="867"/>
      <c r="E40" s="46"/>
      <c r="F40" s="73"/>
      <c r="G40" s="46"/>
      <c r="H40" s="47"/>
      <c r="I40" s="48">
        <f>+H40*G40</f>
        <v>0</v>
      </c>
      <c r="J40" s="29"/>
    </row>
    <row r="41" spans="2:13" x14ac:dyDescent="0.25">
      <c r="B41" s="28"/>
      <c r="C41" s="866"/>
      <c r="D41" s="867"/>
      <c r="E41" s="110"/>
      <c r="F41" s="111"/>
      <c r="G41" s="46"/>
      <c r="H41" s="47"/>
      <c r="I41" s="48"/>
      <c r="J41" s="29"/>
    </row>
    <row r="42" spans="2:13" ht="15.75" thickBot="1" x14ac:dyDescent="0.3">
      <c r="B42" s="28"/>
      <c r="C42" s="868"/>
      <c r="D42" s="869"/>
      <c r="E42" s="74"/>
      <c r="F42" s="75"/>
      <c r="G42" s="74"/>
      <c r="H42" s="99"/>
      <c r="I42" s="63"/>
      <c r="J42" s="29"/>
    </row>
    <row r="43" spans="2:13" ht="16.5" thickTop="1" thickBot="1" x14ac:dyDescent="0.3">
      <c r="B43" s="28"/>
      <c r="C43" s="54"/>
      <c r="D43" s="77"/>
      <c r="E43" s="78"/>
      <c r="F43" s="79"/>
      <c r="G43" s="78"/>
      <c r="H43" s="102" t="s">
        <v>3109</v>
      </c>
      <c r="I43" s="80">
        <f>(SUM(I39:I42))</f>
        <v>1117264.5853200001</v>
      </c>
      <c r="J43" s="29"/>
    </row>
    <row r="44" spans="2:13" ht="16.5" thickTop="1" thickBot="1" x14ac:dyDescent="0.3">
      <c r="B44" s="28"/>
      <c r="C44" s="54"/>
      <c r="D44" s="32"/>
      <c r="E44" s="32"/>
      <c r="F44" s="32"/>
      <c r="G44" s="81"/>
      <c r="H44" s="81"/>
      <c r="I44" s="41"/>
      <c r="J44" s="29"/>
    </row>
    <row r="45" spans="2:13" ht="16.5" thickTop="1" thickBot="1" x14ac:dyDescent="0.3">
      <c r="B45" s="28"/>
      <c r="C45" s="82"/>
      <c r="D45" s="65"/>
      <c r="E45" s="65"/>
      <c r="F45" s="65"/>
      <c r="G45" s="870" t="s">
        <v>3133</v>
      </c>
      <c r="H45" s="871"/>
      <c r="I45" s="83">
        <f>ROUND(+I20+I29+I35+I43,0)</f>
        <v>2255031</v>
      </c>
      <c r="J45" s="29"/>
      <c r="M45" s="23"/>
    </row>
    <row r="46" spans="2:13" ht="15.75" thickTop="1" x14ac:dyDescent="0.25">
      <c r="B46" s="28"/>
      <c r="C46" s="39" t="s">
        <v>3134</v>
      </c>
      <c r="D46" s="32"/>
      <c r="E46" s="32"/>
      <c r="F46" s="32"/>
      <c r="G46" s="32"/>
      <c r="H46" s="32"/>
      <c r="I46" s="55"/>
      <c r="J46" s="29"/>
    </row>
    <row r="47" spans="2:13" ht="15.75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5.75" thickTop="1" x14ac:dyDescent="0.25">
      <c r="B48" s="28"/>
      <c r="C48" s="858" t="s">
        <v>3135</v>
      </c>
      <c r="D48" s="859"/>
      <c r="E48" s="859"/>
      <c r="F48" s="859"/>
      <c r="G48" s="860"/>
      <c r="H48" s="596" t="s">
        <v>3136</v>
      </c>
      <c r="I48" s="43" t="s">
        <v>3137</v>
      </c>
      <c r="J48" s="29"/>
    </row>
    <row r="49" spans="2:10" x14ac:dyDescent="0.25">
      <c r="B49" s="28"/>
      <c r="C49" s="849" t="s">
        <v>3138</v>
      </c>
      <c r="D49" s="850"/>
      <c r="E49" s="850"/>
      <c r="F49" s="850"/>
      <c r="G49" s="851"/>
      <c r="H49" s="84">
        <v>0.2</v>
      </c>
      <c r="I49" s="85">
        <f>H49*I45</f>
        <v>451006.2</v>
      </c>
      <c r="J49" s="29"/>
    </row>
    <row r="50" spans="2:10" x14ac:dyDescent="0.25">
      <c r="B50" s="28"/>
      <c r="C50" s="849" t="s">
        <v>3139</v>
      </c>
      <c r="D50" s="850"/>
      <c r="E50" s="850"/>
      <c r="F50" s="850"/>
      <c r="G50" s="851"/>
      <c r="H50" s="84">
        <v>0.05</v>
      </c>
      <c r="I50" s="85">
        <f>H50*I45</f>
        <v>112751.55</v>
      </c>
      <c r="J50" s="29"/>
    </row>
    <row r="51" spans="2:10" ht="15.75" thickBot="1" x14ac:dyDescent="0.3">
      <c r="B51" s="28"/>
      <c r="C51" s="852" t="s">
        <v>3140</v>
      </c>
      <c r="D51" s="853"/>
      <c r="E51" s="853"/>
      <c r="F51" s="853"/>
      <c r="G51" s="854"/>
      <c r="H51" s="86">
        <v>0.05</v>
      </c>
      <c r="I51" s="71">
        <f>H51*I45</f>
        <v>112751.55</v>
      </c>
      <c r="J51" s="29"/>
    </row>
    <row r="52" spans="2:10" ht="16.5" thickTop="1" thickBot="1" x14ac:dyDescent="0.3">
      <c r="B52" s="28"/>
      <c r="C52" s="82"/>
      <c r="D52" s="65"/>
      <c r="E52" s="65"/>
      <c r="F52" s="65"/>
      <c r="G52" s="65"/>
      <c r="H52" s="52" t="s">
        <v>3109</v>
      </c>
      <c r="I52" s="53">
        <f>ROUND(SUM(I49:I51),0)</f>
        <v>676509</v>
      </c>
      <c r="J52" s="29"/>
    </row>
    <row r="53" spans="2:10" ht="16.5" thickTop="1" thickBot="1" x14ac:dyDescent="0.3">
      <c r="B53" s="28"/>
      <c r="C53" s="54"/>
      <c r="D53" s="32"/>
      <c r="E53" s="32"/>
      <c r="F53" s="32"/>
      <c r="G53" s="32"/>
      <c r="H53" s="32"/>
      <c r="I53" s="55"/>
      <c r="J53" s="29"/>
    </row>
    <row r="54" spans="2:10" ht="16.5" thickTop="1" thickBot="1" x14ac:dyDescent="0.3">
      <c r="B54" s="28"/>
      <c r="C54" s="87"/>
      <c r="D54" s="88"/>
      <c r="E54" s="88"/>
      <c r="F54" s="88"/>
      <c r="G54" s="855" t="s">
        <v>3141</v>
      </c>
      <c r="H54" s="856"/>
      <c r="I54" s="89">
        <f>I52+I45</f>
        <v>2931540</v>
      </c>
      <c r="J54" s="29"/>
    </row>
    <row r="55" spans="2:10" ht="15.75" thickBot="1" x14ac:dyDescent="0.3">
      <c r="B55" s="104"/>
      <c r="C55" s="92"/>
      <c r="D55" s="597"/>
      <c r="E55" s="597"/>
      <c r="F55" s="597"/>
      <c r="G55" s="597"/>
      <c r="H55" s="116"/>
      <c r="I55" s="117"/>
      <c r="J55" s="105"/>
    </row>
  </sheetData>
  <mergeCells count="33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8:D38"/>
    <mergeCell ref="C18:D18"/>
    <mergeCell ref="C19:D19"/>
    <mergeCell ref="C23:E23"/>
    <mergeCell ref="C24:E24"/>
    <mergeCell ref="C25:E25"/>
    <mergeCell ref="C26:E26"/>
    <mergeCell ref="C27:E27"/>
    <mergeCell ref="C28:E28"/>
    <mergeCell ref="C32:D32"/>
    <mergeCell ref="C33:D33"/>
    <mergeCell ref="C34:D34"/>
    <mergeCell ref="C49:G49"/>
    <mergeCell ref="C50:G50"/>
    <mergeCell ref="C51:G51"/>
    <mergeCell ref="G54:H54"/>
    <mergeCell ref="C39:D39"/>
    <mergeCell ref="C40:D40"/>
    <mergeCell ref="C41:D41"/>
    <mergeCell ref="C42:D42"/>
    <mergeCell ref="G45:H45"/>
    <mergeCell ref="C48:G48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5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51"/>
  <sheetViews>
    <sheetView view="pageBreakPreview" topLeftCell="A7" zoomScale="75" zoomScaleSheetLayoutView="75" workbookViewId="0">
      <selection activeCell="K29" sqref="K29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4.5" customHeight="1" thickBot="1" x14ac:dyDescent="0.3">
      <c r="B12" s="28"/>
      <c r="C12" s="35" t="s">
        <v>3098</v>
      </c>
      <c r="D12" s="36" t="s">
        <v>27</v>
      </c>
      <c r="E12" s="876" t="s">
        <v>294</v>
      </c>
      <c r="F12" s="877"/>
      <c r="G12" s="878"/>
      <c r="H12" s="37" t="s">
        <v>5</v>
      </c>
      <c r="I12" s="38" t="s">
        <v>22</v>
      </c>
      <c r="J12" s="29"/>
    </row>
    <row r="13" spans="2:11" x14ac:dyDescent="0.25">
      <c r="B13" s="28"/>
      <c r="C13" s="39"/>
      <c r="D13" s="11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3100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58" t="s">
        <v>3101</v>
      </c>
      <c r="D15" s="859"/>
      <c r="E15" s="596" t="s">
        <v>3102</v>
      </c>
      <c r="F15" s="596" t="s">
        <v>3103</v>
      </c>
      <c r="G15" s="596" t="s">
        <v>3169</v>
      </c>
      <c r="H15" s="596" t="s">
        <v>3105</v>
      </c>
      <c r="I15" s="43" t="s">
        <v>3106</v>
      </c>
      <c r="J15" s="29"/>
    </row>
    <row r="16" spans="2:11" x14ac:dyDescent="0.25">
      <c r="B16" s="28"/>
      <c r="C16" s="866" t="s">
        <v>3176</v>
      </c>
      <c r="D16" s="867"/>
      <c r="E16" s="44"/>
      <c r="F16" s="45"/>
      <c r="G16" s="46">
        <v>80000</v>
      </c>
      <c r="H16" s="47">
        <v>0.1</v>
      </c>
      <c r="I16" s="48">
        <f>+H16*G16</f>
        <v>8000</v>
      </c>
      <c r="J16" s="29"/>
      <c r="K16" s="97"/>
    </row>
    <row r="17" spans="2:10" x14ac:dyDescent="0.25">
      <c r="B17" s="28"/>
      <c r="C17" s="866" t="s">
        <v>3108</v>
      </c>
      <c r="D17" s="867"/>
      <c r="E17" s="44"/>
      <c r="F17" s="45"/>
      <c r="G17" s="46">
        <v>10000</v>
      </c>
      <c r="H17" s="505">
        <v>20</v>
      </c>
      <c r="I17" s="48">
        <f>+G17/H17</f>
        <v>500</v>
      </c>
      <c r="J17" s="29"/>
    </row>
    <row r="18" spans="2:10" x14ac:dyDescent="0.25">
      <c r="B18" s="28"/>
      <c r="C18" s="885"/>
      <c r="D18" s="886"/>
      <c r="E18" s="45"/>
      <c r="F18" s="45"/>
      <c r="G18" s="46"/>
      <c r="H18" s="47"/>
      <c r="I18" s="48"/>
      <c r="J18" s="29"/>
    </row>
    <row r="19" spans="2:10" ht="15.75" thickBot="1" x14ac:dyDescent="0.3">
      <c r="B19" s="28"/>
      <c r="C19" s="887"/>
      <c r="D19" s="888"/>
      <c r="E19" s="60"/>
      <c r="F19" s="98"/>
      <c r="G19" s="62"/>
      <c r="H19" s="99"/>
      <c r="I19" s="63"/>
      <c r="J19" s="29"/>
    </row>
    <row r="20" spans="2:10" ht="16.5" thickTop="1" thickBot="1" x14ac:dyDescent="0.3">
      <c r="B20" s="28"/>
      <c r="C20" s="54"/>
      <c r="D20" s="32"/>
      <c r="E20" s="32"/>
      <c r="F20" s="32"/>
      <c r="G20" s="32"/>
      <c r="H20" s="52" t="s">
        <v>3109</v>
      </c>
      <c r="I20" s="53">
        <f>(SUM(I16:I19))</f>
        <v>8500</v>
      </c>
      <c r="J20" s="29"/>
    </row>
    <row r="21" spans="2:10" ht="15.75" thickTop="1" x14ac:dyDescent="0.25">
      <c r="B21" s="28"/>
      <c r="C21" s="54"/>
      <c r="D21" s="32"/>
      <c r="E21" s="32"/>
      <c r="F21" s="32"/>
      <c r="G21" s="32"/>
      <c r="H21" s="32"/>
      <c r="I21" s="55"/>
      <c r="J21" s="29"/>
    </row>
    <row r="22" spans="2:10" ht="15.75" thickBot="1" x14ac:dyDescent="0.3">
      <c r="B22" s="28"/>
      <c r="C22" s="39" t="s">
        <v>3110</v>
      </c>
      <c r="D22" s="32"/>
      <c r="E22" s="32"/>
      <c r="F22" s="32"/>
      <c r="G22" s="32"/>
      <c r="H22" s="32"/>
      <c r="I22" s="41"/>
      <c r="J22" s="29"/>
    </row>
    <row r="23" spans="2:10" ht="15.75" thickTop="1" x14ac:dyDescent="0.25">
      <c r="B23" s="28"/>
      <c r="C23" s="879" t="s">
        <v>3101</v>
      </c>
      <c r="D23" s="880"/>
      <c r="E23" s="880"/>
      <c r="F23" s="596" t="s">
        <v>3111</v>
      </c>
      <c r="G23" s="596" t="s">
        <v>3112</v>
      </c>
      <c r="H23" s="596" t="s">
        <v>3113</v>
      </c>
      <c r="I23" s="43" t="s">
        <v>3106</v>
      </c>
      <c r="J23" s="29"/>
    </row>
    <row r="24" spans="2:10" x14ac:dyDescent="0.25">
      <c r="B24" s="28"/>
      <c r="C24" s="891"/>
      <c r="D24" s="892"/>
      <c r="E24" s="893"/>
      <c r="F24" s="107"/>
      <c r="G24" s="108"/>
      <c r="H24" s="108"/>
      <c r="I24" s="109"/>
      <c r="J24" s="29"/>
    </row>
    <row r="25" spans="2:10" ht="15.75" thickBot="1" x14ac:dyDescent="0.3">
      <c r="B25" s="28"/>
      <c r="C25" s="894"/>
      <c r="D25" s="895"/>
      <c r="E25" s="896"/>
      <c r="F25" s="60"/>
      <c r="G25" s="62"/>
      <c r="H25" s="62"/>
      <c r="I25" s="63"/>
      <c r="J25" s="29"/>
    </row>
    <row r="26" spans="2:10" ht="16.5" thickTop="1" thickBot="1" x14ac:dyDescent="0.3">
      <c r="B26" s="28"/>
      <c r="C26" s="64"/>
      <c r="D26" s="65"/>
      <c r="E26" s="65"/>
      <c r="F26" s="65"/>
      <c r="G26" s="66"/>
      <c r="H26" s="52" t="s">
        <v>3109</v>
      </c>
      <c r="I26" s="53">
        <f>ROUND(SUM(I24:I25),0)</f>
        <v>0</v>
      </c>
      <c r="J26" s="29"/>
    </row>
    <row r="27" spans="2:10" ht="15.75" thickTop="1" x14ac:dyDescent="0.25">
      <c r="B27" s="28"/>
      <c r="C27" s="64"/>
      <c r="D27" s="65"/>
      <c r="E27" s="65"/>
      <c r="F27" s="65"/>
      <c r="G27" s="66"/>
      <c r="H27" s="32"/>
      <c r="I27" s="55"/>
      <c r="J27" s="29"/>
    </row>
    <row r="28" spans="2:10" ht="15.75" thickBot="1" x14ac:dyDescent="0.3">
      <c r="B28" s="28"/>
      <c r="C28" s="39" t="s">
        <v>3120</v>
      </c>
      <c r="D28" s="32"/>
      <c r="E28" s="32"/>
      <c r="F28" s="32"/>
      <c r="G28" s="32"/>
      <c r="H28" s="32"/>
      <c r="I28" s="67"/>
      <c r="J28" s="29"/>
    </row>
    <row r="29" spans="2:10" ht="15.75" thickTop="1" x14ac:dyDescent="0.25">
      <c r="B29" s="28"/>
      <c r="C29" s="858" t="s">
        <v>3121</v>
      </c>
      <c r="D29" s="860"/>
      <c r="E29" s="596" t="s">
        <v>3122</v>
      </c>
      <c r="F29" s="596" t="s">
        <v>3123</v>
      </c>
      <c r="G29" s="596" t="s">
        <v>3124</v>
      </c>
      <c r="H29" s="596" t="s">
        <v>3125</v>
      </c>
      <c r="I29" s="43" t="s">
        <v>3106</v>
      </c>
      <c r="J29" s="29"/>
    </row>
    <row r="30" spans="2:10" x14ac:dyDescent="0.25">
      <c r="B30" s="28"/>
      <c r="C30" s="889"/>
      <c r="D30" s="890"/>
      <c r="E30" s="68"/>
      <c r="F30" s="68"/>
      <c r="G30" s="68"/>
      <c r="H30" s="68"/>
      <c r="I30" s="69"/>
      <c r="J30" s="29"/>
    </row>
    <row r="31" spans="2:10" ht="15.75" thickBot="1" x14ac:dyDescent="0.3">
      <c r="B31" s="28"/>
      <c r="C31" s="864"/>
      <c r="D31" s="865"/>
      <c r="E31" s="70"/>
      <c r="F31" s="70"/>
      <c r="G31" s="70"/>
      <c r="H31" s="70"/>
      <c r="I31" s="100"/>
      <c r="J31" s="29"/>
    </row>
    <row r="32" spans="2:10" ht="16.5" thickTop="1" thickBot="1" x14ac:dyDescent="0.3">
      <c r="B32" s="28"/>
      <c r="C32" s="54"/>
      <c r="D32" s="32"/>
      <c r="E32" s="32"/>
      <c r="F32" s="32"/>
      <c r="G32" s="32"/>
      <c r="H32" s="52" t="s">
        <v>3109</v>
      </c>
      <c r="I32" s="53">
        <f>ROUND(SUM(I30:I31),0)</f>
        <v>0</v>
      </c>
      <c r="J32" s="29"/>
    </row>
    <row r="33" spans="2:13" ht="16.5" thickTop="1" thickBot="1" x14ac:dyDescent="0.3">
      <c r="B33" s="28"/>
      <c r="C33" s="39" t="s">
        <v>3126</v>
      </c>
      <c r="D33" s="32"/>
      <c r="E33" s="32"/>
      <c r="F33" s="32"/>
      <c r="G33" s="32"/>
      <c r="H33" s="32"/>
      <c r="I33" s="55"/>
      <c r="J33" s="29"/>
    </row>
    <row r="34" spans="2:13" ht="23.25" customHeight="1" thickTop="1" x14ac:dyDescent="0.25">
      <c r="B34" s="28"/>
      <c r="C34" s="858" t="s">
        <v>3127</v>
      </c>
      <c r="D34" s="860"/>
      <c r="E34" s="596" t="s">
        <v>3128</v>
      </c>
      <c r="F34" s="596" t="s">
        <v>3129</v>
      </c>
      <c r="G34" s="101" t="s">
        <v>3130</v>
      </c>
      <c r="H34" s="596" t="s">
        <v>3125</v>
      </c>
      <c r="I34" s="43" t="s">
        <v>3106</v>
      </c>
      <c r="J34" s="29"/>
    </row>
    <row r="35" spans="2:13" x14ac:dyDescent="0.25">
      <c r="B35" s="28"/>
      <c r="C35" s="866" t="s">
        <v>3131</v>
      </c>
      <c r="D35" s="867"/>
      <c r="E35" s="46">
        <f>Cuadrillas!$H$90</f>
        <v>24475.6525</v>
      </c>
      <c r="F35" s="73">
        <v>1.5216000000000001</v>
      </c>
      <c r="G35" s="46">
        <f>+F35*E35</f>
        <v>37242.152844000004</v>
      </c>
      <c r="H35" s="47">
        <v>1.4999999999999999E-2</v>
      </c>
      <c r="I35" s="48">
        <f>+H35*G35</f>
        <v>558.63229266000008</v>
      </c>
      <c r="J35" s="29"/>
    </row>
    <row r="36" spans="2:13" x14ac:dyDescent="0.25">
      <c r="B36" s="28"/>
      <c r="C36" s="866"/>
      <c r="D36" s="867"/>
      <c r="E36" s="110"/>
      <c r="F36" s="111"/>
      <c r="G36" s="46"/>
      <c r="H36" s="47"/>
      <c r="I36" s="48"/>
      <c r="J36" s="29"/>
    </row>
    <row r="37" spans="2:13" ht="15.75" thickBot="1" x14ac:dyDescent="0.3">
      <c r="B37" s="28"/>
      <c r="C37" s="868"/>
      <c r="D37" s="869"/>
      <c r="E37" s="74"/>
      <c r="F37" s="75"/>
      <c r="G37" s="74"/>
      <c r="H37" s="99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102" t="s">
        <v>3109</v>
      </c>
      <c r="I38" s="80">
        <f>(SUM(I35:I37))</f>
        <v>558.63229266000008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70" t="s">
        <v>3133</v>
      </c>
      <c r="H40" s="871"/>
      <c r="I40" s="83">
        <f>ROUND(+I20+I26+I32+I38,0)</f>
        <v>9059</v>
      </c>
      <c r="J40" s="29"/>
      <c r="L40" s="23"/>
      <c r="M40" s="23"/>
    </row>
    <row r="41" spans="2:13" ht="16.5" thickTop="1" thickBot="1" x14ac:dyDescent="0.3">
      <c r="B41" s="28"/>
      <c r="C41" s="39" t="s">
        <v>3134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58" t="s">
        <v>3135</v>
      </c>
      <c r="D42" s="859"/>
      <c r="E42" s="859"/>
      <c r="F42" s="859"/>
      <c r="G42" s="860"/>
      <c r="H42" s="596" t="s">
        <v>3136</v>
      </c>
      <c r="I42" s="43" t="s">
        <v>3137</v>
      </c>
      <c r="J42" s="29"/>
    </row>
    <row r="43" spans="2:13" x14ac:dyDescent="0.25">
      <c r="B43" s="28"/>
      <c r="C43" s="849" t="s">
        <v>3138</v>
      </c>
      <c r="D43" s="850"/>
      <c r="E43" s="850"/>
      <c r="F43" s="850"/>
      <c r="G43" s="851"/>
      <c r="H43" s="84">
        <v>0.2</v>
      </c>
      <c r="I43" s="85">
        <f>H43*I40</f>
        <v>1811.8000000000002</v>
      </c>
      <c r="J43" s="29"/>
    </row>
    <row r="44" spans="2:13" x14ac:dyDescent="0.25">
      <c r="B44" s="28"/>
      <c r="C44" s="849" t="s">
        <v>3139</v>
      </c>
      <c r="D44" s="850"/>
      <c r="E44" s="850"/>
      <c r="F44" s="850"/>
      <c r="G44" s="851"/>
      <c r="H44" s="84">
        <v>0.05</v>
      </c>
      <c r="I44" s="85">
        <f>H44*I40</f>
        <v>452.95000000000005</v>
      </c>
      <c r="J44" s="29"/>
    </row>
    <row r="45" spans="2:13" ht="15.75" thickBot="1" x14ac:dyDescent="0.3">
      <c r="B45" s="28"/>
      <c r="C45" s="852" t="s">
        <v>3140</v>
      </c>
      <c r="D45" s="853"/>
      <c r="E45" s="853"/>
      <c r="F45" s="853"/>
      <c r="G45" s="854"/>
      <c r="H45" s="86">
        <v>0.05</v>
      </c>
      <c r="I45" s="71">
        <f>H45*I40</f>
        <v>452.95000000000005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3109</v>
      </c>
      <c r="I46" s="53">
        <f>ROUND(SUM(I43:I45),0)</f>
        <v>2718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55" t="s">
        <v>3141</v>
      </c>
      <c r="H48" s="856"/>
      <c r="I48" s="89">
        <f>I46+I40</f>
        <v>11777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57" t="s">
        <v>3142</v>
      </c>
      <c r="I49" s="857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3143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30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6:D36"/>
    <mergeCell ref="C18:D18"/>
    <mergeCell ref="C19:D19"/>
    <mergeCell ref="C23:E23"/>
    <mergeCell ref="C24:E24"/>
    <mergeCell ref="C25:E25"/>
    <mergeCell ref="C29:D29"/>
    <mergeCell ref="C30:D30"/>
    <mergeCell ref="C31:D31"/>
    <mergeCell ref="C34:D34"/>
    <mergeCell ref="C35:D35"/>
    <mergeCell ref="G48:H48"/>
    <mergeCell ref="H49:I49"/>
    <mergeCell ref="C37:D37"/>
    <mergeCell ref="G40:H40"/>
    <mergeCell ref="C42:G42"/>
    <mergeCell ref="C43:G43"/>
    <mergeCell ref="C44:G44"/>
    <mergeCell ref="C45:G45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51"/>
  <sheetViews>
    <sheetView view="pageBreakPreview" topLeftCell="A16" zoomScale="75" zoomScaleSheetLayoutView="75" workbookViewId="0">
      <selection activeCell="D8" sqref="D8:I11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4.5" customHeight="1" thickBot="1" x14ac:dyDescent="0.3">
      <c r="B12" s="28"/>
      <c r="C12" s="35" t="s">
        <v>3098</v>
      </c>
      <c r="D12" s="36" t="s">
        <v>29</v>
      </c>
      <c r="E12" s="876" t="s">
        <v>30</v>
      </c>
      <c r="F12" s="877"/>
      <c r="G12" s="878"/>
      <c r="H12" s="37" t="s">
        <v>5</v>
      </c>
      <c r="I12" s="38" t="s">
        <v>22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3100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58" t="s">
        <v>3101</v>
      </c>
      <c r="D15" s="859"/>
      <c r="E15" s="596" t="s">
        <v>3102</v>
      </c>
      <c r="F15" s="596" t="s">
        <v>3103</v>
      </c>
      <c r="G15" s="596" t="s">
        <v>3169</v>
      </c>
      <c r="H15" s="596" t="s">
        <v>3105</v>
      </c>
      <c r="I15" s="43" t="s">
        <v>3106</v>
      </c>
      <c r="J15" s="29"/>
    </row>
    <row r="16" spans="2:11" x14ac:dyDescent="0.25">
      <c r="B16" s="28"/>
      <c r="C16" s="866" t="s">
        <v>3176</v>
      </c>
      <c r="D16" s="867"/>
      <c r="E16" s="44"/>
      <c r="F16" s="45"/>
      <c r="G16" s="46">
        <v>80000</v>
      </c>
      <c r="H16" s="47">
        <v>0.16800000000000001</v>
      </c>
      <c r="I16" s="48">
        <f>+H16*G16</f>
        <v>13440</v>
      </c>
      <c r="J16" s="29"/>
      <c r="K16" s="97"/>
    </row>
    <row r="17" spans="2:10" x14ac:dyDescent="0.25">
      <c r="B17" s="28"/>
      <c r="C17" s="866" t="s">
        <v>3108</v>
      </c>
      <c r="D17" s="867"/>
      <c r="E17" s="44"/>
      <c r="F17" s="45"/>
      <c r="G17" s="46">
        <v>10000</v>
      </c>
      <c r="H17" s="505">
        <v>22</v>
      </c>
      <c r="I17" s="48">
        <f>+G17/H17</f>
        <v>454.54545454545456</v>
      </c>
      <c r="J17" s="29"/>
    </row>
    <row r="18" spans="2:10" x14ac:dyDescent="0.25">
      <c r="B18" s="28"/>
      <c r="C18" s="885"/>
      <c r="D18" s="886"/>
      <c r="E18" s="45"/>
      <c r="F18" s="45"/>
      <c r="G18" s="46"/>
      <c r="H18" s="47"/>
      <c r="I18" s="48"/>
      <c r="J18" s="29"/>
    </row>
    <row r="19" spans="2:10" ht="15.75" thickBot="1" x14ac:dyDescent="0.3">
      <c r="B19" s="28"/>
      <c r="C19" s="887"/>
      <c r="D19" s="888"/>
      <c r="E19" s="60"/>
      <c r="F19" s="98"/>
      <c r="G19" s="62"/>
      <c r="H19" s="99"/>
      <c r="I19" s="63"/>
      <c r="J19" s="29"/>
    </row>
    <row r="20" spans="2:10" ht="16.5" thickTop="1" thickBot="1" x14ac:dyDescent="0.3">
      <c r="B20" s="28"/>
      <c r="C20" s="54"/>
      <c r="D20" s="32"/>
      <c r="E20" s="32"/>
      <c r="F20" s="32"/>
      <c r="G20" s="32"/>
      <c r="H20" s="52" t="s">
        <v>3109</v>
      </c>
      <c r="I20" s="53">
        <f>(SUM(I16:I19))</f>
        <v>13894.545454545454</v>
      </c>
      <c r="J20" s="29"/>
    </row>
    <row r="21" spans="2:10" ht="15.75" thickTop="1" x14ac:dyDescent="0.25">
      <c r="B21" s="28"/>
      <c r="C21" s="54"/>
      <c r="D21" s="32"/>
      <c r="E21" s="32"/>
      <c r="F21" s="32"/>
      <c r="G21" s="32"/>
      <c r="H21" s="32"/>
      <c r="I21" s="55"/>
      <c r="J21" s="29"/>
    </row>
    <row r="22" spans="2:10" ht="15.75" thickBot="1" x14ac:dyDescent="0.3">
      <c r="B22" s="28"/>
      <c r="C22" s="39" t="s">
        <v>3110</v>
      </c>
      <c r="D22" s="32"/>
      <c r="E22" s="32"/>
      <c r="F22" s="32"/>
      <c r="G22" s="32"/>
      <c r="H22" s="32"/>
      <c r="I22" s="41"/>
      <c r="J22" s="29"/>
    </row>
    <row r="23" spans="2:10" ht="15.75" thickTop="1" x14ac:dyDescent="0.25">
      <c r="B23" s="28"/>
      <c r="C23" s="879" t="s">
        <v>3101</v>
      </c>
      <c r="D23" s="880"/>
      <c r="E23" s="880"/>
      <c r="F23" s="596" t="s">
        <v>3111</v>
      </c>
      <c r="G23" s="596" t="s">
        <v>3112</v>
      </c>
      <c r="H23" s="596" t="s">
        <v>3113</v>
      </c>
      <c r="I23" s="43" t="s">
        <v>3106</v>
      </c>
      <c r="J23" s="29"/>
    </row>
    <row r="24" spans="2:10" x14ac:dyDescent="0.25">
      <c r="B24" s="28"/>
      <c r="C24" s="891"/>
      <c r="D24" s="892"/>
      <c r="E24" s="893"/>
      <c r="F24" s="107"/>
      <c r="G24" s="108"/>
      <c r="H24" s="108"/>
      <c r="I24" s="109"/>
      <c r="J24" s="29"/>
    </row>
    <row r="25" spans="2:10" ht="15.75" thickBot="1" x14ac:dyDescent="0.3">
      <c r="B25" s="28"/>
      <c r="C25" s="894"/>
      <c r="D25" s="895"/>
      <c r="E25" s="896"/>
      <c r="F25" s="60"/>
      <c r="G25" s="62"/>
      <c r="H25" s="62"/>
      <c r="I25" s="63"/>
      <c r="J25" s="29"/>
    </row>
    <row r="26" spans="2:10" ht="16.5" thickTop="1" thickBot="1" x14ac:dyDescent="0.3">
      <c r="B26" s="28"/>
      <c r="C26" s="64"/>
      <c r="D26" s="65"/>
      <c r="E26" s="65"/>
      <c r="F26" s="65"/>
      <c r="G26" s="66"/>
      <c r="H26" s="52" t="s">
        <v>3109</v>
      </c>
      <c r="I26" s="53">
        <f>ROUND(SUM(I24:I25),0)</f>
        <v>0</v>
      </c>
      <c r="J26" s="29"/>
    </row>
    <row r="27" spans="2:10" ht="15.75" thickTop="1" x14ac:dyDescent="0.25">
      <c r="B27" s="28"/>
      <c r="C27" s="64"/>
      <c r="D27" s="65"/>
      <c r="E27" s="65"/>
      <c r="F27" s="65"/>
      <c r="G27" s="66"/>
      <c r="H27" s="32"/>
      <c r="I27" s="55"/>
      <c r="J27" s="29"/>
    </row>
    <row r="28" spans="2:10" ht="15.75" thickBot="1" x14ac:dyDescent="0.3">
      <c r="B28" s="28"/>
      <c r="C28" s="39" t="s">
        <v>3120</v>
      </c>
      <c r="D28" s="32"/>
      <c r="E28" s="32"/>
      <c r="F28" s="32"/>
      <c r="G28" s="32"/>
      <c r="H28" s="32"/>
      <c r="I28" s="67"/>
      <c r="J28" s="29"/>
    </row>
    <row r="29" spans="2:10" ht="15.75" thickTop="1" x14ac:dyDescent="0.25">
      <c r="B29" s="28"/>
      <c r="C29" s="858" t="s">
        <v>3121</v>
      </c>
      <c r="D29" s="860"/>
      <c r="E29" s="596" t="s">
        <v>3122</v>
      </c>
      <c r="F29" s="596" t="s">
        <v>3123</v>
      </c>
      <c r="G29" s="596" t="s">
        <v>3124</v>
      </c>
      <c r="H29" s="596" t="s">
        <v>3125</v>
      </c>
      <c r="I29" s="43" t="s">
        <v>3106</v>
      </c>
      <c r="J29" s="29"/>
    </row>
    <row r="30" spans="2:10" x14ac:dyDescent="0.25">
      <c r="B30" s="28"/>
      <c r="C30" s="889"/>
      <c r="D30" s="890"/>
      <c r="E30" s="68"/>
      <c r="F30" s="68"/>
      <c r="G30" s="68"/>
      <c r="H30" s="68"/>
      <c r="I30" s="69"/>
      <c r="J30" s="29"/>
    </row>
    <row r="31" spans="2:10" ht="15.75" thickBot="1" x14ac:dyDescent="0.3">
      <c r="B31" s="28"/>
      <c r="C31" s="864"/>
      <c r="D31" s="865"/>
      <c r="E31" s="70"/>
      <c r="F31" s="70"/>
      <c r="G31" s="70"/>
      <c r="H31" s="70"/>
      <c r="I31" s="100"/>
      <c r="J31" s="29"/>
    </row>
    <row r="32" spans="2:10" ht="16.5" thickTop="1" thickBot="1" x14ac:dyDescent="0.3">
      <c r="B32" s="28"/>
      <c r="C32" s="54"/>
      <c r="D32" s="32"/>
      <c r="E32" s="32"/>
      <c r="F32" s="32"/>
      <c r="G32" s="32"/>
      <c r="H32" s="52" t="s">
        <v>3109</v>
      </c>
      <c r="I32" s="53">
        <f>ROUND(SUM(I30:I31),0)</f>
        <v>0</v>
      </c>
      <c r="J32" s="29"/>
    </row>
    <row r="33" spans="2:13" ht="16.5" thickTop="1" thickBot="1" x14ac:dyDescent="0.3">
      <c r="B33" s="28"/>
      <c r="C33" s="39" t="s">
        <v>3126</v>
      </c>
      <c r="D33" s="32"/>
      <c r="E33" s="32"/>
      <c r="F33" s="32"/>
      <c r="G33" s="32"/>
      <c r="H33" s="32"/>
      <c r="I33" s="55"/>
      <c r="J33" s="29"/>
    </row>
    <row r="34" spans="2:13" ht="23.25" customHeight="1" thickTop="1" x14ac:dyDescent="0.25">
      <c r="B34" s="28"/>
      <c r="C34" s="858" t="s">
        <v>3127</v>
      </c>
      <c r="D34" s="860"/>
      <c r="E34" s="596" t="s">
        <v>3128</v>
      </c>
      <c r="F34" s="596" t="s">
        <v>3129</v>
      </c>
      <c r="G34" s="101" t="s">
        <v>3130</v>
      </c>
      <c r="H34" s="596" t="s">
        <v>3125</v>
      </c>
      <c r="I34" s="43" t="s">
        <v>3106</v>
      </c>
      <c r="J34" s="29"/>
    </row>
    <row r="35" spans="2:13" x14ac:dyDescent="0.25">
      <c r="B35" s="28"/>
      <c r="C35" s="866" t="s">
        <v>3131</v>
      </c>
      <c r="D35" s="867"/>
      <c r="E35" s="46">
        <f>Cuadrillas!$H$90</f>
        <v>24475.6525</v>
      </c>
      <c r="F35" s="73">
        <v>1.5216000000000001</v>
      </c>
      <c r="G35" s="46">
        <f>+F35*E35</f>
        <v>37242.152844000004</v>
      </c>
      <c r="H35" s="47">
        <v>1.7659193617004198E-2</v>
      </c>
      <c r="I35" s="48">
        <f>+H35*G35</f>
        <v>657.66638778625963</v>
      </c>
      <c r="J35" s="29"/>
    </row>
    <row r="36" spans="2:13" x14ac:dyDescent="0.25">
      <c r="B36" s="28"/>
      <c r="C36" s="866"/>
      <c r="D36" s="867"/>
      <c r="E36" s="110"/>
      <c r="F36" s="111"/>
      <c r="G36" s="46"/>
      <c r="H36" s="47"/>
      <c r="I36" s="48"/>
      <c r="J36" s="29"/>
    </row>
    <row r="37" spans="2:13" ht="15.75" thickBot="1" x14ac:dyDescent="0.3">
      <c r="B37" s="28"/>
      <c r="C37" s="868"/>
      <c r="D37" s="869"/>
      <c r="E37" s="74"/>
      <c r="F37" s="75"/>
      <c r="G37" s="74"/>
      <c r="H37" s="99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102" t="s">
        <v>3109</v>
      </c>
      <c r="I38" s="80">
        <f>(SUM(I35:I37))</f>
        <v>657.66638778625963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70" t="s">
        <v>3133</v>
      </c>
      <c r="H40" s="871"/>
      <c r="I40" s="83">
        <f>ROUND(+I20+I26+I32+I38,0)</f>
        <v>14552</v>
      </c>
      <c r="J40" s="29"/>
      <c r="M40" s="23"/>
    </row>
    <row r="41" spans="2:13" ht="16.5" thickTop="1" thickBot="1" x14ac:dyDescent="0.3">
      <c r="B41" s="28"/>
      <c r="C41" s="39" t="s">
        <v>3134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58" t="s">
        <v>3135</v>
      </c>
      <c r="D42" s="859"/>
      <c r="E42" s="859"/>
      <c r="F42" s="859"/>
      <c r="G42" s="860"/>
      <c r="H42" s="596" t="s">
        <v>3136</v>
      </c>
      <c r="I42" s="43" t="s">
        <v>3137</v>
      </c>
      <c r="J42" s="29"/>
    </row>
    <row r="43" spans="2:13" x14ac:dyDescent="0.25">
      <c r="B43" s="28"/>
      <c r="C43" s="849" t="s">
        <v>3138</v>
      </c>
      <c r="D43" s="850"/>
      <c r="E43" s="850"/>
      <c r="F43" s="850"/>
      <c r="G43" s="851"/>
      <c r="H43" s="84">
        <v>0.2</v>
      </c>
      <c r="I43" s="85">
        <f>H43*I40</f>
        <v>2910.4</v>
      </c>
      <c r="J43" s="29"/>
    </row>
    <row r="44" spans="2:13" x14ac:dyDescent="0.25">
      <c r="B44" s="28"/>
      <c r="C44" s="849" t="s">
        <v>3139</v>
      </c>
      <c r="D44" s="850"/>
      <c r="E44" s="850"/>
      <c r="F44" s="850"/>
      <c r="G44" s="851"/>
      <c r="H44" s="84">
        <v>0.05</v>
      </c>
      <c r="I44" s="85">
        <f>H44*I40</f>
        <v>727.6</v>
      </c>
      <c r="J44" s="29"/>
    </row>
    <row r="45" spans="2:13" ht="15.75" thickBot="1" x14ac:dyDescent="0.3">
      <c r="B45" s="28"/>
      <c r="C45" s="852" t="s">
        <v>3140</v>
      </c>
      <c r="D45" s="853"/>
      <c r="E45" s="853"/>
      <c r="F45" s="853"/>
      <c r="G45" s="854"/>
      <c r="H45" s="86">
        <v>0.05</v>
      </c>
      <c r="I45" s="71">
        <f>H45*I40</f>
        <v>727.6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3109</v>
      </c>
      <c r="I46" s="53">
        <f>ROUND(SUM(I43:I45),0)</f>
        <v>4366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55" t="s">
        <v>3141</v>
      </c>
      <c r="H48" s="856"/>
      <c r="I48" s="89">
        <f>I46+I40</f>
        <v>18918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57" t="s">
        <v>3142</v>
      </c>
      <c r="I49" s="857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3143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30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6:D36"/>
    <mergeCell ref="C18:D18"/>
    <mergeCell ref="C19:D19"/>
    <mergeCell ref="C23:E23"/>
    <mergeCell ref="C24:E24"/>
    <mergeCell ref="C25:E25"/>
    <mergeCell ref="C29:D29"/>
    <mergeCell ref="C30:D30"/>
    <mergeCell ref="C31:D31"/>
    <mergeCell ref="C34:D34"/>
    <mergeCell ref="C35:D35"/>
    <mergeCell ref="G48:H48"/>
    <mergeCell ref="H49:I49"/>
    <mergeCell ref="C37:D37"/>
    <mergeCell ref="G40:H40"/>
    <mergeCell ref="C42:G42"/>
    <mergeCell ref="C43:G43"/>
    <mergeCell ref="C44:G44"/>
    <mergeCell ref="C45:G45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51"/>
  <sheetViews>
    <sheetView view="pageBreakPreview" topLeftCell="A4" zoomScale="75" zoomScaleNormal="115" zoomScaleSheetLayoutView="75" zoomScalePageLayoutView="115" workbookViewId="0">
      <selection activeCell="G23" sqref="G23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28"/>
      <c r="C12" s="35" t="s">
        <v>3098</v>
      </c>
      <c r="D12" s="36" t="s">
        <v>735</v>
      </c>
      <c r="E12" s="876" t="s">
        <v>736</v>
      </c>
      <c r="F12" s="877"/>
      <c r="G12" s="878"/>
      <c r="H12" s="37" t="s">
        <v>5</v>
      </c>
      <c r="I12" s="38" t="s">
        <v>17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3100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29"/>
    </row>
    <row r="16" spans="2:11" x14ac:dyDescent="0.25">
      <c r="B16" s="28"/>
      <c r="C16" s="866"/>
      <c r="D16" s="867"/>
      <c r="E16" s="44"/>
      <c r="F16" s="45"/>
      <c r="G16" s="46"/>
      <c r="H16" s="47"/>
      <c r="I16" s="48"/>
      <c r="J16" s="29"/>
      <c r="K16" s="97"/>
    </row>
    <row r="17" spans="2:10" ht="15.75" thickBot="1" x14ac:dyDescent="0.3">
      <c r="B17" s="28"/>
      <c r="C17" s="866"/>
      <c r="D17" s="867"/>
      <c r="E17" s="57"/>
      <c r="F17" s="113"/>
      <c r="G17" s="110"/>
      <c r="H17" s="45"/>
      <c r="I17" s="63"/>
      <c r="J17" s="29"/>
    </row>
    <row r="18" spans="2:10" ht="16.5" thickTop="1" thickBot="1" x14ac:dyDescent="0.3">
      <c r="B18" s="28"/>
      <c r="C18" s="49"/>
      <c r="D18" s="50"/>
      <c r="E18" s="50"/>
      <c r="F18" s="50"/>
      <c r="G18" s="51"/>
      <c r="H18" s="52" t="s">
        <v>3109</v>
      </c>
      <c r="I18" s="53">
        <f>(SUM(I16:I17))</f>
        <v>0</v>
      </c>
      <c r="J18" s="29"/>
    </row>
    <row r="19" spans="2:10" ht="15.75" thickTop="1" x14ac:dyDescent="0.25">
      <c r="B19" s="28"/>
      <c r="C19" s="54"/>
      <c r="D19" s="32"/>
      <c r="E19" s="32"/>
      <c r="F19" s="32"/>
      <c r="G19" s="32"/>
      <c r="H19" s="32"/>
      <c r="I19" s="55"/>
      <c r="J19" s="29"/>
    </row>
    <row r="20" spans="2:10" ht="15.75" thickBot="1" x14ac:dyDescent="0.3">
      <c r="B20" s="28"/>
      <c r="C20" s="39" t="s">
        <v>3110</v>
      </c>
      <c r="D20" s="32"/>
      <c r="E20" s="32"/>
      <c r="F20" s="32"/>
      <c r="G20" s="32"/>
      <c r="H20" s="32"/>
      <c r="I20" s="41"/>
      <c r="J20" s="29"/>
    </row>
    <row r="21" spans="2:10" ht="15.75" thickTop="1" x14ac:dyDescent="0.25">
      <c r="B21" s="28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29"/>
    </row>
    <row r="22" spans="2:10" ht="21" customHeight="1" x14ac:dyDescent="0.25">
      <c r="B22" s="28"/>
      <c r="C22" s="872" t="s">
        <v>3178</v>
      </c>
      <c r="D22" s="873"/>
      <c r="E22" s="874"/>
      <c r="F22" s="44" t="s">
        <v>17</v>
      </c>
      <c r="G22" s="510">
        <v>137990</v>
      </c>
      <c r="H22" s="44">
        <v>1</v>
      </c>
      <c r="I22" s="48">
        <f t="shared" ref="I22" si="0">+H22*G22</f>
        <v>137990</v>
      </c>
      <c r="J22" s="29"/>
    </row>
    <row r="23" spans="2:10" x14ac:dyDescent="0.25">
      <c r="B23" s="28"/>
      <c r="C23" s="891"/>
      <c r="D23" s="892"/>
      <c r="E23" s="893"/>
      <c r="F23" s="95"/>
      <c r="G23" s="45"/>
      <c r="H23" s="58"/>
      <c r="I23" s="48"/>
      <c r="J23" s="29"/>
    </row>
    <row r="24" spans="2:10" ht="15.75" thickBot="1" x14ac:dyDescent="0.3">
      <c r="B24" s="28"/>
      <c r="C24" s="897"/>
      <c r="D24" s="898"/>
      <c r="E24" s="899"/>
      <c r="F24" s="114"/>
      <c r="G24" s="61"/>
      <c r="H24" s="62"/>
      <c r="I24" s="63"/>
      <c r="J24" s="29"/>
    </row>
    <row r="25" spans="2:10" ht="16.5" thickTop="1" thickBot="1" x14ac:dyDescent="0.3">
      <c r="B25" s="28"/>
      <c r="C25" s="64"/>
      <c r="D25" s="65"/>
      <c r="E25" s="65"/>
      <c r="F25" s="65"/>
      <c r="G25" s="66"/>
      <c r="H25" s="52" t="s">
        <v>3109</v>
      </c>
      <c r="I25" s="53">
        <f>ROUND(SUM(I22:I24),0)</f>
        <v>137990</v>
      </c>
      <c r="J25" s="29"/>
    </row>
    <row r="26" spans="2:10" ht="15.75" thickTop="1" x14ac:dyDescent="0.25">
      <c r="B26" s="115"/>
      <c r="J26" s="115"/>
    </row>
    <row r="27" spans="2:10" x14ac:dyDescent="0.25">
      <c r="B27" s="28"/>
      <c r="C27" s="64"/>
      <c r="D27" s="65"/>
      <c r="E27" s="65"/>
      <c r="F27" s="65"/>
      <c r="G27" s="66"/>
      <c r="H27" s="32"/>
      <c r="I27" s="55"/>
      <c r="J27" s="29"/>
    </row>
    <row r="28" spans="2:10" ht="15.75" thickBot="1" x14ac:dyDescent="0.3">
      <c r="B28" s="28"/>
      <c r="C28" s="39" t="s">
        <v>3120</v>
      </c>
      <c r="D28" s="32"/>
      <c r="E28" s="32"/>
      <c r="F28" s="32"/>
      <c r="G28" s="32"/>
      <c r="H28" s="32"/>
      <c r="I28" s="67"/>
      <c r="J28" s="29"/>
    </row>
    <row r="29" spans="2:10" ht="15.75" thickTop="1" x14ac:dyDescent="0.25">
      <c r="B29" s="28"/>
      <c r="C29" s="858" t="s">
        <v>3121</v>
      </c>
      <c r="D29" s="860"/>
      <c r="E29" s="596" t="s">
        <v>3122</v>
      </c>
      <c r="F29" s="596" t="s">
        <v>3123</v>
      </c>
      <c r="G29" s="596" t="s">
        <v>3124</v>
      </c>
      <c r="H29" s="596" t="s">
        <v>3125</v>
      </c>
      <c r="I29" s="43" t="s">
        <v>3106</v>
      </c>
      <c r="J29" s="29"/>
    </row>
    <row r="30" spans="2:10" x14ac:dyDescent="0.25">
      <c r="B30" s="28"/>
      <c r="C30" s="889" t="s">
        <v>3177</v>
      </c>
      <c r="D30" s="890"/>
      <c r="E30" s="68"/>
      <c r="F30" s="68"/>
      <c r="G30" s="68"/>
      <c r="H30" s="68"/>
      <c r="I30" s="69">
        <f>+I25*0.05</f>
        <v>6899.5</v>
      </c>
      <c r="J30" s="29"/>
    </row>
    <row r="31" spans="2:10" ht="15.75" thickBot="1" x14ac:dyDescent="0.3">
      <c r="B31" s="28"/>
      <c r="C31" s="864"/>
      <c r="D31" s="865"/>
      <c r="E31" s="70"/>
      <c r="F31" s="70"/>
      <c r="G31" s="70"/>
      <c r="H31" s="70"/>
      <c r="I31" s="100"/>
      <c r="J31" s="29"/>
    </row>
    <row r="32" spans="2:10" ht="16.5" thickTop="1" thickBot="1" x14ac:dyDescent="0.3">
      <c r="B32" s="28"/>
      <c r="C32" s="54"/>
      <c r="D32" s="32"/>
      <c r="E32" s="32"/>
      <c r="F32" s="32"/>
      <c r="G32" s="32"/>
      <c r="H32" s="52" t="s">
        <v>3109</v>
      </c>
      <c r="I32" s="53">
        <f>ROUND(SUM(I30:I31),0)</f>
        <v>6900</v>
      </c>
      <c r="J32" s="29"/>
    </row>
    <row r="33" spans="2:13" ht="15.75" thickTop="1" x14ac:dyDescent="0.25">
      <c r="B33" s="28"/>
      <c r="C33" s="39" t="s">
        <v>3126</v>
      </c>
      <c r="D33" s="32"/>
      <c r="E33" s="32"/>
      <c r="F33" s="32"/>
      <c r="G33" s="32"/>
      <c r="H33" s="32"/>
      <c r="I33" s="55"/>
      <c r="J33" s="29"/>
    </row>
    <row r="34" spans="2:13" ht="15.75" thickBot="1" x14ac:dyDescent="0.3">
      <c r="B34" s="28"/>
      <c r="C34" s="54"/>
      <c r="D34" s="32"/>
      <c r="E34" s="32"/>
      <c r="F34" s="32"/>
      <c r="G34" s="32"/>
      <c r="H34" s="32"/>
      <c r="I34" s="55"/>
      <c r="J34" s="29"/>
    </row>
    <row r="35" spans="2:13" ht="23.25" customHeight="1" thickTop="1" x14ac:dyDescent="0.25">
      <c r="B35" s="28"/>
      <c r="C35" s="858" t="s">
        <v>3127</v>
      </c>
      <c r="D35" s="860"/>
      <c r="E35" s="596" t="s">
        <v>3128</v>
      </c>
      <c r="F35" s="596" t="s">
        <v>3129</v>
      </c>
      <c r="G35" s="72" t="s">
        <v>3130</v>
      </c>
      <c r="H35" s="596" t="s">
        <v>3125</v>
      </c>
      <c r="I35" s="43" t="s">
        <v>3106</v>
      </c>
      <c r="J35" s="29"/>
    </row>
    <row r="36" spans="2:13" x14ac:dyDescent="0.25">
      <c r="B36" s="28"/>
      <c r="C36" s="866"/>
      <c r="D36" s="867"/>
      <c r="E36" s="46"/>
      <c r="F36" s="73"/>
      <c r="G36" s="46"/>
      <c r="H36" s="47"/>
      <c r="I36" s="48">
        <f>+H36*G36</f>
        <v>0</v>
      </c>
      <c r="J36" s="29"/>
    </row>
    <row r="37" spans="2:13" ht="15.75" thickBot="1" x14ac:dyDescent="0.3">
      <c r="B37" s="28"/>
      <c r="C37" s="868"/>
      <c r="D37" s="869"/>
      <c r="E37" s="74"/>
      <c r="F37" s="75"/>
      <c r="G37" s="74"/>
      <c r="H37" s="76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52" t="s">
        <v>3109</v>
      </c>
      <c r="I38" s="80">
        <f>(SUM(I36:I37))</f>
        <v>0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70" t="s">
        <v>3133</v>
      </c>
      <c r="H40" s="871"/>
      <c r="I40" s="83">
        <f>ROUND(+I18+I25+I32+I38,0)</f>
        <v>144890</v>
      </c>
      <c r="J40" s="29"/>
      <c r="M40" s="23"/>
    </row>
    <row r="41" spans="2:13" ht="16.5" thickTop="1" thickBot="1" x14ac:dyDescent="0.3">
      <c r="B41" s="28"/>
      <c r="C41" s="39" t="s">
        <v>3134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58" t="s">
        <v>3135</v>
      </c>
      <c r="D42" s="859"/>
      <c r="E42" s="859"/>
      <c r="F42" s="859"/>
      <c r="G42" s="860"/>
      <c r="H42" s="596" t="s">
        <v>3136</v>
      </c>
      <c r="I42" s="43" t="s">
        <v>3137</v>
      </c>
      <c r="J42" s="29"/>
    </row>
    <row r="43" spans="2:13" x14ac:dyDescent="0.25">
      <c r="B43" s="28"/>
      <c r="C43" s="849" t="s">
        <v>3138</v>
      </c>
      <c r="D43" s="850"/>
      <c r="E43" s="850"/>
      <c r="F43" s="850"/>
      <c r="G43" s="851"/>
      <c r="H43" s="84">
        <v>0.2</v>
      </c>
      <c r="I43" s="85">
        <f>H43*I40</f>
        <v>28978</v>
      </c>
      <c r="J43" s="29"/>
    </row>
    <row r="44" spans="2:13" x14ac:dyDescent="0.25">
      <c r="B44" s="28"/>
      <c r="C44" s="849" t="s">
        <v>3139</v>
      </c>
      <c r="D44" s="850"/>
      <c r="E44" s="850"/>
      <c r="F44" s="850"/>
      <c r="G44" s="851"/>
      <c r="H44" s="84">
        <v>0.05</v>
      </c>
      <c r="I44" s="85">
        <f>H44*I40</f>
        <v>7244.5</v>
      </c>
      <c r="J44" s="29"/>
    </row>
    <row r="45" spans="2:13" ht="15.75" thickBot="1" x14ac:dyDescent="0.3">
      <c r="B45" s="28"/>
      <c r="C45" s="852" t="s">
        <v>3140</v>
      </c>
      <c r="D45" s="853"/>
      <c r="E45" s="853"/>
      <c r="F45" s="853"/>
      <c r="G45" s="854"/>
      <c r="H45" s="86">
        <v>0.05</v>
      </c>
      <c r="I45" s="71">
        <f>H45*I40</f>
        <v>7244.5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3109</v>
      </c>
      <c r="I46" s="53">
        <f>ROUND(SUM(I43:I45),0)</f>
        <v>43467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55" t="s">
        <v>3141</v>
      </c>
      <c r="H48" s="856"/>
      <c r="I48" s="89">
        <f>I46+I40</f>
        <v>188357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57" t="s">
        <v>3142</v>
      </c>
      <c r="I49" s="857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3143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28">
    <mergeCell ref="D8:I8"/>
    <mergeCell ref="C4:I4"/>
    <mergeCell ref="C5:I5"/>
    <mergeCell ref="C6:I6"/>
    <mergeCell ref="C7:I7"/>
    <mergeCell ref="C29:D29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H49:I49"/>
    <mergeCell ref="C30:D30"/>
    <mergeCell ref="C31:D31"/>
    <mergeCell ref="C35:D35"/>
    <mergeCell ref="C36:D36"/>
    <mergeCell ref="C37:D37"/>
    <mergeCell ref="G40:H40"/>
    <mergeCell ref="C42:G42"/>
    <mergeCell ref="C43:G43"/>
    <mergeCell ref="C44:G44"/>
    <mergeCell ref="C45:G45"/>
    <mergeCell ref="G48:H48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3"/>
  <sheetViews>
    <sheetView showGridLines="0" workbookViewId="0">
      <selection activeCell="C7" sqref="C7"/>
    </sheetView>
  </sheetViews>
  <sheetFormatPr baseColWidth="10" defaultColWidth="11.42578125" defaultRowHeight="11.25" x14ac:dyDescent="0.2"/>
  <cols>
    <col min="1" max="1" width="25.140625" style="118" customWidth="1"/>
    <col min="2" max="2" width="7.7109375" style="118" customWidth="1"/>
    <col min="3" max="3" width="8.140625" style="119" bestFit="1" customWidth="1"/>
    <col min="4" max="4" width="9.42578125" style="120" customWidth="1"/>
    <col min="5" max="5" width="9.42578125" style="118" bestFit="1" customWidth="1"/>
    <col min="6" max="6" width="12.140625" style="118" customWidth="1"/>
    <col min="7" max="7" width="10.42578125" style="118" customWidth="1"/>
    <col min="8" max="8" width="11.42578125" style="118" customWidth="1"/>
    <col min="9" max="9" width="7.85546875" style="118" customWidth="1"/>
    <col min="10" max="10" width="10.42578125" style="118" customWidth="1"/>
    <col min="11" max="11" width="7.42578125" style="118" bestFit="1" customWidth="1"/>
    <col min="12" max="12" width="10.42578125" style="118" customWidth="1"/>
    <col min="13" max="13" width="8.140625" style="118" customWidth="1"/>
    <col min="14" max="14" width="24.7109375" style="118" customWidth="1"/>
    <col min="15" max="16" width="8.85546875" style="118" customWidth="1"/>
    <col min="17" max="17" width="10.85546875" style="118" customWidth="1"/>
    <col min="18" max="18" width="11.7109375" style="118" bestFit="1" customWidth="1"/>
    <col min="19" max="22" width="11.42578125" style="118"/>
    <col min="23" max="23" width="16.140625" style="118" customWidth="1"/>
    <col min="24" max="256" width="11.42578125" style="118"/>
    <col min="257" max="257" width="25.140625" style="118" customWidth="1"/>
    <col min="258" max="258" width="7.7109375" style="118" customWidth="1"/>
    <col min="259" max="259" width="8.140625" style="118" bestFit="1" customWidth="1"/>
    <col min="260" max="260" width="9.42578125" style="118" customWidth="1"/>
    <col min="261" max="261" width="9.42578125" style="118" bestFit="1" customWidth="1"/>
    <col min="262" max="262" width="12.140625" style="118" customWidth="1"/>
    <col min="263" max="263" width="10.42578125" style="118" customWidth="1"/>
    <col min="264" max="264" width="11.42578125" style="118" customWidth="1"/>
    <col min="265" max="265" width="7.85546875" style="118" customWidth="1"/>
    <col min="266" max="266" width="10.42578125" style="118" customWidth="1"/>
    <col min="267" max="267" width="7.42578125" style="118" bestFit="1" customWidth="1"/>
    <col min="268" max="268" width="10.42578125" style="118" customWidth="1"/>
    <col min="269" max="269" width="8.140625" style="118" customWidth="1"/>
    <col min="270" max="270" width="24.7109375" style="118" customWidth="1"/>
    <col min="271" max="272" width="8.85546875" style="118" customWidth="1"/>
    <col min="273" max="273" width="10.85546875" style="118" customWidth="1"/>
    <col min="274" max="274" width="11.7109375" style="118" bestFit="1" customWidth="1"/>
    <col min="275" max="278" width="11.42578125" style="118"/>
    <col min="279" max="279" width="16.140625" style="118" customWidth="1"/>
    <col min="280" max="512" width="11.42578125" style="118"/>
    <col min="513" max="513" width="25.140625" style="118" customWidth="1"/>
    <col min="514" max="514" width="7.7109375" style="118" customWidth="1"/>
    <col min="515" max="515" width="8.140625" style="118" bestFit="1" customWidth="1"/>
    <col min="516" max="516" width="9.42578125" style="118" customWidth="1"/>
    <col min="517" max="517" width="9.42578125" style="118" bestFit="1" customWidth="1"/>
    <col min="518" max="518" width="12.140625" style="118" customWidth="1"/>
    <col min="519" max="519" width="10.42578125" style="118" customWidth="1"/>
    <col min="520" max="520" width="11.42578125" style="118" customWidth="1"/>
    <col min="521" max="521" width="7.85546875" style="118" customWidth="1"/>
    <col min="522" max="522" width="10.42578125" style="118" customWidth="1"/>
    <col min="523" max="523" width="7.42578125" style="118" bestFit="1" customWidth="1"/>
    <col min="524" max="524" width="10.42578125" style="118" customWidth="1"/>
    <col min="525" max="525" width="8.140625" style="118" customWidth="1"/>
    <col min="526" max="526" width="24.7109375" style="118" customWidth="1"/>
    <col min="527" max="528" width="8.85546875" style="118" customWidth="1"/>
    <col min="529" max="529" width="10.85546875" style="118" customWidth="1"/>
    <col min="530" max="530" width="11.7109375" style="118" bestFit="1" customWidth="1"/>
    <col min="531" max="534" width="11.42578125" style="118"/>
    <col min="535" max="535" width="16.140625" style="118" customWidth="1"/>
    <col min="536" max="768" width="11.42578125" style="118"/>
    <col min="769" max="769" width="25.140625" style="118" customWidth="1"/>
    <col min="770" max="770" width="7.7109375" style="118" customWidth="1"/>
    <col min="771" max="771" width="8.140625" style="118" bestFit="1" customWidth="1"/>
    <col min="772" max="772" width="9.42578125" style="118" customWidth="1"/>
    <col min="773" max="773" width="9.42578125" style="118" bestFit="1" customWidth="1"/>
    <col min="774" max="774" width="12.140625" style="118" customWidth="1"/>
    <col min="775" max="775" width="10.42578125" style="118" customWidth="1"/>
    <col min="776" max="776" width="11.42578125" style="118" customWidth="1"/>
    <col min="777" max="777" width="7.85546875" style="118" customWidth="1"/>
    <col min="778" max="778" width="10.42578125" style="118" customWidth="1"/>
    <col min="779" max="779" width="7.42578125" style="118" bestFit="1" customWidth="1"/>
    <col min="780" max="780" width="10.42578125" style="118" customWidth="1"/>
    <col min="781" max="781" width="8.140625" style="118" customWidth="1"/>
    <col min="782" max="782" width="24.7109375" style="118" customWidth="1"/>
    <col min="783" max="784" width="8.85546875" style="118" customWidth="1"/>
    <col min="785" max="785" width="10.85546875" style="118" customWidth="1"/>
    <col min="786" max="786" width="11.7109375" style="118" bestFit="1" customWidth="1"/>
    <col min="787" max="790" width="11.42578125" style="118"/>
    <col min="791" max="791" width="16.140625" style="118" customWidth="1"/>
    <col min="792" max="1024" width="11.42578125" style="118"/>
    <col min="1025" max="1025" width="25.140625" style="118" customWidth="1"/>
    <col min="1026" max="1026" width="7.7109375" style="118" customWidth="1"/>
    <col min="1027" max="1027" width="8.140625" style="118" bestFit="1" customWidth="1"/>
    <col min="1028" max="1028" width="9.42578125" style="118" customWidth="1"/>
    <col min="1029" max="1029" width="9.42578125" style="118" bestFit="1" customWidth="1"/>
    <col min="1030" max="1030" width="12.140625" style="118" customWidth="1"/>
    <col min="1031" max="1031" width="10.42578125" style="118" customWidth="1"/>
    <col min="1032" max="1032" width="11.42578125" style="118" customWidth="1"/>
    <col min="1033" max="1033" width="7.85546875" style="118" customWidth="1"/>
    <col min="1034" max="1034" width="10.42578125" style="118" customWidth="1"/>
    <col min="1035" max="1035" width="7.42578125" style="118" bestFit="1" customWidth="1"/>
    <col min="1036" max="1036" width="10.42578125" style="118" customWidth="1"/>
    <col min="1037" max="1037" width="8.140625" style="118" customWidth="1"/>
    <col min="1038" max="1038" width="24.7109375" style="118" customWidth="1"/>
    <col min="1039" max="1040" width="8.85546875" style="118" customWidth="1"/>
    <col min="1041" max="1041" width="10.85546875" style="118" customWidth="1"/>
    <col min="1042" max="1042" width="11.7109375" style="118" bestFit="1" customWidth="1"/>
    <col min="1043" max="1046" width="11.42578125" style="118"/>
    <col min="1047" max="1047" width="16.140625" style="118" customWidth="1"/>
    <col min="1048" max="1280" width="11.42578125" style="118"/>
    <col min="1281" max="1281" width="25.140625" style="118" customWidth="1"/>
    <col min="1282" max="1282" width="7.7109375" style="118" customWidth="1"/>
    <col min="1283" max="1283" width="8.140625" style="118" bestFit="1" customWidth="1"/>
    <col min="1284" max="1284" width="9.42578125" style="118" customWidth="1"/>
    <col min="1285" max="1285" width="9.42578125" style="118" bestFit="1" customWidth="1"/>
    <col min="1286" max="1286" width="12.140625" style="118" customWidth="1"/>
    <col min="1287" max="1287" width="10.42578125" style="118" customWidth="1"/>
    <col min="1288" max="1288" width="11.42578125" style="118" customWidth="1"/>
    <col min="1289" max="1289" width="7.85546875" style="118" customWidth="1"/>
    <col min="1290" max="1290" width="10.42578125" style="118" customWidth="1"/>
    <col min="1291" max="1291" width="7.42578125" style="118" bestFit="1" customWidth="1"/>
    <col min="1292" max="1292" width="10.42578125" style="118" customWidth="1"/>
    <col min="1293" max="1293" width="8.140625" style="118" customWidth="1"/>
    <col min="1294" max="1294" width="24.7109375" style="118" customWidth="1"/>
    <col min="1295" max="1296" width="8.85546875" style="118" customWidth="1"/>
    <col min="1297" max="1297" width="10.85546875" style="118" customWidth="1"/>
    <col min="1298" max="1298" width="11.7109375" style="118" bestFit="1" customWidth="1"/>
    <col min="1299" max="1302" width="11.42578125" style="118"/>
    <col min="1303" max="1303" width="16.140625" style="118" customWidth="1"/>
    <col min="1304" max="1536" width="11.42578125" style="118"/>
    <col min="1537" max="1537" width="25.140625" style="118" customWidth="1"/>
    <col min="1538" max="1538" width="7.7109375" style="118" customWidth="1"/>
    <col min="1539" max="1539" width="8.140625" style="118" bestFit="1" customWidth="1"/>
    <col min="1540" max="1540" width="9.42578125" style="118" customWidth="1"/>
    <col min="1541" max="1541" width="9.42578125" style="118" bestFit="1" customWidth="1"/>
    <col min="1542" max="1542" width="12.140625" style="118" customWidth="1"/>
    <col min="1543" max="1543" width="10.42578125" style="118" customWidth="1"/>
    <col min="1544" max="1544" width="11.42578125" style="118" customWidth="1"/>
    <col min="1545" max="1545" width="7.85546875" style="118" customWidth="1"/>
    <col min="1546" max="1546" width="10.42578125" style="118" customWidth="1"/>
    <col min="1547" max="1547" width="7.42578125" style="118" bestFit="1" customWidth="1"/>
    <col min="1548" max="1548" width="10.42578125" style="118" customWidth="1"/>
    <col min="1549" max="1549" width="8.140625" style="118" customWidth="1"/>
    <col min="1550" max="1550" width="24.7109375" style="118" customWidth="1"/>
    <col min="1551" max="1552" width="8.85546875" style="118" customWidth="1"/>
    <col min="1553" max="1553" width="10.85546875" style="118" customWidth="1"/>
    <col min="1554" max="1554" width="11.7109375" style="118" bestFit="1" customWidth="1"/>
    <col min="1555" max="1558" width="11.42578125" style="118"/>
    <col min="1559" max="1559" width="16.140625" style="118" customWidth="1"/>
    <col min="1560" max="1792" width="11.42578125" style="118"/>
    <col min="1793" max="1793" width="25.140625" style="118" customWidth="1"/>
    <col min="1794" max="1794" width="7.7109375" style="118" customWidth="1"/>
    <col min="1795" max="1795" width="8.140625" style="118" bestFit="1" customWidth="1"/>
    <col min="1796" max="1796" width="9.42578125" style="118" customWidth="1"/>
    <col min="1797" max="1797" width="9.42578125" style="118" bestFit="1" customWidth="1"/>
    <col min="1798" max="1798" width="12.140625" style="118" customWidth="1"/>
    <col min="1799" max="1799" width="10.42578125" style="118" customWidth="1"/>
    <col min="1800" max="1800" width="11.42578125" style="118" customWidth="1"/>
    <col min="1801" max="1801" width="7.85546875" style="118" customWidth="1"/>
    <col min="1802" max="1802" width="10.42578125" style="118" customWidth="1"/>
    <col min="1803" max="1803" width="7.42578125" style="118" bestFit="1" customWidth="1"/>
    <col min="1804" max="1804" width="10.42578125" style="118" customWidth="1"/>
    <col min="1805" max="1805" width="8.140625" style="118" customWidth="1"/>
    <col min="1806" max="1806" width="24.7109375" style="118" customWidth="1"/>
    <col min="1807" max="1808" width="8.85546875" style="118" customWidth="1"/>
    <col min="1809" max="1809" width="10.85546875" style="118" customWidth="1"/>
    <col min="1810" max="1810" width="11.7109375" style="118" bestFit="1" customWidth="1"/>
    <col min="1811" max="1814" width="11.42578125" style="118"/>
    <col min="1815" max="1815" width="16.140625" style="118" customWidth="1"/>
    <col min="1816" max="2048" width="11.42578125" style="118"/>
    <col min="2049" max="2049" width="25.140625" style="118" customWidth="1"/>
    <col min="2050" max="2050" width="7.7109375" style="118" customWidth="1"/>
    <col min="2051" max="2051" width="8.140625" style="118" bestFit="1" customWidth="1"/>
    <col min="2052" max="2052" width="9.42578125" style="118" customWidth="1"/>
    <col min="2053" max="2053" width="9.42578125" style="118" bestFit="1" customWidth="1"/>
    <col min="2054" max="2054" width="12.140625" style="118" customWidth="1"/>
    <col min="2055" max="2055" width="10.42578125" style="118" customWidth="1"/>
    <col min="2056" max="2056" width="11.42578125" style="118" customWidth="1"/>
    <col min="2057" max="2057" width="7.85546875" style="118" customWidth="1"/>
    <col min="2058" max="2058" width="10.42578125" style="118" customWidth="1"/>
    <col min="2059" max="2059" width="7.42578125" style="118" bestFit="1" customWidth="1"/>
    <col min="2060" max="2060" width="10.42578125" style="118" customWidth="1"/>
    <col min="2061" max="2061" width="8.140625" style="118" customWidth="1"/>
    <col min="2062" max="2062" width="24.7109375" style="118" customWidth="1"/>
    <col min="2063" max="2064" width="8.85546875" style="118" customWidth="1"/>
    <col min="2065" max="2065" width="10.85546875" style="118" customWidth="1"/>
    <col min="2066" max="2066" width="11.7109375" style="118" bestFit="1" customWidth="1"/>
    <col min="2067" max="2070" width="11.42578125" style="118"/>
    <col min="2071" max="2071" width="16.140625" style="118" customWidth="1"/>
    <col min="2072" max="2304" width="11.42578125" style="118"/>
    <col min="2305" max="2305" width="25.140625" style="118" customWidth="1"/>
    <col min="2306" max="2306" width="7.7109375" style="118" customWidth="1"/>
    <col min="2307" max="2307" width="8.140625" style="118" bestFit="1" customWidth="1"/>
    <col min="2308" max="2308" width="9.42578125" style="118" customWidth="1"/>
    <col min="2309" max="2309" width="9.42578125" style="118" bestFit="1" customWidth="1"/>
    <col min="2310" max="2310" width="12.140625" style="118" customWidth="1"/>
    <col min="2311" max="2311" width="10.42578125" style="118" customWidth="1"/>
    <col min="2312" max="2312" width="11.42578125" style="118" customWidth="1"/>
    <col min="2313" max="2313" width="7.85546875" style="118" customWidth="1"/>
    <col min="2314" max="2314" width="10.42578125" style="118" customWidth="1"/>
    <col min="2315" max="2315" width="7.42578125" style="118" bestFit="1" customWidth="1"/>
    <col min="2316" max="2316" width="10.42578125" style="118" customWidth="1"/>
    <col min="2317" max="2317" width="8.140625" style="118" customWidth="1"/>
    <col min="2318" max="2318" width="24.7109375" style="118" customWidth="1"/>
    <col min="2319" max="2320" width="8.85546875" style="118" customWidth="1"/>
    <col min="2321" max="2321" width="10.85546875" style="118" customWidth="1"/>
    <col min="2322" max="2322" width="11.7109375" style="118" bestFit="1" customWidth="1"/>
    <col min="2323" max="2326" width="11.42578125" style="118"/>
    <col min="2327" max="2327" width="16.140625" style="118" customWidth="1"/>
    <col min="2328" max="2560" width="11.42578125" style="118"/>
    <col min="2561" max="2561" width="25.140625" style="118" customWidth="1"/>
    <col min="2562" max="2562" width="7.7109375" style="118" customWidth="1"/>
    <col min="2563" max="2563" width="8.140625" style="118" bestFit="1" customWidth="1"/>
    <col min="2564" max="2564" width="9.42578125" style="118" customWidth="1"/>
    <col min="2565" max="2565" width="9.42578125" style="118" bestFit="1" customWidth="1"/>
    <col min="2566" max="2566" width="12.140625" style="118" customWidth="1"/>
    <col min="2567" max="2567" width="10.42578125" style="118" customWidth="1"/>
    <col min="2568" max="2568" width="11.42578125" style="118" customWidth="1"/>
    <col min="2569" max="2569" width="7.85546875" style="118" customWidth="1"/>
    <col min="2570" max="2570" width="10.42578125" style="118" customWidth="1"/>
    <col min="2571" max="2571" width="7.42578125" style="118" bestFit="1" customWidth="1"/>
    <col min="2572" max="2572" width="10.42578125" style="118" customWidth="1"/>
    <col min="2573" max="2573" width="8.140625" style="118" customWidth="1"/>
    <col min="2574" max="2574" width="24.7109375" style="118" customWidth="1"/>
    <col min="2575" max="2576" width="8.85546875" style="118" customWidth="1"/>
    <col min="2577" max="2577" width="10.85546875" style="118" customWidth="1"/>
    <col min="2578" max="2578" width="11.7109375" style="118" bestFit="1" customWidth="1"/>
    <col min="2579" max="2582" width="11.42578125" style="118"/>
    <col min="2583" max="2583" width="16.140625" style="118" customWidth="1"/>
    <col min="2584" max="2816" width="11.42578125" style="118"/>
    <col min="2817" max="2817" width="25.140625" style="118" customWidth="1"/>
    <col min="2818" max="2818" width="7.7109375" style="118" customWidth="1"/>
    <col min="2819" max="2819" width="8.140625" style="118" bestFit="1" customWidth="1"/>
    <col min="2820" max="2820" width="9.42578125" style="118" customWidth="1"/>
    <col min="2821" max="2821" width="9.42578125" style="118" bestFit="1" customWidth="1"/>
    <col min="2822" max="2822" width="12.140625" style="118" customWidth="1"/>
    <col min="2823" max="2823" width="10.42578125" style="118" customWidth="1"/>
    <col min="2824" max="2824" width="11.42578125" style="118" customWidth="1"/>
    <col min="2825" max="2825" width="7.85546875" style="118" customWidth="1"/>
    <col min="2826" max="2826" width="10.42578125" style="118" customWidth="1"/>
    <col min="2827" max="2827" width="7.42578125" style="118" bestFit="1" customWidth="1"/>
    <col min="2828" max="2828" width="10.42578125" style="118" customWidth="1"/>
    <col min="2829" max="2829" width="8.140625" style="118" customWidth="1"/>
    <col min="2830" max="2830" width="24.7109375" style="118" customWidth="1"/>
    <col min="2831" max="2832" width="8.85546875" style="118" customWidth="1"/>
    <col min="2833" max="2833" width="10.85546875" style="118" customWidth="1"/>
    <col min="2834" max="2834" width="11.7109375" style="118" bestFit="1" customWidth="1"/>
    <col min="2835" max="2838" width="11.42578125" style="118"/>
    <col min="2839" max="2839" width="16.140625" style="118" customWidth="1"/>
    <col min="2840" max="3072" width="11.42578125" style="118"/>
    <col min="3073" max="3073" width="25.140625" style="118" customWidth="1"/>
    <col min="3074" max="3074" width="7.7109375" style="118" customWidth="1"/>
    <col min="3075" max="3075" width="8.140625" style="118" bestFit="1" customWidth="1"/>
    <col min="3076" max="3076" width="9.42578125" style="118" customWidth="1"/>
    <col min="3077" max="3077" width="9.42578125" style="118" bestFit="1" customWidth="1"/>
    <col min="3078" max="3078" width="12.140625" style="118" customWidth="1"/>
    <col min="3079" max="3079" width="10.42578125" style="118" customWidth="1"/>
    <col min="3080" max="3080" width="11.42578125" style="118" customWidth="1"/>
    <col min="3081" max="3081" width="7.85546875" style="118" customWidth="1"/>
    <col min="3082" max="3082" width="10.42578125" style="118" customWidth="1"/>
    <col min="3083" max="3083" width="7.42578125" style="118" bestFit="1" customWidth="1"/>
    <col min="3084" max="3084" width="10.42578125" style="118" customWidth="1"/>
    <col min="3085" max="3085" width="8.140625" style="118" customWidth="1"/>
    <col min="3086" max="3086" width="24.7109375" style="118" customWidth="1"/>
    <col min="3087" max="3088" width="8.85546875" style="118" customWidth="1"/>
    <col min="3089" max="3089" width="10.85546875" style="118" customWidth="1"/>
    <col min="3090" max="3090" width="11.7109375" style="118" bestFit="1" customWidth="1"/>
    <col min="3091" max="3094" width="11.42578125" style="118"/>
    <col min="3095" max="3095" width="16.140625" style="118" customWidth="1"/>
    <col min="3096" max="3328" width="11.42578125" style="118"/>
    <col min="3329" max="3329" width="25.140625" style="118" customWidth="1"/>
    <col min="3330" max="3330" width="7.7109375" style="118" customWidth="1"/>
    <col min="3331" max="3331" width="8.140625" style="118" bestFit="1" customWidth="1"/>
    <col min="3332" max="3332" width="9.42578125" style="118" customWidth="1"/>
    <col min="3333" max="3333" width="9.42578125" style="118" bestFit="1" customWidth="1"/>
    <col min="3334" max="3334" width="12.140625" style="118" customWidth="1"/>
    <col min="3335" max="3335" width="10.42578125" style="118" customWidth="1"/>
    <col min="3336" max="3336" width="11.42578125" style="118" customWidth="1"/>
    <col min="3337" max="3337" width="7.85546875" style="118" customWidth="1"/>
    <col min="3338" max="3338" width="10.42578125" style="118" customWidth="1"/>
    <col min="3339" max="3339" width="7.42578125" style="118" bestFit="1" customWidth="1"/>
    <col min="3340" max="3340" width="10.42578125" style="118" customWidth="1"/>
    <col min="3341" max="3341" width="8.140625" style="118" customWidth="1"/>
    <col min="3342" max="3342" width="24.7109375" style="118" customWidth="1"/>
    <col min="3343" max="3344" width="8.85546875" style="118" customWidth="1"/>
    <col min="3345" max="3345" width="10.85546875" style="118" customWidth="1"/>
    <col min="3346" max="3346" width="11.7109375" style="118" bestFit="1" customWidth="1"/>
    <col min="3347" max="3350" width="11.42578125" style="118"/>
    <col min="3351" max="3351" width="16.140625" style="118" customWidth="1"/>
    <col min="3352" max="3584" width="11.42578125" style="118"/>
    <col min="3585" max="3585" width="25.140625" style="118" customWidth="1"/>
    <col min="3586" max="3586" width="7.7109375" style="118" customWidth="1"/>
    <col min="3587" max="3587" width="8.140625" style="118" bestFit="1" customWidth="1"/>
    <col min="3588" max="3588" width="9.42578125" style="118" customWidth="1"/>
    <col min="3589" max="3589" width="9.42578125" style="118" bestFit="1" customWidth="1"/>
    <col min="3590" max="3590" width="12.140625" style="118" customWidth="1"/>
    <col min="3591" max="3591" width="10.42578125" style="118" customWidth="1"/>
    <col min="3592" max="3592" width="11.42578125" style="118" customWidth="1"/>
    <col min="3593" max="3593" width="7.85546875" style="118" customWidth="1"/>
    <col min="3594" max="3594" width="10.42578125" style="118" customWidth="1"/>
    <col min="3595" max="3595" width="7.42578125" style="118" bestFit="1" customWidth="1"/>
    <col min="3596" max="3596" width="10.42578125" style="118" customWidth="1"/>
    <col min="3597" max="3597" width="8.140625" style="118" customWidth="1"/>
    <col min="3598" max="3598" width="24.7109375" style="118" customWidth="1"/>
    <col min="3599" max="3600" width="8.85546875" style="118" customWidth="1"/>
    <col min="3601" max="3601" width="10.85546875" style="118" customWidth="1"/>
    <col min="3602" max="3602" width="11.7109375" style="118" bestFit="1" customWidth="1"/>
    <col min="3603" max="3606" width="11.42578125" style="118"/>
    <col min="3607" max="3607" width="16.140625" style="118" customWidth="1"/>
    <col min="3608" max="3840" width="11.42578125" style="118"/>
    <col min="3841" max="3841" width="25.140625" style="118" customWidth="1"/>
    <col min="3842" max="3842" width="7.7109375" style="118" customWidth="1"/>
    <col min="3843" max="3843" width="8.140625" style="118" bestFit="1" customWidth="1"/>
    <col min="3844" max="3844" width="9.42578125" style="118" customWidth="1"/>
    <col min="3845" max="3845" width="9.42578125" style="118" bestFit="1" customWidth="1"/>
    <col min="3846" max="3846" width="12.140625" style="118" customWidth="1"/>
    <col min="3847" max="3847" width="10.42578125" style="118" customWidth="1"/>
    <col min="3848" max="3848" width="11.42578125" style="118" customWidth="1"/>
    <col min="3849" max="3849" width="7.85546875" style="118" customWidth="1"/>
    <col min="3850" max="3850" width="10.42578125" style="118" customWidth="1"/>
    <col min="3851" max="3851" width="7.42578125" style="118" bestFit="1" customWidth="1"/>
    <col min="3852" max="3852" width="10.42578125" style="118" customWidth="1"/>
    <col min="3853" max="3853" width="8.140625" style="118" customWidth="1"/>
    <col min="3854" max="3854" width="24.7109375" style="118" customWidth="1"/>
    <col min="3855" max="3856" width="8.85546875" style="118" customWidth="1"/>
    <col min="3857" max="3857" width="10.85546875" style="118" customWidth="1"/>
    <col min="3858" max="3858" width="11.7109375" style="118" bestFit="1" customWidth="1"/>
    <col min="3859" max="3862" width="11.42578125" style="118"/>
    <col min="3863" max="3863" width="16.140625" style="118" customWidth="1"/>
    <col min="3864" max="4096" width="11.42578125" style="118"/>
    <col min="4097" max="4097" width="25.140625" style="118" customWidth="1"/>
    <col min="4098" max="4098" width="7.7109375" style="118" customWidth="1"/>
    <col min="4099" max="4099" width="8.140625" style="118" bestFit="1" customWidth="1"/>
    <col min="4100" max="4100" width="9.42578125" style="118" customWidth="1"/>
    <col min="4101" max="4101" width="9.42578125" style="118" bestFit="1" customWidth="1"/>
    <col min="4102" max="4102" width="12.140625" style="118" customWidth="1"/>
    <col min="4103" max="4103" width="10.42578125" style="118" customWidth="1"/>
    <col min="4104" max="4104" width="11.42578125" style="118" customWidth="1"/>
    <col min="4105" max="4105" width="7.85546875" style="118" customWidth="1"/>
    <col min="4106" max="4106" width="10.42578125" style="118" customWidth="1"/>
    <col min="4107" max="4107" width="7.42578125" style="118" bestFit="1" customWidth="1"/>
    <col min="4108" max="4108" width="10.42578125" style="118" customWidth="1"/>
    <col min="4109" max="4109" width="8.140625" style="118" customWidth="1"/>
    <col min="4110" max="4110" width="24.7109375" style="118" customWidth="1"/>
    <col min="4111" max="4112" width="8.85546875" style="118" customWidth="1"/>
    <col min="4113" max="4113" width="10.85546875" style="118" customWidth="1"/>
    <col min="4114" max="4114" width="11.7109375" style="118" bestFit="1" customWidth="1"/>
    <col min="4115" max="4118" width="11.42578125" style="118"/>
    <col min="4119" max="4119" width="16.140625" style="118" customWidth="1"/>
    <col min="4120" max="4352" width="11.42578125" style="118"/>
    <col min="4353" max="4353" width="25.140625" style="118" customWidth="1"/>
    <col min="4354" max="4354" width="7.7109375" style="118" customWidth="1"/>
    <col min="4355" max="4355" width="8.140625" style="118" bestFit="1" customWidth="1"/>
    <col min="4356" max="4356" width="9.42578125" style="118" customWidth="1"/>
    <col min="4357" max="4357" width="9.42578125" style="118" bestFit="1" customWidth="1"/>
    <col min="4358" max="4358" width="12.140625" style="118" customWidth="1"/>
    <col min="4359" max="4359" width="10.42578125" style="118" customWidth="1"/>
    <col min="4360" max="4360" width="11.42578125" style="118" customWidth="1"/>
    <col min="4361" max="4361" width="7.85546875" style="118" customWidth="1"/>
    <col min="4362" max="4362" width="10.42578125" style="118" customWidth="1"/>
    <col min="4363" max="4363" width="7.42578125" style="118" bestFit="1" customWidth="1"/>
    <col min="4364" max="4364" width="10.42578125" style="118" customWidth="1"/>
    <col min="4365" max="4365" width="8.140625" style="118" customWidth="1"/>
    <col min="4366" max="4366" width="24.7109375" style="118" customWidth="1"/>
    <col min="4367" max="4368" width="8.85546875" style="118" customWidth="1"/>
    <col min="4369" max="4369" width="10.85546875" style="118" customWidth="1"/>
    <col min="4370" max="4370" width="11.7109375" style="118" bestFit="1" customWidth="1"/>
    <col min="4371" max="4374" width="11.42578125" style="118"/>
    <col min="4375" max="4375" width="16.140625" style="118" customWidth="1"/>
    <col min="4376" max="4608" width="11.42578125" style="118"/>
    <col min="4609" max="4609" width="25.140625" style="118" customWidth="1"/>
    <col min="4610" max="4610" width="7.7109375" style="118" customWidth="1"/>
    <col min="4611" max="4611" width="8.140625" style="118" bestFit="1" customWidth="1"/>
    <col min="4612" max="4612" width="9.42578125" style="118" customWidth="1"/>
    <col min="4613" max="4613" width="9.42578125" style="118" bestFit="1" customWidth="1"/>
    <col min="4614" max="4614" width="12.140625" style="118" customWidth="1"/>
    <col min="4615" max="4615" width="10.42578125" style="118" customWidth="1"/>
    <col min="4616" max="4616" width="11.42578125" style="118" customWidth="1"/>
    <col min="4617" max="4617" width="7.85546875" style="118" customWidth="1"/>
    <col min="4618" max="4618" width="10.42578125" style="118" customWidth="1"/>
    <col min="4619" max="4619" width="7.42578125" style="118" bestFit="1" customWidth="1"/>
    <col min="4620" max="4620" width="10.42578125" style="118" customWidth="1"/>
    <col min="4621" max="4621" width="8.140625" style="118" customWidth="1"/>
    <col min="4622" max="4622" width="24.7109375" style="118" customWidth="1"/>
    <col min="4623" max="4624" width="8.85546875" style="118" customWidth="1"/>
    <col min="4625" max="4625" width="10.85546875" style="118" customWidth="1"/>
    <col min="4626" max="4626" width="11.7109375" style="118" bestFit="1" customWidth="1"/>
    <col min="4627" max="4630" width="11.42578125" style="118"/>
    <col min="4631" max="4631" width="16.140625" style="118" customWidth="1"/>
    <col min="4632" max="4864" width="11.42578125" style="118"/>
    <col min="4865" max="4865" width="25.140625" style="118" customWidth="1"/>
    <col min="4866" max="4866" width="7.7109375" style="118" customWidth="1"/>
    <col min="4867" max="4867" width="8.140625" style="118" bestFit="1" customWidth="1"/>
    <col min="4868" max="4868" width="9.42578125" style="118" customWidth="1"/>
    <col min="4869" max="4869" width="9.42578125" style="118" bestFit="1" customWidth="1"/>
    <col min="4870" max="4870" width="12.140625" style="118" customWidth="1"/>
    <col min="4871" max="4871" width="10.42578125" style="118" customWidth="1"/>
    <col min="4872" max="4872" width="11.42578125" style="118" customWidth="1"/>
    <col min="4873" max="4873" width="7.85546875" style="118" customWidth="1"/>
    <col min="4874" max="4874" width="10.42578125" style="118" customWidth="1"/>
    <col min="4875" max="4875" width="7.42578125" style="118" bestFit="1" customWidth="1"/>
    <col min="4876" max="4876" width="10.42578125" style="118" customWidth="1"/>
    <col min="4877" max="4877" width="8.140625" style="118" customWidth="1"/>
    <col min="4878" max="4878" width="24.7109375" style="118" customWidth="1"/>
    <col min="4879" max="4880" width="8.85546875" style="118" customWidth="1"/>
    <col min="4881" max="4881" width="10.85546875" style="118" customWidth="1"/>
    <col min="4882" max="4882" width="11.7109375" style="118" bestFit="1" customWidth="1"/>
    <col min="4883" max="4886" width="11.42578125" style="118"/>
    <col min="4887" max="4887" width="16.140625" style="118" customWidth="1"/>
    <col min="4888" max="5120" width="11.42578125" style="118"/>
    <col min="5121" max="5121" width="25.140625" style="118" customWidth="1"/>
    <col min="5122" max="5122" width="7.7109375" style="118" customWidth="1"/>
    <col min="5123" max="5123" width="8.140625" style="118" bestFit="1" customWidth="1"/>
    <col min="5124" max="5124" width="9.42578125" style="118" customWidth="1"/>
    <col min="5125" max="5125" width="9.42578125" style="118" bestFit="1" customWidth="1"/>
    <col min="5126" max="5126" width="12.140625" style="118" customWidth="1"/>
    <col min="5127" max="5127" width="10.42578125" style="118" customWidth="1"/>
    <col min="5128" max="5128" width="11.42578125" style="118" customWidth="1"/>
    <col min="5129" max="5129" width="7.85546875" style="118" customWidth="1"/>
    <col min="5130" max="5130" width="10.42578125" style="118" customWidth="1"/>
    <col min="5131" max="5131" width="7.42578125" style="118" bestFit="1" customWidth="1"/>
    <col min="5132" max="5132" width="10.42578125" style="118" customWidth="1"/>
    <col min="5133" max="5133" width="8.140625" style="118" customWidth="1"/>
    <col min="5134" max="5134" width="24.7109375" style="118" customWidth="1"/>
    <col min="5135" max="5136" width="8.85546875" style="118" customWidth="1"/>
    <col min="5137" max="5137" width="10.85546875" style="118" customWidth="1"/>
    <col min="5138" max="5138" width="11.7109375" style="118" bestFit="1" customWidth="1"/>
    <col min="5139" max="5142" width="11.42578125" style="118"/>
    <col min="5143" max="5143" width="16.140625" style="118" customWidth="1"/>
    <col min="5144" max="5376" width="11.42578125" style="118"/>
    <col min="5377" max="5377" width="25.140625" style="118" customWidth="1"/>
    <col min="5378" max="5378" width="7.7109375" style="118" customWidth="1"/>
    <col min="5379" max="5379" width="8.140625" style="118" bestFit="1" customWidth="1"/>
    <col min="5380" max="5380" width="9.42578125" style="118" customWidth="1"/>
    <col min="5381" max="5381" width="9.42578125" style="118" bestFit="1" customWidth="1"/>
    <col min="5382" max="5382" width="12.140625" style="118" customWidth="1"/>
    <col min="5383" max="5383" width="10.42578125" style="118" customWidth="1"/>
    <col min="5384" max="5384" width="11.42578125" style="118" customWidth="1"/>
    <col min="5385" max="5385" width="7.85546875" style="118" customWidth="1"/>
    <col min="5386" max="5386" width="10.42578125" style="118" customWidth="1"/>
    <col min="5387" max="5387" width="7.42578125" style="118" bestFit="1" customWidth="1"/>
    <col min="5388" max="5388" width="10.42578125" style="118" customWidth="1"/>
    <col min="5389" max="5389" width="8.140625" style="118" customWidth="1"/>
    <col min="5390" max="5390" width="24.7109375" style="118" customWidth="1"/>
    <col min="5391" max="5392" width="8.85546875" style="118" customWidth="1"/>
    <col min="5393" max="5393" width="10.85546875" style="118" customWidth="1"/>
    <col min="5394" max="5394" width="11.7109375" style="118" bestFit="1" customWidth="1"/>
    <col min="5395" max="5398" width="11.42578125" style="118"/>
    <col min="5399" max="5399" width="16.140625" style="118" customWidth="1"/>
    <col min="5400" max="5632" width="11.42578125" style="118"/>
    <col min="5633" max="5633" width="25.140625" style="118" customWidth="1"/>
    <col min="5634" max="5634" width="7.7109375" style="118" customWidth="1"/>
    <col min="5635" max="5635" width="8.140625" style="118" bestFit="1" customWidth="1"/>
    <col min="5636" max="5636" width="9.42578125" style="118" customWidth="1"/>
    <col min="5637" max="5637" width="9.42578125" style="118" bestFit="1" customWidth="1"/>
    <col min="5638" max="5638" width="12.140625" style="118" customWidth="1"/>
    <col min="5639" max="5639" width="10.42578125" style="118" customWidth="1"/>
    <col min="5640" max="5640" width="11.42578125" style="118" customWidth="1"/>
    <col min="5641" max="5641" width="7.85546875" style="118" customWidth="1"/>
    <col min="5642" max="5642" width="10.42578125" style="118" customWidth="1"/>
    <col min="5643" max="5643" width="7.42578125" style="118" bestFit="1" customWidth="1"/>
    <col min="5644" max="5644" width="10.42578125" style="118" customWidth="1"/>
    <col min="5645" max="5645" width="8.140625" style="118" customWidth="1"/>
    <col min="5646" max="5646" width="24.7109375" style="118" customWidth="1"/>
    <col min="5647" max="5648" width="8.85546875" style="118" customWidth="1"/>
    <col min="5649" max="5649" width="10.85546875" style="118" customWidth="1"/>
    <col min="5650" max="5650" width="11.7109375" style="118" bestFit="1" customWidth="1"/>
    <col min="5651" max="5654" width="11.42578125" style="118"/>
    <col min="5655" max="5655" width="16.140625" style="118" customWidth="1"/>
    <col min="5656" max="5888" width="11.42578125" style="118"/>
    <col min="5889" max="5889" width="25.140625" style="118" customWidth="1"/>
    <col min="5890" max="5890" width="7.7109375" style="118" customWidth="1"/>
    <col min="5891" max="5891" width="8.140625" style="118" bestFit="1" customWidth="1"/>
    <col min="5892" max="5892" width="9.42578125" style="118" customWidth="1"/>
    <col min="5893" max="5893" width="9.42578125" style="118" bestFit="1" customWidth="1"/>
    <col min="5894" max="5894" width="12.140625" style="118" customWidth="1"/>
    <col min="5895" max="5895" width="10.42578125" style="118" customWidth="1"/>
    <col min="5896" max="5896" width="11.42578125" style="118" customWidth="1"/>
    <col min="5897" max="5897" width="7.85546875" style="118" customWidth="1"/>
    <col min="5898" max="5898" width="10.42578125" style="118" customWidth="1"/>
    <col min="5899" max="5899" width="7.42578125" style="118" bestFit="1" customWidth="1"/>
    <col min="5900" max="5900" width="10.42578125" style="118" customWidth="1"/>
    <col min="5901" max="5901" width="8.140625" style="118" customWidth="1"/>
    <col min="5902" max="5902" width="24.7109375" style="118" customWidth="1"/>
    <col min="5903" max="5904" width="8.85546875" style="118" customWidth="1"/>
    <col min="5905" max="5905" width="10.85546875" style="118" customWidth="1"/>
    <col min="5906" max="5906" width="11.7109375" style="118" bestFit="1" customWidth="1"/>
    <col min="5907" max="5910" width="11.42578125" style="118"/>
    <col min="5911" max="5911" width="16.140625" style="118" customWidth="1"/>
    <col min="5912" max="6144" width="11.42578125" style="118"/>
    <col min="6145" max="6145" width="25.140625" style="118" customWidth="1"/>
    <col min="6146" max="6146" width="7.7109375" style="118" customWidth="1"/>
    <col min="6147" max="6147" width="8.140625" style="118" bestFit="1" customWidth="1"/>
    <col min="6148" max="6148" width="9.42578125" style="118" customWidth="1"/>
    <col min="6149" max="6149" width="9.42578125" style="118" bestFit="1" customWidth="1"/>
    <col min="6150" max="6150" width="12.140625" style="118" customWidth="1"/>
    <col min="6151" max="6151" width="10.42578125" style="118" customWidth="1"/>
    <col min="6152" max="6152" width="11.42578125" style="118" customWidth="1"/>
    <col min="6153" max="6153" width="7.85546875" style="118" customWidth="1"/>
    <col min="6154" max="6154" width="10.42578125" style="118" customWidth="1"/>
    <col min="6155" max="6155" width="7.42578125" style="118" bestFit="1" customWidth="1"/>
    <col min="6156" max="6156" width="10.42578125" style="118" customWidth="1"/>
    <col min="6157" max="6157" width="8.140625" style="118" customWidth="1"/>
    <col min="6158" max="6158" width="24.7109375" style="118" customWidth="1"/>
    <col min="6159" max="6160" width="8.85546875" style="118" customWidth="1"/>
    <col min="6161" max="6161" width="10.85546875" style="118" customWidth="1"/>
    <col min="6162" max="6162" width="11.7109375" style="118" bestFit="1" customWidth="1"/>
    <col min="6163" max="6166" width="11.42578125" style="118"/>
    <col min="6167" max="6167" width="16.140625" style="118" customWidth="1"/>
    <col min="6168" max="6400" width="11.42578125" style="118"/>
    <col min="6401" max="6401" width="25.140625" style="118" customWidth="1"/>
    <col min="6402" max="6402" width="7.7109375" style="118" customWidth="1"/>
    <col min="6403" max="6403" width="8.140625" style="118" bestFit="1" customWidth="1"/>
    <col min="6404" max="6404" width="9.42578125" style="118" customWidth="1"/>
    <col min="6405" max="6405" width="9.42578125" style="118" bestFit="1" customWidth="1"/>
    <col min="6406" max="6406" width="12.140625" style="118" customWidth="1"/>
    <col min="6407" max="6407" width="10.42578125" style="118" customWidth="1"/>
    <col min="6408" max="6408" width="11.42578125" style="118" customWidth="1"/>
    <col min="6409" max="6409" width="7.85546875" style="118" customWidth="1"/>
    <col min="6410" max="6410" width="10.42578125" style="118" customWidth="1"/>
    <col min="6411" max="6411" width="7.42578125" style="118" bestFit="1" customWidth="1"/>
    <col min="6412" max="6412" width="10.42578125" style="118" customWidth="1"/>
    <col min="6413" max="6413" width="8.140625" style="118" customWidth="1"/>
    <col min="6414" max="6414" width="24.7109375" style="118" customWidth="1"/>
    <col min="6415" max="6416" width="8.85546875" style="118" customWidth="1"/>
    <col min="6417" max="6417" width="10.85546875" style="118" customWidth="1"/>
    <col min="6418" max="6418" width="11.7109375" style="118" bestFit="1" customWidth="1"/>
    <col min="6419" max="6422" width="11.42578125" style="118"/>
    <col min="6423" max="6423" width="16.140625" style="118" customWidth="1"/>
    <col min="6424" max="6656" width="11.42578125" style="118"/>
    <col min="6657" max="6657" width="25.140625" style="118" customWidth="1"/>
    <col min="6658" max="6658" width="7.7109375" style="118" customWidth="1"/>
    <col min="6659" max="6659" width="8.140625" style="118" bestFit="1" customWidth="1"/>
    <col min="6660" max="6660" width="9.42578125" style="118" customWidth="1"/>
    <col min="6661" max="6661" width="9.42578125" style="118" bestFit="1" customWidth="1"/>
    <col min="6662" max="6662" width="12.140625" style="118" customWidth="1"/>
    <col min="6663" max="6663" width="10.42578125" style="118" customWidth="1"/>
    <col min="6664" max="6664" width="11.42578125" style="118" customWidth="1"/>
    <col min="6665" max="6665" width="7.85546875" style="118" customWidth="1"/>
    <col min="6666" max="6666" width="10.42578125" style="118" customWidth="1"/>
    <col min="6667" max="6667" width="7.42578125" style="118" bestFit="1" customWidth="1"/>
    <col min="6668" max="6668" width="10.42578125" style="118" customWidth="1"/>
    <col min="6669" max="6669" width="8.140625" style="118" customWidth="1"/>
    <col min="6670" max="6670" width="24.7109375" style="118" customWidth="1"/>
    <col min="6671" max="6672" width="8.85546875" style="118" customWidth="1"/>
    <col min="6673" max="6673" width="10.85546875" style="118" customWidth="1"/>
    <col min="6674" max="6674" width="11.7109375" style="118" bestFit="1" customWidth="1"/>
    <col min="6675" max="6678" width="11.42578125" style="118"/>
    <col min="6679" max="6679" width="16.140625" style="118" customWidth="1"/>
    <col min="6680" max="6912" width="11.42578125" style="118"/>
    <col min="6913" max="6913" width="25.140625" style="118" customWidth="1"/>
    <col min="6914" max="6914" width="7.7109375" style="118" customWidth="1"/>
    <col min="6915" max="6915" width="8.140625" style="118" bestFit="1" customWidth="1"/>
    <col min="6916" max="6916" width="9.42578125" style="118" customWidth="1"/>
    <col min="6917" max="6917" width="9.42578125" style="118" bestFit="1" customWidth="1"/>
    <col min="6918" max="6918" width="12.140625" style="118" customWidth="1"/>
    <col min="6919" max="6919" width="10.42578125" style="118" customWidth="1"/>
    <col min="6920" max="6920" width="11.42578125" style="118" customWidth="1"/>
    <col min="6921" max="6921" width="7.85546875" style="118" customWidth="1"/>
    <col min="6922" max="6922" width="10.42578125" style="118" customWidth="1"/>
    <col min="6923" max="6923" width="7.42578125" style="118" bestFit="1" customWidth="1"/>
    <col min="6924" max="6924" width="10.42578125" style="118" customWidth="1"/>
    <col min="6925" max="6925" width="8.140625" style="118" customWidth="1"/>
    <col min="6926" max="6926" width="24.7109375" style="118" customWidth="1"/>
    <col min="6927" max="6928" width="8.85546875" style="118" customWidth="1"/>
    <col min="6929" max="6929" width="10.85546875" style="118" customWidth="1"/>
    <col min="6930" max="6930" width="11.7109375" style="118" bestFit="1" customWidth="1"/>
    <col min="6931" max="6934" width="11.42578125" style="118"/>
    <col min="6935" max="6935" width="16.140625" style="118" customWidth="1"/>
    <col min="6936" max="7168" width="11.42578125" style="118"/>
    <col min="7169" max="7169" width="25.140625" style="118" customWidth="1"/>
    <col min="7170" max="7170" width="7.7109375" style="118" customWidth="1"/>
    <col min="7171" max="7171" width="8.140625" style="118" bestFit="1" customWidth="1"/>
    <col min="7172" max="7172" width="9.42578125" style="118" customWidth="1"/>
    <col min="7173" max="7173" width="9.42578125" style="118" bestFit="1" customWidth="1"/>
    <col min="7174" max="7174" width="12.140625" style="118" customWidth="1"/>
    <col min="7175" max="7175" width="10.42578125" style="118" customWidth="1"/>
    <col min="7176" max="7176" width="11.42578125" style="118" customWidth="1"/>
    <col min="7177" max="7177" width="7.85546875" style="118" customWidth="1"/>
    <col min="7178" max="7178" width="10.42578125" style="118" customWidth="1"/>
    <col min="7179" max="7179" width="7.42578125" style="118" bestFit="1" customWidth="1"/>
    <col min="7180" max="7180" width="10.42578125" style="118" customWidth="1"/>
    <col min="7181" max="7181" width="8.140625" style="118" customWidth="1"/>
    <col min="7182" max="7182" width="24.7109375" style="118" customWidth="1"/>
    <col min="7183" max="7184" width="8.85546875" style="118" customWidth="1"/>
    <col min="7185" max="7185" width="10.85546875" style="118" customWidth="1"/>
    <col min="7186" max="7186" width="11.7109375" style="118" bestFit="1" customWidth="1"/>
    <col min="7187" max="7190" width="11.42578125" style="118"/>
    <col min="7191" max="7191" width="16.140625" style="118" customWidth="1"/>
    <col min="7192" max="7424" width="11.42578125" style="118"/>
    <col min="7425" max="7425" width="25.140625" style="118" customWidth="1"/>
    <col min="7426" max="7426" width="7.7109375" style="118" customWidth="1"/>
    <col min="7427" max="7427" width="8.140625" style="118" bestFit="1" customWidth="1"/>
    <col min="7428" max="7428" width="9.42578125" style="118" customWidth="1"/>
    <col min="7429" max="7429" width="9.42578125" style="118" bestFit="1" customWidth="1"/>
    <col min="7430" max="7430" width="12.140625" style="118" customWidth="1"/>
    <col min="7431" max="7431" width="10.42578125" style="118" customWidth="1"/>
    <col min="7432" max="7432" width="11.42578125" style="118" customWidth="1"/>
    <col min="7433" max="7433" width="7.85546875" style="118" customWidth="1"/>
    <col min="7434" max="7434" width="10.42578125" style="118" customWidth="1"/>
    <col min="7435" max="7435" width="7.42578125" style="118" bestFit="1" customWidth="1"/>
    <col min="7436" max="7436" width="10.42578125" style="118" customWidth="1"/>
    <col min="7437" max="7437" width="8.140625" style="118" customWidth="1"/>
    <col min="7438" max="7438" width="24.7109375" style="118" customWidth="1"/>
    <col min="7439" max="7440" width="8.85546875" style="118" customWidth="1"/>
    <col min="7441" max="7441" width="10.85546875" style="118" customWidth="1"/>
    <col min="7442" max="7442" width="11.7109375" style="118" bestFit="1" customWidth="1"/>
    <col min="7443" max="7446" width="11.42578125" style="118"/>
    <col min="7447" max="7447" width="16.140625" style="118" customWidth="1"/>
    <col min="7448" max="7680" width="11.42578125" style="118"/>
    <col min="7681" max="7681" width="25.140625" style="118" customWidth="1"/>
    <col min="7682" max="7682" width="7.7109375" style="118" customWidth="1"/>
    <col min="7683" max="7683" width="8.140625" style="118" bestFit="1" customWidth="1"/>
    <col min="7684" max="7684" width="9.42578125" style="118" customWidth="1"/>
    <col min="7685" max="7685" width="9.42578125" style="118" bestFit="1" customWidth="1"/>
    <col min="7686" max="7686" width="12.140625" style="118" customWidth="1"/>
    <col min="7687" max="7687" width="10.42578125" style="118" customWidth="1"/>
    <col min="7688" max="7688" width="11.42578125" style="118" customWidth="1"/>
    <col min="7689" max="7689" width="7.85546875" style="118" customWidth="1"/>
    <col min="7690" max="7690" width="10.42578125" style="118" customWidth="1"/>
    <col min="7691" max="7691" width="7.42578125" style="118" bestFit="1" customWidth="1"/>
    <col min="7692" max="7692" width="10.42578125" style="118" customWidth="1"/>
    <col min="7693" max="7693" width="8.140625" style="118" customWidth="1"/>
    <col min="7694" max="7694" width="24.7109375" style="118" customWidth="1"/>
    <col min="7695" max="7696" width="8.85546875" style="118" customWidth="1"/>
    <col min="7697" max="7697" width="10.85546875" style="118" customWidth="1"/>
    <col min="7698" max="7698" width="11.7109375" style="118" bestFit="1" customWidth="1"/>
    <col min="7699" max="7702" width="11.42578125" style="118"/>
    <col min="7703" max="7703" width="16.140625" style="118" customWidth="1"/>
    <col min="7704" max="7936" width="11.42578125" style="118"/>
    <col min="7937" max="7937" width="25.140625" style="118" customWidth="1"/>
    <col min="7938" max="7938" width="7.7109375" style="118" customWidth="1"/>
    <col min="7939" max="7939" width="8.140625" style="118" bestFit="1" customWidth="1"/>
    <col min="7940" max="7940" width="9.42578125" style="118" customWidth="1"/>
    <col min="7941" max="7941" width="9.42578125" style="118" bestFit="1" customWidth="1"/>
    <col min="7942" max="7942" width="12.140625" style="118" customWidth="1"/>
    <col min="7943" max="7943" width="10.42578125" style="118" customWidth="1"/>
    <col min="7944" max="7944" width="11.42578125" style="118" customWidth="1"/>
    <col min="7945" max="7945" width="7.85546875" style="118" customWidth="1"/>
    <col min="7946" max="7946" width="10.42578125" style="118" customWidth="1"/>
    <col min="7947" max="7947" width="7.42578125" style="118" bestFit="1" customWidth="1"/>
    <col min="7948" max="7948" width="10.42578125" style="118" customWidth="1"/>
    <col min="7949" max="7949" width="8.140625" style="118" customWidth="1"/>
    <col min="7950" max="7950" width="24.7109375" style="118" customWidth="1"/>
    <col min="7951" max="7952" width="8.85546875" style="118" customWidth="1"/>
    <col min="7953" max="7953" width="10.85546875" style="118" customWidth="1"/>
    <col min="7954" max="7954" width="11.7109375" style="118" bestFit="1" customWidth="1"/>
    <col min="7955" max="7958" width="11.42578125" style="118"/>
    <col min="7959" max="7959" width="16.140625" style="118" customWidth="1"/>
    <col min="7960" max="8192" width="11.42578125" style="118"/>
    <col min="8193" max="8193" width="25.140625" style="118" customWidth="1"/>
    <col min="8194" max="8194" width="7.7109375" style="118" customWidth="1"/>
    <col min="8195" max="8195" width="8.140625" style="118" bestFit="1" customWidth="1"/>
    <col min="8196" max="8196" width="9.42578125" style="118" customWidth="1"/>
    <col min="8197" max="8197" width="9.42578125" style="118" bestFit="1" customWidth="1"/>
    <col min="8198" max="8198" width="12.140625" style="118" customWidth="1"/>
    <col min="8199" max="8199" width="10.42578125" style="118" customWidth="1"/>
    <col min="8200" max="8200" width="11.42578125" style="118" customWidth="1"/>
    <col min="8201" max="8201" width="7.85546875" style="118" customWidth="1"/>
    <col min="8202" max="8202" width="10.42578125" style="118" customWidth="1"/>
    <col min="8203" max="8203" width="7.42578125" style="118" bestFit="1" customWidth="1"/>
    <col min="8204" max="8204" width="10.42578125" style="118" customWidth="1"/>
    <col min="8205" max="8205" width="8.140625" style="118" customWidth="1"/>
    <col min="8206" max="8206" width="24.7109375" style="118" customWidth="1"/>
    <col min="8207" max="8208" width="8.85546875" style="118" customWidth="1"/>
    <col min="8209" max="8209" width="10.85546875" style="118" customWidth="1"/>
    <col min="8210" max="8210" width="11.7109375" style="118" bestFit="1" customWidth="1"/>
    <col min="8211" max="8214" width="11.42578125" style="118"/>
    <col min="8215" max="8215" width="16.140625" style="118" customWidth="1"/>
    <col min="8216" max="8448" width="11.42578125" style="118"/>
    <col min="8449" max="8449" width="25.140625" style="118" customWidth="1"/>
    <col min="8450" max="8450" width="7.7109375" style="118" customWidth="1"/>
    <col min="8451" max="8451" width="8.140625" style="118" bestFit="1" customWidth="1"/>
    <col min="8452" max="8452" width="9.42578125" style="118" customWidth="1"/>
    <col min="8453" max="8453" width="9.42578125" style="118" bestFit="1" customWidth="1"/>
    <col min="8454" max="8454" width="12.140625" style="118" customWidth="1"/>
    <col min="8455" max="8455" width="10.42578125" style="118" customWidth="1"/>
    <col min="8456" max="8456" width="11.42578125" style="118" customWidth="1"/>
    <col min="8457" max="8457" width="7.85546875" style="118" customWidth="1"/>
    <col min="8458" max="8458" width="10.42578125" style="118" customWidth="1"/>
    <col min="8459" max="8459" width="7.42578125" style="118" bestFit="1" customWidth="1"/>
    <col min="8460" max="8460" width="10.42578125" style="118" customWidth="1"/>
    <col min="8461" max="8461" width="8.140625" style="118" customWidth="1"/>
    <col min="8462" max="8462" width="24.7109375" style="118" customWidth="1"/>
    <col min="8463" max="8464" width="8.85546875" style="118" customWidth="1"/>
    <col min="8465" max="8465" width="10.85546875" style="118" customWidth="1"/>
    <col min="8466" max="8466" width="11.7109375" style="118" bestFit="1" customWidth="1"/>
    <col min="8467" max="8470" width="11.42578125" style="118"/>
    <col min="8471" max="8471" width="16.140625" style="118" customWidth="1"/>
    <col min="8472" max="8704" width="11.42578125" style="118"/>
    <col min="8705" max="8705" width="25.140625" style="118" customWidth="1"/>
    <col min="8706" max="8706" width="7.7109375" style="118" customWidth="1"/>
    <col min="8707" max="8707" width="8.140625" style="118" bestFit="1" customWidth="1"/>
    <col min="8708" max="8708" width="9.42578125" style="118" customWidth="1"/>
    <col min="8709" max="8709" width="9.42578125" style="118" bestFit="1" customWidth="1"/>
    <col min="8710" max="8710" width="12.140625" style="118" customWidth="1"/>
    <col min="8711" max="8711" width="10.42578125" style="118" customWidth="1"/>
    <col min="8712" max="8712" width="11.42578125" style="118" customWidth="1"/>
    <col min="8713" max="8713" width="7.85546875" style="118" customWidth="1"/>
    <col min="8714" max="8714" width="10.42578125" style="118" customWidth="1"/>
    <col min="8715" max="8715" width="7.42578125" style="118" bestFit="1" customWidth="1"/>
    <col min="8716" max="8716" width="10.42578125" style="118" customWidth="1"/>
    <col min="8717" max="8717" width="8.140625" style="118" customWidth="1"/>
    <col min="8718" max="8718" width="24.7109375" style="118" customWidth="1"/>
    <col min="8719" max="8720" width="8.85546875" style="118" customWidth="1"/>
    <col min="8721" max="8721" width="10.85546875" style="118" customWidth="1"/>
    <col min="8722" max="8722" width="11.7109375" style="118" bestFit="1" customWidth="1"/>
    <col min="8723" max="8726" width="11.42578125" style="118"/>
    <col min="8727" max="8727" width="16.140625" style="118" customWidth="1"/>
    <col min="8728" max="8960" width="11.42578125" style="118"/>
    <col min="8961" max="8961" width="25.140625" style="118" customWidth="1"/>
    <col min="8962" max="8962" width="7.7109375" style="118" customWidth="1"/>
    <col min="8963" max="8963" width="8.140625" style="118" bestFit="1" customWidth="1"/>
    <col min="8964" max="8964" width="9.42578125" style="118" customWidth="1"/>
    <col min="8965" max="8965" width="9.42578125" style="118" bestFit="1" customWidth="1"/>
    <col min="8966" max="8966" width="12.140625" style="118" customWidth="1"/>
    <col min="8967" max="8967" width="10.42578125" style="118" customWidth="1"/>
    <col min="8968" max="8968" width="11.42578125" style="118" customWidth="1"/>
    <col min="8969" max="8969" width="7.85546875" style="118" customWidth="1"/>
    <col min="8970" max="8970" width="10.42578125" style="118" customWidth="1"/>
    <col min="8971" max="8971" width="7.42578125" style="118" bestFit="1" customWidth="1"/>
    <col min="8972" max="8972" width="10.42578125" style="118" customWidth="1"/>
    <col min="8973" max="8973" width="8.140625" style="118" customWidth="1"/>
    <col min="8974" max="8974" width="24.7109375" style="118" customWidth="1"/>
    <col min="8975" max="8976" width="8.85546875" style="118" customWidth="1"/>
    <col min="8977" max="8977" width="10.85546875" style="118" customWidth="1"/>
    <col min="8978" max="8978" width="11.7109375" style="118" bestFit="1" customWidth="1"/>
    <col min="8979" max="8982" width="11.42578125" style="118"/>
    <col min="8983" max="8983" width="16.140625" style="118" customWidth="1"/>
    <col min="8984" max="9216" width="11.42578125" style="118"/>
    <col min="9217" max="9217" width="25.140625" style="118" customWidth="1"/>
    <col min="9218" max="9218" width="7.7109375" style="118" customWidth="1"/>
    <col min="9219" max="9219" width="8.140625" style="118" bestFit="1" customWidth="1"/>
    <col min="9220" max="9220" width="9.42578125" style="118" customWidth="1"/>
    <col min="9221" max="9221" width="9.42578125" style="118" bestFit="1" customWidth="1"/>
    <col min="9222" max="9222" width="12.140625" style="118" customWidth="1"/>
    <col min="9223" max="9223" width="10.42578125" style="118" customWidth="1"/>
    <col min="9224" max="9224" width="11.42578125" style="118" customWidth="1"/>
    <col min="9225" max="9225" width="7.85546875" style="118" customWidth="1"/>
    <col min="9226" max="9226" width="10.42578125" style="118" customWidth="1"/>
    <col min="9227" max="9227" width="7.42578125" style="118" bestFit="1" customWidth="1"/>
    <col min="9228" max="9228" width="10.42578125" style="118" customWidth="1"/>
    <col min="9229" max="9229" width="8.140625" style="118" customWidth="1"/>
    <col min="9230" max="9230" width="24.7109375" style="118" customWidth="1"/>
    <col min="9231" max="9232" width="8.85546875" style="118" customWidth="1"/>
    <col min="9233" max="9233" width="10.85546875" style="118" customWidth="1"/>
    <col min="9234" max="9234" width="11.7109375" style="118" bestFit="1" customWidth="1"/>
    <col min="9235" max="9238" width="11.42578125" style="118"/>
    <col min="9239" max="9239" width="16.140625" style="118" customWidth="1"/>
    <col min="9240" max="9472" width="11.42578125" style="118"/>
    <col min="9473" max="9473" width="25.140625" style="118" customWidth="1"/>
    <col min="9474" max="9474" width="7.7109375" style="118" customWidth="1"/>
    <col min="9475" max="9475" width="8.140625" style="118" bestFit="1" customWidth="1"/>
    <col min="9476" max="9476" width="9.42578125" style="118" customWidth="1"/>
    <col min="9477" max="9477" width="9.42578125" style="118" bestFit="1" customWidth="1"/>
    <col min="9478" max="9478" width="12.140625" style="118" customWidth="1"/>
    <col min="9479" max="9479" width="10.42578125" style="118" customWidth="1"/>
    <col min="9480" max="9480" width="11.42578125" style="118" customWidth="1"/>
    <col min="9481" max="9481" width="7.85546875" style="118" customWidth="1"/>
    <col min="9482" max="9482" width="10.42578125" style="118" customWidth="1"/>
    <col min="9483" max="9483" width="7.42578125" style="118" bestFit="1" customWidth="1"/>
    <col min="9484" max="9484" width="10.42578125" style="118" customWidth="1"/>
    <col min="9485" max="9485" width="8.140625" style="118" customWidth="1"/>
    <col min="9486" max="9486" width="24.7109375" style="118" customWidth="1"/>
    <col min="9487" max="9488" width="8.85546875" style="118" customWidth="1"/>
    <col min="9489" max="9489" width="10.85546875" style="118" customWidth="1"/>
    <col min="9490" max="9490" width="11.7109375" style="118" bestFit="1" customWidth="1"/>
    <col min="9491" max="9494" width="11.42578125" style="118"/>
    <col min="9495" max="9495" width="16.140625" style="118" customWidth="1"/>
    <col min="9496" max="9728" width="11.42578125" style="118"/>
    <col min="9729" max="9729" width="25.140625" style="118" customWidth="1"/>
    <col min="9730" max="9730" width="7.7109375" style="118" customWidth="1"/>
    <col min="9731" max="9731" width="8.140625" style="118" bestFit="1" customWidth="1"/>
    <col min="9732" max="9732" width="9.42578125" style="118" customWidth="1"/>
    <col min="9733" max="9733" width="9.42578125" style="118" bestFit="1" customWidth="1"/>
    <col min="9734" max="9734" width="12.140625" style="118" customWidth="1"/>
    <col min="9735" max="9735" width="10.42578125" style="118" customWidth="1"/>
    <col min="9736" max="9736" width="11.42578125" style="118" customWidth="1"/>
    <col min="9737" max="9737" width="7.85546875" style="118" customWidth="1"/>
    <col min="9738" max="9738" width="10.42578125" style="118" customWidth="1"/>
    <col min="9739" max="9739" width="7.42578125" style="118" bestFit="1" customWidth="1"/>
    <col min="9740" max="9740" width="10.42578125" style="118" customWidth="1"/>
    <col min="9741" max="9741" width="8.140625" style="118" customWidth="1"/>
    <col min="9742" max="9742" width="24.7109375" style="118" customWidth="1"/>
    <col min="9743" max="9744" width="8.85546875" style="118" customWidth="1"/>
    <col min="9745" max="9745" width="10.85546875" style="118" customWidth="1"/>
    <col min="9746" max="9746" width="11.7109375" style="118" bestFit="1" customWidth="1"/>
    <col min="9747" max="9750" width="11.42578125" style="118"/>
    <col min="9751" max="9751" width="16.140625" style="118" customWidth="1"/>
    <col min="9752" max="9984" width="11.42578125" style="118"/>
    <col min="9985" max="9985" width="25.140625" style="118" customWidth="1"/>
    <col min="9986" max="9986" width="7.7109375" style="118" customWidth="1"/>
    <col min="9987" max="9987" width="8.140625" style="118" bestFit="1" customWidth="1"/>
    <col min="9988" max="9988" width="9.42578125" style="118" customWidth="1"/>
    <col min="9989" max="9989" width="9.42578125" style="118" bestFit="1" customWidth="1"/>
    <col min="9990" max="9990" width="12.140625" style="118" customWidth="1"/>
    <col min="9991" max="9991" width="10.42578125" style="118" customWidth="1"/>
    <col min="9992" max="9992" width="11.42578125" style="118" customWidth="1"/>
    <col min="9993" max="9993" width="7.85546875" style="118" customWidth="1"/>
    <col min="9994" max="9994" width="10.42578125" style="118" customWidth="1"/>
    <col min="9995" max="9995" width="7.42578125" style="118" bestFit="1" customWidth="1"/>
    <col min="9996" max="9996" width="10.42578125" style="118" customWidth="1"/>
    <col min="9997" max="9997" width="8.140625" style="118" customWidth="1"/>
    <col min="9998" max="9998" width="24.7109375" style="118" customWidth="1"/>
    <col min="9999" max="10000" width="8.85546875" style="118" customWidth="1"/>
    <col min="10001" max="10001" width="10.85546875" style="118" customWidth="1"/>
    <col min="10002" max="10002" width="11.7109375" style="118" bestFit="1" customWidth="1"/>
    <col min="10003" max="10006" width="11.42578125" style="118"/>
    <col min="10007" max="10007" width="16.140625" style="118" customWidth="1"/>
    <col min="10008" max="10240" width="11.42578125" style="118"/>
    <col min="10241" max="10241" width="25.140625" style="118" customWidth="1"/>
    <col min="10242" max="10242" width="7.7109375" style="118" customWidth="1"/>
    <col min="10243" max="10243" width="8.140625" style="118" bestFit="1" customWidth="1"/>
    <col min="10244" max="10244" width="9.42578125" style="118" customWidth="1"/>
    <col min="10245" max="10245" width="9.42578125" style="118" bestFit="1" customWidth="1"/>
    <col min="10246" max="10246" width="12.140625" style="118" customWidth="1"/>
    <col min="10247" max="10247" width="10.42578125" style="118" customWidth="1"/>
    <col min="10248" max="10248" width="11.42578125" style="118" customWidth="1"/>
    <col min="10249" max="10249" width="7.85546875" style="118" customWidth="1"/>
    <col min="10250" max="10250" width="10.42578125" style="118" customWidth="1"/>
    <col min="10251" max="10251" width="7.42578125" style="118" bestFit="1" customWidth="1"/>
    <col min="10252" max="10252" width="10.42578125" style="118" customWidth="1"/>
    <col min="10253" max="10253" width="8.140625" style="118" customWidth="1"/>
    <col min="10254" max="10254" width="24.7109375" style="118" customWidth="1"/>
    <col min="10255" max="10256" width="8.85546875" style="118" customWidth="1"/>
    <col min="10257" max="10257" width="10.85546875" style="118" customWidth="1"/>
    <col min="10258" max="10258" width="11.7109375" style="118" bestFit="1" customWidth="1"/>
    <col min="10259" max="10262" width="11.42578125" style="118"/>
    <col min="10263" max="10263" width="16.140625" style="118" customWidth="1"/>
    <col min="10264" max="10496" width="11.42578125" style="118"/>
    <col min="10497" max="10497" width="25.140625" style="118" customWidth="1"/>
    <col min="10498" max="10498" width="7.7109375" style="118" customWidth="1"/>
    <col min="10499" max="10499" width="8.140625" style="118" bestFit="1" customWidth="1"/>
    <col min="10500" max="10500" width="9.42578125" style="118" customWidth="1"/>
    <col min="10501" max="10501" width="9.42578125" style="118" bestFit="1" customWidth="1"/>
    <col min="10502" max="10502" width="12.140625" style="118" customWidth="1"/>
    <col min="10503" max="10503" width="10.42578125" style="118" customWidth="1"/>
    <col min="10504" max="10504" width="11.42578125" style="118" customWidth="1"/>
    <col min="10505" max="10505" width="7.85546875" style="118" customWidth="1"/>
    <col min="10506" max="10506" width="10.42578125" style="118" customWidth="1"/>
    <col min="10507" max="10507" width="7.42578125" style="118" bestFit="1" customWidth="1"/>
    <col min="10508" max="10508" width="10.42578125" style="118" customWidth="1"/>
    <col min="10509" max="10509" width="8.140625" style="118" customWidth="1"/>
    <col min="10510" max="10510" width="24.7109375" style="118" customWidth="1"/>
    <col min="10511" max="10512" width="8.85546875" style="118" customWidth="1"/>
    <col min="10513" max="10513" width="10.85546875" style="118" customWidth="1"/>
    <col min="10514" max="10514" width="11.7109375" style="118" bestFit="1" customWidth="1"/>
    <col min="10515" max="10518" width="11.42578125" style="118"/>
    <col min="10519" max="10519" width="16.140625" style="118" customWidth="1"/>
    <col min="10520" max="10752" width="11.42578125" style="118"/>
    <col min="10753" max="10753" width="25.140625" style="118" customWidth="1"/>
    <col min="10754" max="10754" width="7.7109375" style="118" customWidth="1"/>
    <col min="10755" max="10755" width="8.140625" style="118" bestFit="1" customWidth="1"/>
    <col min="10756" max="10756" width="9.42578125" style="118" customWidth="1"/>
    <col min="10757" max="10757" width="9.42578125" style="118" bestFit="1" customWidth="1"/>
    <col min="10758" max="10758" width="12.140625" style="118" customWidth="1"/>
    <col min="10759" max="10759" width="10.42578125" style="118" customWidth="1"/>
    <col min="10760" max="10760" width="11.42578125" style="118" customWidth="1"/>
    <col min="10761" max="10761" width="7.85546875" style="118" customWidth="1"/>
    <col min="10762" max="10762" width="10.42578125" style="118" customWidth="1"/>
    <col min="10763" max="10763" width="7.42578125" style="118" bestFit="1" customWidth="1"/>
    <col min="10764" max="10764" width="10.42578125" style="118" customWidth="1"/>
    <col min="10765" max="10765" width="8.140625" style="118" customWidth="1"/>
    <col min="10766" max="10766" width="24.7109375" style="118" customWidth="1"/>
    <col min="10767" max="10768" width="8.85546875" style="118" customWidth="1"/>
    <col min="10769" max="10769" width="10.85546875" style="118" customWidth="1"/>
    <col min="10770" max="10770" width="11.7109375" style="118" bestFit="1" customWidth="1"/>
    <col min="10771" max="10774" width="11.42578125" style="118"/>
    <col min="10775" max="10775" width="16.140625" style="118" customWidth="1"/>
    <col min="10776" max="11008" width="11.42578125" style="118"/>
    <col min="11009" max="11009" width="25.140625" style="118" customWidth="1"/>
    <col min="11010" max="11010" width="7.7109375" style="118" customWidth="1"/>
    <col min="11011" max="11011" width="8.140625" style="118" bestFit="1" customWidth="1"/>
    <col min="11012" max="11012" width="9.42578125" style="118" customWidth="1"/>
    <col min="11013" max="11013" width="9.42578125" style="118" bestFit="1" customWidth="1"/>
    <col min="11014" max="11014" width="12.140625" style="118" customWidth="1"/>
    <col min="11015" max="11015" width="10.42578125" style="118" customWidth="1"/>
    <col min="11016" max="11016" width="11.42578125" style="118" customWidth="1"/>
    <col min="11017" max="11017" width="7.85546875" style="118" customWidth="1"/>
    <col min="11018" max="11018" width="10.42578125" style="118" customWidth="1"/>
    <col min="11019" max="11019" width="7.42578125" style="118" bestFit="1" customWidth="1"/>
    <col min="11020" max="11020" width="10.42578125" style="118" customWidth="1"/>
    <col min="11021" max="11021" width="8.140625" style="118" customWidth="1"/>
    <col min="11022" max="11022" width="24.7109375" style="118" customWidth="1"/>
    <col min="11023" max="11024" width="8.85546875" style="118" customWidth="1"/>
    <col min="11025" max="11025" width="10.85546875" style="118" customWidth="1"/>
    <col min="11026" max="11026" width="11.7109375" style="118" bestFit="1" customWidth="1"/>
    <col min="11027" max="11030" width="11.42578125" style="118"/>
    <col min="11031" max="11031" width="16.140625" style="118" customWidth="1"/>
    <col min="11032" max="11264" width="11.42578125" style="118"/>
    <col min="11265" max="11265" width="25.140625" style="118" customWidth="1"/>
    <col min="11266" max="11266" width="7.7109375" style="118" customWidth="1"/>
    <col min="11267" max="11267" width="8.140625" style="118" bestFit="1" customWidth="1"/>
    <col min="11268" max="11268" width="9.42578125" style="118" customWidth="1"/>
    <col min="11269" max="11269" width="9.42578125" style="118" bestFit="1" customWidth="1"/>
    <col min="11270" max="11270" width="12.140625" style="118" customWidth="1"/>
    <col min="11271" max="11271" width="10.42578125" style="118" customWidth="1"/>
    <col min="11272" max="11272" width="11.42578125" style="118" customWidth="1"/>
    <col min="11273" max="11273" width="7.85546875" style="118" customWidth="1"/>
    <col min="11274" max="11274" width="10.42578125" style="118" customWidth="1"/>
    <col min="11275" max="11275" width="7.42578125" style="118" bestFit="1" customWidth="1"/>
    <col min="11276" max="11276" width="10.42578125" style="118" customWidth="1"/>
    <col min="11277" max="11277" width="8.140625" style="118" customWidth="1"/>
    <col min="11278" max="11278" width="24.7109375" style="118" customWidth="1"/>
    <col min="11279" max="11280" width="8.85546875" style="118" customWidth="1"/>
    <col min="11281" max="11281" width="10.85546875" style="118" customWidth="1"/>
    <col min="11282" max="11282" width="11.7109375" style="118" bestFit="1" customWidth="1"/>
    <col min="11283" max="11286" width="11.42578125" style="118"/>
    <col min="11287" max="11287" width="16.140625" style="118" customWidth="1"/>
    <col min="11288" max="11520" width="11.42578125" style="118"/>
    <col min="11521" max="11521" width="25.140625" style="118" customWidth="1"/>
    <col min="11522" max="11522" width="7.7109375" style="118" customWidth="1"/>
    <col min="11523" max="11523" width="8.140625" style="118" bestFit="1" customWidth="1"/>
    <col min="11524" max="11524" width="9.42578125" style="118" customWidth="1"/>
    <col min="11525" max="11525" width="9.42578125" style="118" bestFit="1" customWidth="1"/>
    <col min="11526" max="11526" width="12.140625" style="118" customWidth="1"/>
    <col min="11527" max="11527" width="10.42578125" style="118" customWidth="1"/>
    <col min="11528" max="11528" width="11.42578125" style="118" customWidth="1"/>
    <col min="11529" max="11529" width="7.85546875" style="118" customWidth="1"/>
    <col min="11530" max="11530" width="10.42578125" style="118" customWidth="1"/>
    <col min="11531" max="11531" width="7.42578125" style="118" bestFit="1" customWidth="1"/>
    <col min="11532" max="11532" width="10.42578125" style="118" customWidth="1"/>
    <col min="11533" max="11533" width="8.140625" style="118" customWidth="1"/>
    <col min="11534" max="11534" width="24.7109375" style="118" customWidth="1"/>
    <col min="11535" max="11536" width="8.85546875" style="118" customWidth="1"/>
    <col min="11537" max="11537" width="10.85546875" style="118" customWidth="1"/>
    <col min="11538" max="11538" width="11.7109375" style="118" bestFit="1" customWidth="1"/>
    <col min="11539" max="11542" width="11.42578125" style="118"/>
    <col min="11543" max="11543" width="16.140625" style="118" customWidth="1"/>
    <col min="11544" max="11776" width="11.42578125" style="118"/>
    <col min="11777" max="11777" width="25.140625" style="118" customWidth="1"/>
    <col min="11778" max="11778" width="7.7109375" style="118" customWidth="1"/>
    <col min="11779" max="11779" width="8.140625" style="118" bestFit="1" customWidth="1"/>
    <col min="11780" max="11780" width="9.42578125" style="118" customWidth="1"/>
    <col min="11781" max="11781" width="9.42578125" style="118" bestFit="1" customWidth="1"/>
    <col min="11782" max="11782" width="12.140625" style="118" customWidth="1"/>
    <col min="11783" max="11783" width="10.42578125" style="118" customWidth="1"/>
    <col min="11784" max="11784" width="11.42578125" style="118" customWidth="1"/>
    <col min="11785" max="11785" width="7.85546875" style="118" customWidth="1"/>
    <col min="11786" max="11786" width="10.42578125" style="118" customWidth="1"/>
    <col min="11787" max="11787" width="7.42578125" style="118" bestFit="1" customWidth="1"/>
    <col min="11788" max="11788" width="10.42578125" style="118" customWidth="1"/>
    <col min="11789" max="11789" width="8.140625" style="118" customWidth="1"/>
    <col min="11790" max="11790" width="24.7109375" style="118" customWidth="1"/>
    <col min="11791" max="11792" width="8.85546875" style="118" customWidth="1"/>
    <col min="11793" max="11793" width="10.85546875" style="118" customWidth="1"/>
    <col min="11794" max="11794" width="11.7109375" style="118" bestFit="1" customWidth="1"/>
    <col min="11795" max="11798" width="11.42578125" style="118"/>
    <col min="11799" max="11799" width="16.140625" style="118" customWidth="1"/>
    <col min="11800" max="12032" width="11.42578125" style="118"/>
    <col min="12033" max="12033" width="25.140625" style="118" customWidth="1"/>
    <col min="12034" max="12034" width="7.7109375" style="118" customWidth="1"/>
    <col min="12035" max="12035" width="8.140625" style="118" bestFit="1" customWidth="1"/>
    <col min="12036" max="12036" width="9.42578125" style="118" customWidth="1"/>
    <col min="12037" max="12037" width="9.42578125" style="118" bestFit="1" customWidth="1"/>
    <col min="12038" max="12038" width="12.140625" style="118" customWidth="1"/>
    <col min="12039" max="12039" width="10.42578125" style="118" customWidth="1"/>
    <col min="12040" max="12040" width="11.42578125" style="118" customWidth="1"/>
    <col min="12041" max="12041" width="7.85546875" style="118" customWidth="1"/>
    <col min="12042" max="12042" width="10.42578125" style="118" customWidth="1"/>
    <col min="12043" max="12043" width="7.42578125" style="118" bestFit="1" customWidth="1"/>
    <col min="12044" max="12044" width="10.42578125" style="118" customWidth="1"/>
    <col min="12045" max="12045" width="8.140625" style="118" customWidth="1"/>
    <col min="12046" max="12046" width="24.7109375" style="118" customWidth="1"/>
    <col min="12047" max="12048" width="8.85546875" style="118" customWidth="1"/>
    <col min="12049" max="12049" width="10.85546875" style="118" customWidth="1"/>
    <col min="12050" max="12050" width="11.7109375" style="118" bestFit="1" customWidth="1"/>
    <col min="12051" max="12054" width="11.42578125" style="118"/>
    <col min="12055" max="12055" width="16.140625" style="118" customWidth="1"/>
    <col min="12056" max="12288" width="11.42578125" style="118"/>
    <col min="12289" max="12289" width="25.140625" style="118" customWidth="1"/>
    <col min="12290" max="12290" width="7.7109375" style="118" customWidth="1"/>
    <col min="12291" max="12291" width="8.140625" style="118" bestFit="1" customWidth="1"/>
    <col min="12292" max="12292" width="9.42578125" style="118" customWidth="1"/>
    <col min="12293" max="12293" width="9.42578125" style="118" bestFit="1" customWidth="1"/>
    <col min="12294" max="12294" width="12.140625" style="118" customWidth="1"/>
    <col min="12295" max="12295" width="10.42578125" style="118" customWidth="1"/>
    <col min="12296" max="12296" width="11.42578125" style="118" customWidth="1"/>
    <col min="12297" max="12297" width="7.85546875" style="118" customWidth="1"/>
    <col min="12298" max="12298" width="10.42578125" style="118" customWidth="1"/>
    <col min="12299" max="12299" width="7.42578125" style="118" bestFit="1" customWidth="1"/>
    <col min="12300" max="12300" width="10.42578125" style="118" customWidth="1"/>
    <col min="12301" max="12301" width="8.140625" style="118" customWidth="1"/>
    <col min="12302" max="12302" width="24.7109375" style="118" customWidth="1"/>
    <col min="12303" max="12304" width="8.85546875" style="118" customWidth="1"/>
    <col min="12305" max="12305" width="10.85546875" style="118" customWidth="1"/>
    <col min="12306" max="12306" width="11.7109375" style="118" bestFit="1" customWidth="1"/>
    <col min="12307" max="12310" width="11.42578125" style="118"/>
    <col min="12311" max="12311" width="16.140625" style="118" customWidth="1"/>
    <col min="12312" max="12544" width="11.42578125" style="118"/>
    <col min="12545" max="12545" width="25.140625" style="118" customWidth="1"/>
    <col min="12546" max="12546" width="7.7109375" style="118" customWidth="1"/>
    <col min="12547" max="12547" width="8.140625" style="118" bestFit="1" customWidth="1"/>
    <col min="12548" max="12548" width="9.42578125" style="118" customWidth="1"/>
    <col min="12549" max="12549" width="9.42578125" style="118" bestFit="1" customWidth="1"/>
    <col min="12550" max="12550" width="12.140625" style="118" customWidth="1"/>
    <col min="12551" max="12551" width="10.42578125" style="118" customWidth="1"/>
    <col min="12552" max="12552" width="11.42578125" style="118" customWidth="1"/>
    <col min="12553" max="12553" width="7.85546875" style="118" customWidth="1"/>
    <col min="12554" max="12554" width="10.42578125" style="118" customWidth="1"/>
    <col min="12555" max="12555" width="7.42578125" style="118" bestFit="1" customWidth="1"/>
    <col min="12556" max="12556" width="10.42578125" style="118" customWidth="1"/>
    <col min="12557" max="12557" width="8.140625" style="118" customWidth="1"/>
    <col min="12558" max="12558" width="24.7109375" style="118" customWidth="1"/>
    <col min="12559" max="12560" width="8.85546875" style="118" customWidth="1"/>
    <col min="12561" max="12561" width="10.85546875" style="118" customWidth="1"/>
    <col min="12562" max="12562" width="11.7109375" style="118" bestFit="1" customWidth="1"/>
    <col min="12563" max="12566" width="11.42578125" style="118"/>
    <col min="12567" max="12567" width="16.140625" style="118" customWidth="1"/>
    <col min="12568" max="12800" width="11.42578125" style="118"/>
    <col min="12801" max="12801" width="25.140625" style="118" customWidth="1"/>
    <col min="12802" max="12802" width="7.7109375" style="118" customWidth="1"/>
    <col min="12803" max="12803" width="8.140625" style="118" bestFit="1" customWidth="1"/>
    <col min="12804" max="12804" width="9.42578125" style="118" customWidth="1"/>
    <col min="12805" max="12805" width="9.42578125" style="118" bestFit="1" customWidth="1"/>
    <col min="12806" max="12806" width="12.140625" style="118" customWidth="1"/>
    <col min="12807" max="12807" width="10.42578125" style="118" customWidth="1"/>
    <col min="12808" max="12808" width="11.42578125" style="118" customWidth="1"/>
    <col min="12809" max="12809" width="7.85546875" style="118" customWidth="1"/>
    <col min="12810" max="12810" width="10.42578125" style="118" customWidth="1"/>
    <col min="12811" max="12811" width="7.42578125" style="118" bestFit="1" customWidth="1"/>
    <col min="12812" max="12812" width="10.42578125" style="118" customWidth="1"/>
    <col min="12813" max="12813" width="8.140625" style="118" customWidth="1"/>
    <col min="12814" max="12814" width="24.7109375" style="118" customWidth="1"/>
    <col min="12815" max="12816" width="8.85546875" style="118" customWidth="1"/>
    <col min="12817" max="12817" width="10.85546875" style="118" customWidth="1"/>
    <col min="12818" max="12818" width="11.7109375" style="118" bestFit="1" customWidth="1"/>
    <col min="12819" max="12822" width="11.42578125" style="118"/>
    <col min="12823" max="12823" width="16.140625" style="118" customWidth="1"/>
    <col min="12824" max="13056" width="11.42578125" style="118"/>
    <col min="13057" max="13057" width="25.140625" style="118" customWidth="1"/>
    <col min="13058" max="13058" width="7.7109375" style="118" customWidth="1"/>
    <col min="13059" max="13059" width="8.140625" style="118" bestFit="1" customWidth="1"/>
    <col min="13060" max="13060" width="9.42578125" style="118" customWidth="1"/>
    <col min="13061" max="13061" width="9.42578125" style="118" bestFit="1" customWidth="1"/>
    <col min="13062" max="13062" width="12.140625" style="118" customWidth="1"/>
    <col min="13063" max="13063" width="10.42578125" style="118" customWidth="1"/>
    <col min="13064" max="13064" width="11.42578125" style="118" customWidth="1"/>
    <col min="13065" max="13065" width="7.85546875" style="118" customWidth="1"/>
    <col min="13066" max="13066" width="10.42578125" style="118" customWidth="1"/>
    <col min="13067" max="13067" width="7.42578125" style="118" bestFit="1" customWidth="1"/>
    <col min="13068" max="13068" width="10.42578125" style="118" customWidth="1"/>
    <col min="13069" max="13069" width="8.140625" style="118" customWidth="1"/>
    <col min="13070" max="13070" width="24.7109375" style="118" customWidth="1"/>
    <col min="13071" max="13072" width="8.85546875" style="118" customWidth="1"/>
    <col min="13073" max="13073" width="10.85546875" style="118" customWidth="1"/>
    <col min="13074" max="13074" width="11.7109375" style="118" bestFit="1" customWidth="1"/>
    <col min="13075" max="13078" width="11.42578125" style="118"/>
    <col min="13079" max="13079" width="16.140625" style="118" customWidth="1"/>
    <col min="13080" max="13312" width="11.42578125" style="118"/>
    <col min="13313" max="13313" width="25.140625" style="118" customWidth="1"/>
    <col min="13314" max="13314" width="7.7109375" style="118" customWidth="1"/>
    <col min="13315" max="13315" width="8.140625" style="118" bestFit="1" customWidth="1"/>
    <col min="13316" max="13316" width="9.42578125" style="118" customWidth="1"/>
    <col min="13317" max="13317" width="9.42578125" style="118" bestFit="1" customWidth="1"/>
    <col min="13318" max="13318" width="12.140625" style="118" customWidth="1"/>
    <col min="13319" max="13319" width="10.42578125" style="118" customWidth="1"/>
    <col min="13320" max="13320" width="11.42578125" style="118" customWidth="1"/>
    <col min="13321" max="13321" width="7.85546875" style="118" customWidth="1"/>
    <col min="13322" max="13322" width="10.42578125" style="118" customWidth="1"/>
    <col min="13323" max="13323" width="7.42578125" style="118" bestFit="1" customWidth="1"/>
    <col min="13324" max="13324" width="10.42578125" style="118" customWidth="1"/>
    <col min="13325" max="13325" width="8.140625" style="118" customWidth="1"/>
    <col min="13326" max="13326" width="24.7109375" style="118" customWidth="1"/>
    <col min="13327" max="13328" width="8.85546875" style="118" customWidth="1"/>
    <col min="13329" max="13329" width="10.85546875" style="118" customWidth="1"/>
    <col min="13330" max="13330" width="11.7109375" style="118" bestFit="1" customWidth="1"/>
    <col min="13331" max="13334" width="11.42578125" style="118"/>
    <col min="13335" max="13335" width="16.140625" style="118" customWidth="1"/>
    <col min="13336" max="13568" width="11.42578125" style="118"/>
    <col min="13569" max="13569" width="25.140625" style="118" customWidth="1"/>
    <col min="13570" max="13570" width="7.7109375" style="118" customWidth="1"/>
    <col min="13571" max="13571" width="8.140625" style="118" bestFit="1" customWidth="1"/>
    <col min="13572" max="13572" width="9.42578125" style="118" customWidth="1"/>
    <col min="13573" max="13573" width="9.42578125" style="118" bestFit="1" customWidth="1"/>
    <col min="13574" max="13574" width="12.140625" style="118" customWidth="1"/>
    <col min="13575" max="13575" width="10.42578125" style="118" customWidth="1"/>
    <col min="13576" max="13576" width="11.42578125" style="118" customWidth="1"/>
    <col min="13577" max="13577" width="7.85546875" style="118" customWidth="1"/>
    <col min="13578" max="13578" width="10.42578125" style="118" customWidth="1"/>
    <col min="13579" max="13579" width="7.42578125" style="118" bestFit="1" customWidth="1"/>
    <col min="13580" max="13580" width="10.42578125" style="118" customWidth="1"/>
    <col min="13581" max="13581" width="8.140625" style="118" customWidth="1"/>
    <col min="13582" max="13582" width="24.7109375" style="118" customWidth="1"/>
    <col min="13583" max="13584" width="8.85546875" style="118" customWidth="1"/>
    <col min="13585" max="13585" width="10.85546875" style="118" customWidth="1"/>
    <col min="13586" max="13586" width="11.7109375" style="118" bestFit="1" customWidth="1"/>
    <col min="13587" max="13590" width="11.42578125" style="118"/>
    <col min="13591" max="13591" width="16.140625" style="118" customWidth="1"/>
    <col min="13592" max="13824" width="11.42578125" style="118"/>
    <col min="13825" max="13825" width="25.140625" style="118" customWidth="1"/>
    <col min="13826" max="13826" width="7.7109375" style="118" customWidth="1"/>
    <col min="13827" max="13827" width="8.140625" style="118" bestFit="1" customWidth="1"/>
    <col min="13828" max="13828" width="9.42578125" style="118" customWidth="1"/>
    <col min="13829" max="13829" width="9.42578125" style="118" bestFit="1" customWidth="1"/>
    <col min="13830" max="13830" width="12.140625" style="118" customWidth="1"/>
    <col min="13831" max="13831" width="10.42578125" style="118" customWidth="1"/>
    <col min="13832" max="13832" width="11.42578125" style="118" customWidth="1"/>
    <col min="13833" max="13833" width="7.85546875" style="118" customWidth="1"/>
    <col min="13834" max="13834" width="10.42578125" style="118" customWidth="1"/>
    <col min="13835" max="13835" width="7.42578125" style="118" bestFit="1" customWidth="1"/>
    <col min="13836" max="13836" width="10.42578125" style="118" customWidth="1"/>
    <col min="13837" max="13837" width="8.140625" style="118" customWidth="1"/>
    <col min="13838" max="13838" width="24.7109375" style="118" customWidth="1"/>
    <col min="13839" max="13840" width="8.85546875" style="118" customWidth="1"/>
    <col min="13841" max="13841" width="10.85546875" style="118" customWidth="1"/>
    <col min="13842" max="13842" width="11.7109375" style="118" bestFit="1" customWidth="1"/>
    <col min="13843" max="13846" width="11.42578125" style="118"/>
    <col min="13847" max="13847" width="16.140625" style="118" customWidth="1"/>
    <col min="13848" max="14080" width="11.42578125" style="118"/>
    <col min="14081" max="14081" width="25.140625" style="118" customWidth="1"/>
    <col min="14082" max="14082" width="7.7109375" style="118" customWidth="1"/>
    <col min="14083" max="14083" width="8.140625" style="118" bestFit="1" customWidth="1"/>
    <col min="14084" max="14084" width="9.42578125" style="118" customWidth="1"/>
    <col min="14085" max="14085" width="9.42578125" style="118" bestFit="1" customWidth="1"/>
    <col min="14086" max="14086" width="12.140625" style="118" customWidth="1"/>
    <col min="14087" max="14087" width="10.42578125" style="118" customWidth="1"/>
    <col min="14088" max="14088" width="11.42578125" style="118" customWidth="1"/>
    <col min="14089" max="14089" width="7.85546875" style="118" customWidth="1"/>
    <col min="14090" max="14090" width="10.42578125" style="118" customWidth="1"/>
    <col min="14091" max="14091" width="7.42578125" style="118" bestFit="1" customWidth="1"/>
    <col min="14092" max="14092" width="10.42578125" style="118" customWidth="1"/>
    <col min="14093" max="14093" width="8.140625" style="118" customWidth="1"/>
    <col min="14094" max="14094" width="24.7109375" style="118" customWidth="1"/>
    <col min="14095" max="14096" width="8.85546875" style="118" customWidth="1"/>
    <col min="14097" max="14097" width="10.85546875" style="118" customWidth="1"/>
    <col min="14098" max="14098" width="11.7109375" style="118" bestFit="1" customWidth="1"/>
    <col min="14099" max="14102" width="11.42578125" style="118"/>
    <col min="14103" max="14103" width="16.140625" style="118" customWidth="1"/>
    <col min="14104" max="14336" width="11.42578125" style="118"/>
    <col min="14337" max="14337" width="25.140625" style="118" customWidth="1"/>
    <col min="14338" max="14338" width="7.7109375" style="118" customWidth="1"/>
    <col min="14339" max="14339" width="8.140625" style="118" bestFit="1" customWidth="1"/>
    <col min="14340" max="14340" width="9.42578125" style="118" customWidth="1"/>
    <col min="14341" max="14341" width="9.42578125" style="118" bestFit="1" customWidth="1"/>
    <col min="14342" max="14342" width="12.140625" style="118" customWidth="1"/>
    <col min="14343" max="14343" width="10.42578125" style="118" customWidth="1"/>
    <col min="14344" max="14344" width="11.42578125" style="118" customWidth="1"/>
    <col min="14345" max="14345" width="7.85546875" style="118" customWidth="1"/>
    <col min="14346" max="14346" width="10.42578125" style="118" customWidth="1"/>
    <col min="14347" max="14347" width="7.42578125" style="118" bestFit="1" customWidth="1"/>
    <col min="14348" max="14348" width="10.42578125" style="118" customWidth="1"/>
    <col min="14349" max="14349" width="8.140625" style="118" customWidth="1"/>
    <col min="14350" max="14350" width="24.7109375" style="118" customWidth="1"/>
    <col min="14351" max="14352" width="8.85546875" style="118" customWidth="1"/>
    <col min="14353" max="14353" width="10.85546875" style="118" customWidth="1"/>
    <col min="14354" max="14354" width="11.7109375" style="118" bestFit="1" customWidth="1"/>
    <col min="14355" max="14358" width="11.42578125" style="118"/>
    <col min="14359" max="14359" width="16.140625" style="118" customWidth="1"/>
    <col min="14360" max="14592" width="11.42578125" style="118"/>
    <col min="14593" max="14593" width="25.140625" style="118" customWidth="1"/>
    <col min="14594" max="14594" width="7.7109375" style="118" customWidth="1"/>
    <col min="14595" max="14595" width="8.140625" style="118" bestFit="1" customWidth="1"/>
    <col min="14596" max="14596" width="9.42578125" style="118" customWidth="1"/>
    <col min="14597" max="14597" width="9.42578125" style="118" bestFit="1" customWidth="1"/>
    <col min="14598" max="14598" width="12.140625" style="118" customWidth="1"/>
    <col min="14599" max="14599" width="10.42578125" style="118" customWidth="1"/>
    <col min="14600" max="14600" width="11.42578125" style="118" customWidth="1"/>
    <col min="14601" max="14601" width="7.85546875" style="118" customWidth="1"/>
    <col min="14602" max="14602" width="10.42578125" style="118" customWidth="1"/>
    <col min="14603" max="14603" width="7.42578125" style="118" bestFit="1" customWidth="1"/>
    <col min="14604" max="14604" width="10.42578125" style="118" customWidth="1"/>
    <col min="14605" max="14605" width="8.140625" style="118" customWidth="1"/>
    <col min="14606" max="14606" width="24.7109375" style="118" customWidth="1"/>
    <col min="14607" max="14608" width="8.85546875" style="118" customWidth="1"/>
    <col min="14609" max="14609" width="10.85546875" style="118" customWidth="1"/>
    <col min="14610" max="14610" width="11.7109375" style="118" bestFit="1" customWidth="1"/>
    <col min="14611" max="14614" width="11.42578125" style="118"/>
    <col min="14615" max="14615" width="16.140625" style="118" customWidth="1"/>
    <col min="14616" max="14848" width="11.42578125" style="118"/>
    <col min="14849" max="14849" width="25.140625" style="118" customWidth="1"/>
    <col min="14850" max="14850" width="7.7109375" style="118" customWidth="1"/>
    <col min="14851" max="14851" width="8.140625" style="118" bestFit="1" customWidth="1"/>
    <col min="14852" max="14852" width="9.42578125" style="118" customWidth="1"/>
    <col min="14853" max="14853" width="9.42578125" style="118" bestFit="1" customWidth="1"/>
    <col min="14854" max="14854" width="12.140625" style="118" customWidth="1"/>
    <col min="14855" max="14855" width="10.42578125" style="118" customWidth="1"/>
    <col min="14856" max="14856" width="11.42578125" style="118" customWidth="1"/>
    <col min="14857" max="14857" width="7.85546875" style="118" customWidth="1"/>
    <col min="14858" max="14858" width="10.42578125" style="118" customWidth="1"/>
    <col min="14859" max="14859" width="7.42578125" style="118" bestFit="1" customWidth="1"/>
    <col min="14860" max="14860" width="10.42578125" style="118" customWidth="1"/>
    <col min="14861" max="14861" width="8.140625" style="118" customWidth="1"/>
    <col min="14862" max="14862" width="24.7109375" style="118" customWidth="1"/>
    <col min="14863" max="14864" width="8.85546875" style="118" customWidth="1"/>
    <col min="14865" max="14865" width="10.85546875" style="118" customWidth="1"/>
    <col min="14866" max="14866" width="11.7109375" style="118" bestFit="1" customWidth="1"/>
    <col min="14867" max="14870" width="11.42578125" style="118"/>
    <col min="14871" max="14871" width="16.140625" style="118" customWidth="1"/>
    <col min="14872" max="15104" width="11.42578125" style="118"/>
    <col min="15105" max="15105" width="25.140625" style="118" customWidth="1"/>
    <col min="15106" max="15106" width="7.7109375" style="118" customWidth="1"/>
    <col min="15107" max="15107" width="8.140625" style="118" bestFit="1" customWidth="1"/>
    <col min="15108" max="15108" width="9.42578125" style="118" customWidth="1"/>
    <col min="15109" max="15109" width="9.42578125" style="118" bestFit="1" customWidth="1"/>
    <col min="15110" max="15110" width="12.140625" style="118" customWidth="1"/>
    <col min="15111" max="15111" width="10.42578125" style="118" customWidth="1"/>
    <col min="15112" max="15112" width="11.42578125" style="118" customWidth="1"/>
    <col min="15113" max="15113" width="7.85546875" style="118" customWidth="1"/>
    <col min="15114" max="15114" width="10.42578125" style="118" customWidth="1"/>
    <col min="15115" max="15115" width="7.42578125" style="118" bestFit="1" customWidth="1"/>
    <col min="15116" max="15116" width="10.42578125" style="118" customWidth="1"/>
    <col min="15117" max="15117" width="8.140625" style="118" customWidth="1"/>
    <col min="15118" max="15118" width="24.7109375" style="118" customWidth="1"/>
    <col min="15119" max="15120" width="8.85546875" style="118" customWidth="1"/>
    <col min="15121" max="15121" width="10.85546875" style="118" customWidth="1"/>
    <col min="15122" max="15122" width="11.7109375" style="118" bestFit="1" customWidth="1"/>
    <col min="15123" max="15126" width="11.42578125" style="118"/>
    <col min="15127" max="15127" width="16.140625" style="118" customWidth="1"/>
    <col min="15128" max="15360" width="11.42578125" style="118"/>
    <col min="15361" max="15361" width="25.140625" style="118" customWidth="1"/>
    <col min="15362" max="15362" width="7.7109375" style="118" customWidth="1"/>
    <col min="15363" max="15363" width="8.140625" style="118" bestFit="1" customWidth="1"/>
    <col min="15364" max="15364" width="9.42578125" style="118" customWidth="1"/>
    <col min="15365" max="15365" width="9.42578125" style="118" bestFit="1" customWidth="1"/>
    <col min="15366" max="15366" width="12.140625" style="118" customWidth="1"/>
    <col min="15367" max="15367" width="10.42578125" style="118" customWidth="1"/>
    <col min="15368" max="15368" width="11.42578125" style="118" customWidth="1"/>
    <col min="15369" max="15369" width="7.85546875" style="118" customWidth="1"/>
    <col min="15370" max="15370" width="10.42578125" style="118" customWidth="1"/>
    <col min="15371" max="15371" width="7.42578125" style="118" bestFit="1" customWidth="1"/>
    <col min="15372" max="15372" width="10.42578125" style="118" customWidth="1"/>
    <col min="15373" max="15373" width="8.140625" style="118" customWidth="1"/>
    <col min="15374" max="15374" width="24.7109375" style="118" customWidth="1"/>
    <col min="15375" max="15376" width="8.85546875" style="118" customWidth="1"/>
    <col min="15377" max="15377" width="10.85546875" style="118" customWidth="1"/>
    <col min="15378" max="15378" width="11.7109375" style="118" bestFit="1" customWidth="1"/>
    <col min="15379" max="15382" width="11.42578125" style="118"/>
    <col min="15383" max="15383" width="16.140625" style="118" customWidth="1"/>
    <col min="15384" max="15616" width="11.42578125" style="118"/>
    <col min="15617" max="15617" width="25.140625" style="118" customWidth="1"/>
    <col min="15618" max="15618" width="7.7109375" style="118" customWidth="1"/>
    <col min="15619" max="15619" width="8.140625" style="118" bestFit="1" customWidth="1"/>
    <col min="15620" max="15620" width="9.42578125" style="118" customWidth="1"/>
    <col min="15621" max="15621" width="9.42578125" style="118" bestFit="1" customWidth="1"/>
    <col min="15622" max="15622" width="12.140625" style="118" customWidth="1"/>
    <col min="15623" max="15623" width="10.42578125" style="118" customWidth="1"/>
    <col min="15624" max="15624" width="11.42578125" style="118" customWidth="1"/>
    <col min="15625" max="15625" width="7.85546875" style="118" customWidth="1"/>
    <col min="15626" max="15626" width="10.42578125" style="118" customWidth="1"/>
    <col min="15627" max="15627" width="7.42578125" style="118" bestFit="1" customWidth="1"/>
    <col min="15628" max="15628" width="10.42578125" style="118" customWidth="1"/>
    <col min="15629" max="15629" width="8.140625" style="118" customWidth="1"/>
    <col min="15630" max="15630" width="24.7109375" style="118" customWidth="1"/>
    <col min="15631" max="15632" width="8.85546875" style="118" customWidth="1"/>
    <col min="15633" max="15633" width="10.85546875" style="118" customWidth="1"/>
    <col min="15634" max="15634" width="11.7109375" style="118" bestFit="1" customWidth="1"/>
    <col min="15635" max="15638" width="11.42578125" style="118"/>
    <col min="15639" max="15639" width="16.140625" style="118" customWidth="1"/>
    <col min="15640" max="15872" width="11.42578125" style="118"/>
    <col min="15873" max="15873" width="25.140625" style="118" customWidth="1"/>
    <col min="15874" max="15874" width="7.7109375" style="118" customWidth="1"/>
    <col min="15875" max="15875" width="8.140625" style="118" bestFit="1" customWidth="1"/>
    <col min="15876" max="15876" width="9.42578125" style="118" customWidth="1"/>
    <col min="15877" max="15877" width="9.42578125" style="118" bestFit="1" customWidth="1"/>
    <col min="15878" max="15878" width="12.140625" style="118" customWidth="1"/>
    <col min="15879" max="15879" width="10.42578125" style="118" customWidth="1"/>
    <col min="15880" max="15880" width="11.42578125" style="118" customWidth="1"/>
    <col min="15881" max="15881" width="7.85546875" style="118" customWidth="1"/>
    <col min="15882" max="15882" width="10.42578125" style="118" customWidth="1"/>
    <col min="15883" max="15883" width="7.42578125" style="118" bestFit="1" customWidth="1"/>
    <col min="15884" max="15884" width="10.42578125" style="118" customWidth="1"/>
    <col min="15885" max="15885" width="8.140625" style="118" customWidth="1"/>
    <col min="15886" max="15886" width="24.7109375" style="118" customWidth="1"/>
    <col min="15887" max="15888" width="8.85546875" style="118" customWidth="1"/>
    <col min="15889" max="15889" width="10.85546875" style="118" customWidth="1"/>
    <col min="15890" max="15890" width="11.7109375" style="118" bestFit="1" customWidth="1"/>
    <col min="15891" max="15894" width="11.42578125" style="118"/>
    <col min="15895" max="15895" width="16.140625" style="118" customWidth="1"/>
    <col min="15896" max="16128" width="11.42578125" style="118"/>
    <col min="16129" max="16129" width="25.140625" style="118" customWidth="1"/>
    <col min="16130" max="16130" width="7.7109375" style="118" customWidth="1"/>
    <col min="16131" max="16131" width="8.140625" style="118" bestFit="1" customWidth="1"/>
    <col min="16132" max="16132" width="9.42578125" style="118" customWidth="1"/>
    <col min="16133" max="16133" width="9.42578125" style="118" bestFit="1" customWidth="1"/>
    <col min="16134" max="16134" width="12.140625" style="118" customWidth="1"/>
    <col min="16135" max="16135" width="10.42578125" style="118" customWidth="1"/>
    <col min="16136" max="16136" width="11.42578125" style="118" customWidth="1"/>
    <col min="16137" max="16137" width="7.85546875" style="118" customWidth="1"/>
    <col min="16138" max="16138" width="10.42578125" style="118" customWidth="1"/>
    <col min="16139" max="16139" width="7.42578125" style="118" bestFit="1" customWidth="1"/>
    <col min="16140" max="16140" width="10.42578125" style="118" customWidth="1"/>
    <col min="16141" max="16141" width="8.140625" style="118" customWidth="1"/>
    <col min="16142" max="16142" width="24.7109375" style="118" customWidth="1"/>
    <col min="16143" max="16144" width="8.85546875" style="118" customWidth="1"/>
    <col min="16145" max="16145" width="10.85546875" style="118" customWidth="1"/>
    <col min="16146" max="16146" width="11.7109375" style="118" bestFit="1" customWidth="1"/>
    <col min="16147" max="16150" width="11.42578125" style="118"/>
    <col min="16151" max="16151" width="16.140625" style="118" customWidth="1"/>
    <col min="16152" max="16384" width="11.42578125" style="118"/>
  </cols>
  <sheetData>
    <row r="1" spans="1:24" ht="12" thickBot="1" x14ac:dyDescent="0.25"/>
    <row r="2" spans="1:24" ht="12" thickBot="1" x14ac:dyDescent="0.25">
      <c r="A2" s="121" t="s">
        <v>402</v>
      </c>
      <c r="B2" s="585">
        <v>2016</v>
      </c>
    </row>
    <row r="3" spans="1:24" ht="12" thickBot="1" x14ac:dyDescent="0.25">
      <c r="Q3" s="118" t="s">
        <v>403</v>
      </c>
    </row>
    <row r="4" spans="1:24" s="122" customFormat="1" ht="17.25" thickTop="1" thickBot="1" x14ac:dyDescent="0.25">
      <c r="A4" s="792" t="s">
        <v>404</v>
      </c>
      <c r="B4" s="792"/>
      <c r="C4" s="792"/>
      <c r="D4" s="792"/>
      <c r="E4" s="792"/>
      <c r="F4" s="792"/>
      <c r="G4" s="792"/>
      <c r="H4" s="792"/>
      <c r="I4" s="792"/>
      <c r="J4" s="792"/>
      <c r="K4" s="792"/>
      <c r="L4" s="792"/>
      <c r="W4" s="123" t="s">
        <v>405</v>
      </c>
      <c r="X4" s="124">
        <v>40457</v>
      </c>
    </row>
    <row r="5" spans="1:24" s="122" customFormat="1" ht="15.75" thickTop="1" x14ac:dyDescent="0.2">
      <c r="A5" s="793" t="s">
        <v>406</v>
      </c>
      <c r="B5" s="794"/>
      <c r="C5" s="794"/>
      <c r="D5" s="794"/>
      <c r="E5" s="794"/>
      <c r="F5" s="794"/>
      <c r="G5" s="794"/>
      <c r="H5" s="794"/>
      <c r="I5" s="794"/>
      <c r="J5" s="794"/>
      <c r="K5" s="794"/>
      <c r="L5" s="795"/>
      <c r="M5" s="125"/>
      <c r="W5" s="126" t="s">
        <v>407</v>
      </c>
      <c r="X5" s="127">
        <v>41461</v>
      </c>
    </row>
    <row r="6" spans="1:24" s="122" customFormat="1" ht="15.75" thickBot="1" x14ac:dyDescent="0.25">
      <c r="A6" s="128" t="s">
        <v>408</v>
      </c>
      <c r="B6" s="129" t="s">
        <v>409</v>
      </c>
      <c r="C6" s="796">
        <f>Cuadrillas!P62</f>
        <v>734269.57499999995</v>
      </c>
      <c r="D6" s="797"/>
      <c r="E6" s="129" t="s">
        <v>410</v>
      </c>
      <c r="F6" s="130">
        <f>+C6*12</f>
        <v>8811234.8999999985</v>
      </c>
      <c r="G6" s="798" t="s">
        <v>411</v>
      </c>
      <c r="H6" s="799"/>
      <c r="I6" s="129" t="s">
        <v>409</v>
      </c>
      <c r="J6" s="131">
        <f>Cuadrillas!M61</f>
        <v>77700</v>
      </c>
      <c r="K6" s="129" t="s">
        <v>410</v>
      </c>
      <c r="L6" s="132">
        <f>+J6*12</f>
        <v>932400</v>
      </c>
      <c r="W6" s="133" t="s">
        <v>412</v>
      </c>
      <c r="X6" s="134">
        <f>+X5-X4+1</f>
        <v>1005</v>
      </c>
    </row>
    <row r="7" spans="1:24" ht="12.75" thickTop="1" thickBot="1" x14ac:dyDescent="0.25"/>
    <row r="8" spans="1:24" s="135" customFormat="1" ht="12.75" customHeight="1" thickTop="1" x14ac:dyDescent="0.2">
      <c r="A8" s="800" t="s">
        <v>413</v>
      </c>
      <c r="B8" s="801"/>
      <c r="C8" s="802"/>
      <c r="D8" s="803" t="s">
        <v>414</v>
      </c>
      <c r="E8" s="802"/>
      <c r="F8" s="804" t="s">
        <v>415</v>
      </c>
      <c r="G8" s="805"/>
      <c r="H8" s="803" t="s">
        <v>416</v>
      </c>
      <c r="I8" s="802"/>
      <c r="J8" s="804" t="s">
        <v>417</v>
      </c>
      <c r="K8" s="805"/>
      <c r="L8" s="804" t="s">
        <v>418</v>
      </c>
      <c r="M8" s="806"/>
      <c r="N8" s="800" t="s">
        <v>419</v>
      </c>
      <c r="O8" s="801"/>
      <c r="P8" s="802"/>
      <c r="Q8" s="804" t="s">
        <v>420</v>
      </c>
      <c r="R8" s="806"/>
      <c r="W8" s="136" t="s">
        <v>421</v>
      </c>
      <c r="X8" s="137"/>
    </row>
    <row r="9" spans="1:24" ht="12" thickBot="1" x14ac:dyDescent="0.25">
      <c r="A9" s="138"/>
      <c r="B9" s="139"/>
      <c r="C9" s="140"/>
      <c r="D9" s="141" t="s">
        <v>422</v>
      </c>
      <c r="E9" s="142" t="s">
        <v>423</v>
      </c>
      <c r="F9" s="141" t="s">
        <v>422</v>
      </c>
      <c r="G9" s="142" t="s">
        <v>423</v>
      </c>
      <c r="H9" s="141" t="s">
        <v>422</v>
      </c>
      <c r="I9" s="142" t="s">
        <v>423</v>
      </c>
      <c r="J9" s="143" t="s">
        <v>422</v>
      </c>
      <c r="K9" s="144" t="s">
        <v>423</v>
      </c>
      <c r="L9" s="143" t="s">
        <v>422</v>
      </c>
      <c r="M9" s="145" t="s">
        <v>423</v>
      </c>
      <c r="N9" s="144"/>
      <c r="O9" s="144"/>
      <c r="P9" s="144"/>
      <c r="Q9" s="143" t="s">
        <v>422</v>
      </c>
      <c r="R9" s="145" t="s">
        <v>423</v>
      </c>
      <c r="W9" s="146" t="s">
        <v>422</v>
      </c>
      <c r="X9" s="147" t="s">
        <v>423</v>
      </c>
    </row>
    <row r="10" spans="1:24" x14ac:dyDescent="0.2">
      <c r="A10" s="148" t="s">
        <v>409</v>
      </c>
      <c r="B10" s="149"/>
      <c r="C10" s="150"/>
      <c r="D10" s="586">
        <f>C6</f>
        <v>734269.57499999995</v>
      </c>
      <c r="E10" s="151" t="s">
        <v>424</v>
      </c>
      <c r="F10" s="152">
        <f>+$D$10*1.5</f>
        <v>1101404.3624999998</v>
      </c>
      <c r="G10" s="151" t="s">
        <v>424</v>
      </c>
      <c r="H10" s="152">
        <f>+$D$10*2</f>
        <v>1468539.15</v>
      </c>
      <c r="I10" s="151" t="s">
        <v>424</v>
      </c>
      <c r="J10" s="152">
        <f>+$D$10*2.5</f>
        <v>1835673.9375</v>
      </c>
      <c r="K10" s="149" t="s">
        <v>424</v>
      </c>
      <c r="L10" s="153">
        <f>+$D$10*3</f>
        <v>2202808.7249999996</v>
      </c>
      <c r="M10" s="154" t="s">
        <v>424</v>
      </c>
      <c r="N10" s="149"/>
      <c r="O10" s="155" t="s">
        <v>425</v>
      </c>
      <c r="P10" s="149"/>
      <c r="Q10" s="153">
        <v>2000000</v>
      </c>
      <c r="R10" s="154" t="s">
        <v>424</v>
      </c>
      <c r="W10" s="156">
        <v>2800000</v>
      </c>
      <c r="X10" s="157" t="s">
        <v>424</v>
      </c>
    </row>
    <row r="11" spans="1:24" x14ac:dyDescent="0.2">
      <c r="A11" s="158" t="s">
        <v>426</v>
      </c>
      <c r="B11" s="159"/>
      <c r="C11" s="160"/>
      <c r="D11" s="161">
        <f>+J6</f>
        <v>77700</v>
      </c>
      <c r="E11" s="162" t="s">
        <v>427</v>
      </c>
      <c r="F11" s="161">
        <f>+$J$6</f>
        <v>77700</v>
      </c>
      <c r="G11" s="162" t="s">
        <v>427</v>
      </c>
      <c r="H11" s="161">
        <f>+$J$6</f>
        <v>77700</v>
      </c>
      <c r="I11" s="162" t="s">
        <v>427</v>
      </c>
      <c r="J11" s="163">
        <v>0</v>
      </c>
      <c r="K11" s="159" t="s">
        <v>427</v>
      </c>
      <c r="L11" s="163">
        <f>IF(L10&lt;=$H$10,+$L$6,0)</f>
        <v>0</v>
      </c>
      <c r="M11" s="164" t="s">
        <v>427</v>
      </c>
      <c r="N11" s="159"/>
      <c r="O11" s="159"/>
      <c r="P11" s="159"/>
      <c r="Q11" s="163">
        <f>IF(Q10&lt;=$H$10,+$L$6,0)</f>
        <v>0</v>
      </c>
      <c r="R11" s="164" t="s">
        <v>427</v>
      </c>
      <c r="W11" s="165">
        <f>IF(W10&lt;=$H$10,+$L$6,0)</f>
        <v>0</v>
      </c>
      <c r="X11" s="166" t="s">
        <v>427</v>
      </c>
    </row>
    <row r="12" spans="1:24" x14ac:dyDescent="0.2">
      <c r="A12" s="167" t="s">
        <v>428</v>
      </c>
      <c r="B12" s="168"/>
      <c r="C12" s="169"/>
      <c r="D12" s="170">
        <f>SUM(D10:D11)</f>
        <v>811969.57499999995</v>
      </c>
      <c r="E12" s="171" t="s">
        <v>429</v>
      </c>
      <c r="F12" s="170">
        <f>SUM(F10:F11)</f>
        <v>1179104.3624999998</v>
      </c>
      <c r="G12" s="171" t="s">
        <v>429</v>
      </c>
      <c r="H12" s="170">
        <f>SUM(H10:H11)</f>
        <v>1546239.15</v>
      </c>
      <c r="I12" s="171" t="s">
        <v>429</v>
      </c>
      <c r="J12" s="172">
        <f>SUM(J10:J11)</f>
        <v>1835673.9375</v>
      </c>
      <c r="K12" s="168" t="s">
        <v>429</v>
      </c>
      <c r="L12" s="172">
        <f>SUM(L10:L11)</f>
        <v>2202808.7249999996</v>
      </c>
      <c r="M12" s="173" t="s">
        <v>429</v>
      </c>
      <c r="N12" s="168"/>
      <c r="O12" s="168"/>
      <c r="P12" s="168"/>
      <c r="Q12" s="172">
        <f>SUM(Q10:Q11)</f>
        <v>2000000</v>
      </c>
      <c r="R12" s="173" t="s">
        <v>429</v>
      </c>
      <c r="W12" s="174">
        <f>SUM(W10:W11)</f>
        <v>2800000</v>
      </c>
      <c r="X12" s="175" t="s">
        <v>429</v>
      </c>
    </row>
    <row r="13" spans="1:24" x14ac:dyDescent="0.2">
      <c r="A13" s="176" t="s">
        <v>430</v>
      </c>
      <c r="B13" s="177"/>
      <c r="C13" s="178"/>
      <c r="D13" s="179">
        <f>+D10/30*365</f>
        <v>8933613.1624999996</v>
      </c>
      <c r="E13" s="180" t="s">
        <v>431</v>
      </c>
      <c r="F13" s="179">
        <f>+F10/30*365</f>
        <v>13400419.743749999</v>
      </c>
      <c r="G13" s="180" t="s">
        <v>431</v>
      </c>
      <c r="H13" s="179">
        <f>+H10/30*365</f>
        <v>17867226.324999999</v>
      </c>
      <c r="I13" s="180" t="s">
        <v>431</v>
      </c>
      <c r="J13" s="181">
        <f>+J10/30*365</f>
        <v>22334032.90625</v>
      </c>
      <c r="K13" s="182" t="s">
        <v>431</v>
      </c>
      <c r="L13" s="181">
        <f>+L10/30*365</f>
        <v>26800839.487499997</v>
      </c>
      <c r="M13" s="183" t="s">
        <v>431</v>
      </c>
      <c r="N13" s="182"/>
      <c r="O13" s="182"/>
      <c r="P13" s="182"/>
      <c r="Q13" s="181">
        <f>+Q10*12</f>
        <v>24000000</v>
      </c>
      <c r="R13" s="183" t="s">
        <v>431</v>
      </c>
      <c r="W13" s="184">
        <f>+W10/30*X6</f>
        <v>93800000</v>
      </c>
      <c r="X13" s="185" t="s">
        <v>431</v>
      </c>
    </row>
    <row r="14" spans="1:24" ht="12" thickBot="1" x14ac:dyDescent="0.25">
      <c r="A14" s="158" t="s">
        <v>432</v>
      </c>
      <c r="B14" s="159"/>
      <c r="C14" s="160"/>
      <c r="D14" s="161">
        <f>+D13+$L$6</f>
        <v>9866013.1624999996</v>
      </c>
      <c r="E14" s="186" t="s">
        <v>433</v>
      </c>
      <c r="F14" s="161">
        <f>+F13+$L$6</f>
        <v>14332819.743749999</v>
      </c>
      <c r="G14" s="186" t="s">
        <v>433</v>
      </c>
      <c r="H14" s="161">
        <f>+H13+$L$6</f>
        <v>18799626.324999999</v>
      </c>
      <c r="I14" s="186" t="s">
        <v>433</v>
      </c>
      <c r="J14" s="187">
        <f>+J13+0</f>
        <v>22334032.90625</v>
      </c>
      <c r="K14" s="188" t="s">
        <v>433</v>
      </c>
      <c r="L14" s="187">
        <f>+L13+L11</f>
        <v>26800839.487499997</v>
      </c>
      <c r="M14" s="189" t="s">
        <v>433</v>
      </c>
      <c r="N14" s="188"/>
      <c r="O14" s="188"/>
      <c r="P14" s="188"/>
      <c r="Q14" s="187">
        <f>+Q13+Q11</f>
        <v>24000000</v>
      </c>
      <c r="R14" s="189" t="s">
        <v>433</v>
      </c>
      <c r="W14" s="190">
        <f>+W13+0</f>
        <v>93800000</v>
      </c>
      <c r="X14" s="191" t="s">
        <v>433</v>
      </c>
    </row>
    <row r="15" spans="1:24" x14ac:dyDescent="0.2">
      <c r="A15" s="192"/>
      <c r="B15" s="193"/>
      <c r="C15" s="194"/>
      <c r="D15" s="195"/>
      <c r="E15" s="196"/>
      <c r="F15" s="193"/>
      <c r="G15" s="196"/>
      <c r="H15" s="193"/>
      <c r="I15" s="196"/>
      <c r="J15" s="197"/>
      <c r="K15" s="198"/>
      <c r="L15" s="197"/>
      <c r="M15" s="199"/>
      <c r="N15" s="198"/>
      <c r="O15" s="198"/>
      <c r="P15" s="198"/>
      <c r="Q15" s="197"/>
      <c r="R15" s="199"/>
      <c r="W15" s="200"/>
      <c r="X15" s="201"/>
    </row>
    <row r="16" spans="1:24" ht="12" thickBot="1" x14ac:dyDescent="0.25">
      <c r="A16" s="202" t="s">
        <v>434</v>
      </c>
      <c r="B16" s="203" t="s">
        <v>435</v>
      </c>
      <c r="C16" s="204" t="s">
        <v>436</v>
      </c>
      <c r="D16" s="203" t="s">
        <v>422</v>
      </c>
      <c r="E16" s="204" t="s">
        <v>437</v>
      </c>
      <c r="F16" s="203" t="s">
        <v>422</v>
      </c>
      <c r="G16" s="204" t="s">
        <v>437</v>
      </c>
      <c r="H16" s="203" t="s">
        <v>422</v>
      </c>
      <c r="I16" s="204" t="s">
        <v>437</v>
      </c>
      <c r="J16" s="203" t="s">
        <v>422</v>
      </c>
      <c r="K16" s="205" t="s">
        <v>437</v>
      </c>
      <c r="L16" s="203" t="s">
        <v>422</v>
      </c>
      <c r="M16" s="206" t="s">
        <v>437</v>
      </c>
      <c r="N16" s="202" t="s">
        <v>434</v>
      </c>
      <c r="O16" s="203" t="s">
        <v>435</v>
      </c>
      <c r="P16" s="204" t="s">
        <v>436</v>
      </c>
      <c r="Q16" s="203" t="s">
        <v>422</v>
      </c>
      <c r="R16" s="206" t="s">
        <v>437</v>
      </c>
      <c r="W16" s="207" t="s">
        <v>422</v>
      </c>
      <c r="X16" s="208" t="s">
        <v>437</v>
      </c>
    </row>
    <row r="17" spans="1:24" s="217" customFormat="1" ht="18" customHeight="1" x14ac:dyDescent="0.25">
      <c r="A17" s="209" t="s">
        <v>438</v>
      </c>
      <c r="B17" s="210"/>
      <c r="C17" s="211"/>
      <c r="D17" s="212"/>
      <c r="E17" s="213"/>
      <c r="F17" s="212"/>
      <c r="G17" s="213"/>
      <c r="H17" s="212"/>
      <c r="I17" s="213"/>
      <c r="J17" s="212"/>
      <c r="K17" s="214"/>
      <c r="L17" s="212"/>
      <c r="M17" s="215"/>
      <c r="N17" s="216" t="s">
        <v>438</v>
      </c>
      <c r="O17" s="210"/>
      <c r="P17" s="211"/>
      <c r="Q17" s="212"/>
      <c r="R17" s="215"/>
      <c r="W17" s="218"/>
      <c r="X17" s="219"/>
    </row>
    <row r="18" spans="1:24" x14ac:dyDescent="0.2">
      <c r="A18" s="220" t="s">
        <v>439</v>
      </c>
      <c r="B18" s="197" t="s">
        <v>424</v>
      </c>
      <c r="C18" s="155" t="s">
        <v>440</v>
      </c>
      <c r="D18" s="221">
        <f>+D13</f>
        <v>8933613.1624999996</v>
      </c>
      <c r="E18" s="222">
        <v>1</v>
      </c>
      <c r="F18" s="221">
        <f>+F13</f>
        <v>13400419.743749999</v>
      </c>
      <c r="G18" s="222">
        <v>1</v>
      </c>
      <c r="H18" s="221">
        <f>+H13</f>
        <v>17867226.324999999</v>
      </c>
      <c r="I18" s="222">
        <v>1</v>
      </c>
      <c r="J18" s="221">
        <f>+J14</f>
        <v>22334032.90625</v>
      </c>
      <c r="K18" s="223">
        <v>1</v>
      </c>
      <c r="L18" s="221">
        <f>+L14</f>
        <v>26800839.487499997</v>
      </c>
      <c r="M18" s="224">
        <v>1</v>
      </c>
      <c r="N18" s="220" t="s">
        <v>441</v>
      </c>
      <c r="O18" s="197" t="s">
        <v>424</v>
      </c>
      <c r="P18" s="150">
        <v>12</v>
      </c>
      <c r="Q18" s="221">
        <f>+Q14</f>
        <v>24000000</v>
      </c>
      <c r="R18" s="224">
        <v>1</v>
      </c>
      <c r="W18" s="225">
        <f>+W14</f>
        <v>93800000</v>
      </c>
      <c r="X18" s="226">
        <v>1</v>
      </c>
    </row>
    <row r="19" spans="1:24" x14ac:dyDescent="0.2">
      <c r="A19" s="220" t="s">
        <v>442</v>
      </c>
      <c r="B19" s="197" t="s">
        <v>427</v>
      </c>
      <c r="C19" s="150" t="str">
        <f>+C18</f>
        <v>365/30</v>
      </c>
      <c r="D19" s="221">
        <f>+$L$6</f>
        <v>932400</v>
      </c>
      <c r="E19" s="222">
        <f>+D19/D$18</f>
        <v>0.10436986502996011</v>
      </c>
      <c r="F19" s="221">
        <f>+$L$6</f>
        <v>932400</v>
      </c>
      <c r="G19" s="222">
        <f>+F19/F$18</f>
        <v>6.9579910019973407E-2</v>
      </c>
      <c r="H19" s="221">
        <f>+$L$6</f>
        <v>932400</v>
      </c>
      <c r="I19" s="222">
        <f>+H19/H$18</f>
        <v>5.2184932514980055E-2</v>
      </c>
      <c r="J19" s="221"/>
      <c r="K19" s="223"/>
      <c r="L19" s="221">
        <f>IF(L10&lt;=$H$10,+$J$6,0)</f>
        <v>0</v>
      </c>
      <c r="M19" s="222">
        <f>+L19/L$18</f>
        <v>0</v>
      </c>
      <c r="N19" s="220" t="s">
        <v>442</v>
      </c>
      <c r="O19" s="197" t="s">
        <v>427</v>
      </c>
      <c r="P19" s="150">
        <v>12</v>
      </c>
      <c r="Q19" s="221">
        <f>IF(Q10&lt;=$D$10*2,+$J$6*P19,0)</f>
        <v>0</v>
      </c>
      <c r="R19" s="222">
        <f>+Q19/Q$18</f>
        <v>0</v>
      </c>
      <c r="W19" s="225">
        <f>IF(W10&lt;=$H$10,+$J$6,0)</f>
        <v>0</v>
      </c>
      <c r="X19" s="226">
        <f>+W19/W$18</f>
        <v>0</v>
      </c>
    </row>
    <row r="20" spans="1:24" s="217" customFormat="1" ht="18" customHeight="1" x14ac:dyDescent="0.25">
      <c r="A20" s="209" t="s">
        <v>443</v>
      </c>
      <c r="B20" s="210"/>
      <c r="C20" s="211"/>
      <c r="D20" s="212"/>
      <c r="E20" s="213"/>
      <c r="F20" s="212"/>
      <c r="G20" s="213"/>
      <c r="H20" s="212"/>
      <c r="I20" s="213"/>
      <c r="J20" s="212"/>
      <c r="K20" s="214"/>
      <c r="L20" s="212"/>
      <c r="M20" s="215"/>
      <c r="N20" s="216" t="s">
        <v>443</v>
      </c>
      <c r="O20" s="210"/>
      <c r="P20" s="211"/>
      <c r="Q20" s="212"/>
      <c r="R20" s="215"/>
      <c r="W20" s="218"/>
      <c r="X20" s="219"/>
    </row>
    <row r="21" spans="1:24" x14ac:dyDescent="0.2">
      <c r="A21" s="220" t="s">
        <v>444</v>
      </c>
      <c r="B21" s="227" t="s">
        <v>433</v>
      </c>
      <c r="C21" s="228">
        <f>36/360</f>
        <v>0.1</v>
      </c>
      <c r="D21" s="221">
        <f>+D14*$C$21</f>
        <v>986601.31625000003</v>
      </c>
      <c r="E21" s="222">
        <f>+D21/D$18</f>
        <v>0.11043698650299602</v>
      </c>
      <c r="F21" s="221">
        <f>+F14*$C$21</f>
        <v>1433281.974375</v>
      </c>
      <c r="G21" s="222">
        <f>+F21/F$18</f>
        <v>0.10695799100199735</v>
      </c>
      <c r="H21" s="221">
        <f>+H14*$C$21</f>
        <v>1879962.6325000001</v>
      </c>
      <c r="I21" s="222">
        <f>+H21/H$18</f>
        <v>0.10521849325149801</v>
      </c>
      <c r="J21" s="221">
        <f>+J14*$C$21</f>
        <v>2233403.2906249999</v>
      </c>
      <c r="K21" s="223">
        <f>+J21/J$18</f>
        <v>9.9999999999999992E-2</v>
      </c>
      <c r="L21" s="221">
        <f>+L14*$C$21</f>
        <v>2680083.94875</v>
      </c>
      <c r="M21" s="224">
        <f>+L21/L$18</f>
        <v>0.1</v>
      </c>
      <c r="N21" s="220" t="s">
        <v>444</v>
      </c>
      <c r="O21" s="227" t="s">
        <v>433</v>
      </c>
      <c r="P21" s="228">
        <v>8.3333333333333329E-2</v>
      </c>
      <c r="Q21" s="221">
        <f>+Q14*$C$21</f>
        <v>2400000</v>
      </c>
      <c r="R21" s="224">
        <f>+Q21/Q$18</f>
        <v>0.1</v>
      </c>
      <c r="W21" s="225">
        <f>+W14*$C$21</f>
        <v>9380000</v>
      </c>
      <c r="X21" s="226">
        <f>+W21/W$18</f>
        <v>0.1</v>
      </c>
    </row>
    <row r="22" spans="1:24" x14ac:dyDescent="0.2">
      <c r="A22" s="220" t="s">
        <v>445</v>
      </c>
      <c r="B22" s="227" t="s">
        <v>446</v>
      </c>
      <c r="C22" s="229">
        <v>0.12</v>
      </c>
      <c r="D22" s="221">
        <f>+D21*$C$22</f>
        <v>118392.15794999999</v>
      </c>
      <c r="E22" s="222">
        <f>+D22/D$18</f>
        <v>1.3252438380359522E-2</v>
      </c>
      <c r="F22" s="221">
        <f>+F21*C22</f>
        <v>171993.83692499998</v>
      </c>
      <c r="G22" s="222">
        <f>+F22/F$18</f>
        <v>1.283495892023968E-2</v>
      </c>
      <c r="H22" s="221">
        <f>+H21*C22</f>
        <v>225595.5159</v>
      </c>
      <c r="I22" s="222">
        <f>+H22/H$18</f>
        <v>1.2626219190179762E-2</v>
      </c>
      <c r="J22" s="221">
        <f>+J21*$C$22</f>
        <v>268008.394875</v>
      </c>
      <c r="K22" s="223">
        <f>+J22/J$18</f>
        <v>1.2E-2</v>
      </c>
      <c r="L22" s="221">
        <f>+L21*$C$22</f>
        <v>321610.07384999999</v>
      </c>
      <c r="M22" s="224">
        <f>+L22/L$18</f>
        <v>1.2E-2</v>
      </c>
      <c r="N22" s="220" t="s">
        <v>445</v>
      </c>
      <c r="O22" s="227" t="s">
        <v>446</v>
      </c>
      <c r="P22" s="229">
        <v>0.12</v>
      </c>
      <c r="Q22" s="221">
        <f>+Q21*$C$22</f>
        <v>288000</v>
      </c>
      <c r="R22" s="224">
        <f>+Q22/Q$18</f>
        <v>1.2E-2</v>
      </c>
      <c r="W22" s="225">
        <f>+W21*$C$22</f>
        <v>1125600</v>
      </c>
      <c r="X22" s="226">
        <f>+W22/W$18</f>
        <v>1.2E-2</v>
      </c>
    </row>
    <row r="23" spans="1:24" x14ac:dyDescent="0.2">
      <c r="A23" s="220" t="s">
        <v>447</v>
      </c>
      <c r="B23" s="227" t="s">
        <v>424</v>
      </c>
      <c r="C23" s="229">
        <v>0.5</v>
      </c>
      <c r="D23" s="221">
        <f>+D10*$C$23</f>
        <v>367134.78749999998</v>
      </c>
      <c r="E23" s="222">
        <f>+D23/D$18</f>
        <v>4.1095890410958902E-2</v>
      </c>
      <c r="F23" s="221">
        <f>+F10*$C$23</f>
        <v>550702.18124999991</v>
      </c>
      <c r="G23" s="222">
        <f>+F23/F$18</f>
        <v>4.1095890410958902E-2</v>
      </c>
      <c r="H23" s="221">
        <f>+H10*$C$23</f>
        <v>734269.57499999995</v>
      </c>
      <c r="I23" s="222">
        <f>+H23/H$18</f>
        <v>4.1095890410958902E-2</v>
      </c>
      <c r="J23" s="221">
        <f>+J10*$C$23</f>
        <v>917836.96875</v>
      </c>
      <c r="K23" s="223">
        <f>+J23/J$18</f>
        <v>4.1095890410958902E-2</v>
      </c>
      <c r="L23" s="221">
        <f>+L10*$C$23</f>
        <v>1101404.3624999998</v>
      </c>
      <c r="M23" s="224">
        <f>+L23/L$18</f>
        <v>4.1095890410958902E-2</v>
      </c>
      <c r="N23" s="220" t="s">
        <v>447</v>
      </c>
      <c r="O23" s="227" t="s">
        <v>424</v>
      </c>
      <c r="P23" s="229">
        <v>0.5</v>
      </c>
      <c r="Q23" s="221">
        <f>+Q10*$C$23</f>
        <v>1000000</v>
      </c>
      <c r="R23" s="224">
        <f>+Q23/Q$18</f>
        <v>4.1666666666666664E-2</v>
      </c>
      <c r="W23" s="225">
        <f>+W10*$C$23*X6/365</f>
        <v>3854794.5205479451</v>
      </c>
      <c r="X23" s="226">
        <f>+W23/W$18</f>
        <v>4.1095890410958902E-2</v>
      </c>
    </row>
    <row r="24" spans="1:24" x14ac:dyDescent="0.2">
      <c r="A24" s="220" t="s">
        <v>448</v>
      </c>
      <c r="B24" s="227" t="s">
        <v>429</v>
      </c>
      <c r="C24" s="229">
        <v>1</v>
      </c>
      <c r="D24" s="221">
        <f>+D10</f>
        <v>734269.57499999995</v>
      </c>
      <c r="E24" s="222">
        <f>+D24/D$18</f>
        <v>8.2191780821917804E-2</v>
      </c>
      <c r="F24" s="221">
        <f>+F10</f>
        <v>1101404.3624999998</v>
      </c>
      <c r="G24" s="222">
        <f>+F24/F$18</f>
        <v>8.2191780821917804E-2</v>
      </c>
      <c r="H24" s="221">
        <f>+H10</f>
        <v>1468539.15</v>
      </c>
      <c r="I24" s="222">
        <f>+H24/H$18</f>
        <v>8.2191780821917804E-2</v>
      </c>
      <c r="J24" s="221">
        <f>+J10</f>
        <v>1835673.9375</v>
      </c>
      <c r="K24" s="223">
        <f>+J24/J$18</f>
        <v>8.2191780821917804E-2</v>
      </c>
      <c r="L24" s="221">
        <f>+L10</f>
        <v>2202808.7249999996</v>
      </c>
      <c r="M24" s="224">
        <f>+L24/L$18</f>
        <v>8.2191780821917804E-2</v>
      </c>
      <c r="N24" s="220" t="s">
        <v>448</v>
      </c>
      <c r="O24" s="227" t="s">
        <v>429</v>
      </c>
      <c r="P24" s="229">
        <v>1</v>
      </c>
      <c r="Q24" s="221">
        <f>+Q10</f>
        <v>2000000</v>
      </c>
      <c r="R24" s="224">
        <f>+Q24/Q$18</f>
        <v>8.3333333333333329E-2</v>
      </c>
      <c r="W24" s="225">
        <f>+W12*X6/365</f>
        <v>7709589.0410958901</v>
      </c>
      <c r="X24" s="226">
        <f>+W24/W$18</f>
        <v>8.2191780821917804E-2</v>
      </c>
    </row>
    <row r="25" spans="1:24" s="217" customFormat="1" ht="18" customHeight="1" x14ac:dyDescent="0.25">
      <c r="A25" s="209" t="s">
        <v>449</v>
      </c>
      <c r="B25" s="210"/>
      <c r="C25" s="211"/>
      <c r="D25" s="212"/>
      <c r="E25" s="213"/>
      <c r="F25" s="212"/>
      <c r="G25" s="213"/>
      <c r="H25" s="212"/>
      <c r="I25" s="213"/>
      <c r="J25" s="212"/>
      <c r="K25" s="214"/>
      <c r="L25" s="212"/>
      <c r="M25" s="215"/>
      <c r="N25" s="216" t="s">
        <v>449</v>
      </c>
      <c r="O25" s="210"/>
      <c r="P25" s="211"/>
      <c r="Q25" s="212"/>
      <c r="R25" s="215"/>
      <c r="W25" s="218"/>
      <c r="X25" s="219"/>
    </row>
    <row r="26" spans="1:24" x14ac:dyDescent="0.2">
      <c r="A26" s="220" t="s">
        <v>450</v>
      </c>
      <c r="B26" s="230">
        <f>60000+40000+15000</f>
        <v>115000</v>
      </c>
      <c r="C26" s="150">
        <v>4</v>
      </c>
      <c r="D26" s="221">
        <f>+$B$26*$C26</f>
        <v>460000</v>
      </c>
      <c r="E26" s="222">
        <f>+D26/D$18</f>
        <v>5.1490924403455221E-2</v>
      </c>
      <c r="F26" s="221">
        <f>+$B$26*$C26</f>
        <v>460000</v>
      </c>
      <c r="G26" s="222">
        <f>+F26/F$18</f>
        <v>3.4327282935636819E-2</v>
      </c>
      <c r="H26" s="221">
        <f>+$B$26*$C26</f>
        <v>460000</v>
      </c>
      <c r="I26" s="222">
        <f>+H26/H$18</f>
        <v>2.5745462201727611E-2</v>
      </c>
      <c r="J26" s="221"/>
      <c r="K26" s="223"/>
      <c r="L26" s="221">
        <f>IF(L10&lt;=$H$10,+$D$26,0)</f>
        <v>0</v>
      </c>
      <c r="M26" s="222">
        <f>+L26/L$18</f>
        <v>0</v>
      </c>
      <c r="N26" s="220" t="s">
        <v>451</v>
      </c>
      <c r="O26" s="231">
        <v>34800</v>
      </c>
      <c r="P26" s="150">
        <v>3</v>
      </c>
      <c r="Q26" s="221">
        <f>IF(Q10&lt;=$H$10,+$D$26,0)</f>
        <v>0</v>
      </c>
      <c r="R26" s="222">
        <f>+Q26/Q$18</f>
        <v>0</v>
      </c>
      <c r="W26" s="225">
        <f>IF(W10&lt;=$H$10,+$D$26,0)</f>
        <v>0</v>
      </c>
      <c r="X26" s="226">
        <f>+W26/W$18</f>
        <v>0</v>
      </c>
    </row>
    <row r="27" spans="1:24" x14ac:dyDescent="0.2">
      <c r="A27" s="220" t="s">
        <v>452</v>
      </c>
      <c r="B27" s="227" t="s">
        <v>431</v>
      </c>
      <c r="C27" s="229">
        <f>0.5%*0</f>
        <v>0</v>
      </c>
      <c r="D27" s="221">
        <f>+D$13*$C27</f>
        <v>0</v>
      </c>
      <c r="E27" s="222">
        <f>+D27/D$18</f>
        <v>0</v>
      </c>
      <c r="F27" s="221">
        <f>+F$13*$C27</f>
        <v>0</v>
      </c>
      <c r="G27" s="222">
        <f>+F27/F$18</f>
        <v>0</v>
      </c>
      <c r="H27" s="221">
        <f>+H$13*$C27</f>
        <v>0</v>
      </c>
      <c r="I27" s="222">
        <f>+H27/H$18</f>
        <v>0</v>
      </c>
      <c r="J27" s="221">
        <f>+J$13*C27</f>
        <v>0</v>
      </c>
      <c r="K27" s="223">
        <f>+J27/J$18</f>
        <v>0</v>
      </c>
      <c r="L27" s="221">
        <f>+L$13*E27</f>
        <v>0</v>
      </c>
      <c r="M27" s="224">
        <f>+L27/L$18</f>
        <v>0</v>
      </c>
      <c r="N27" s="220" t="s">
        <v>453</v>
      </c>
      <c r="O27" s="227" t="s">
        <v>431</v>
      </c>
      <c r="P27" s="229">
        <v>5.0000000000000001E-3</v>
      </c>
      <c r="Q27" s="221">
        <f>+Q$13*G27</f>
        <v>0</v>
      </c>
      <c r="R27" s="224">
        <f>+Q27/Q$18</f>
        <v>0</v>
      </c>
      <c r="W27" s="225">
        <f>+W$13*G27</f>
        <v>0</v>
      </c>
      <c r="X27" s="226">
        <f>+W27/W$18</f>
        <v>0</v>
      </c>
    </row>
    <row r="28" spans="1:24" s="217" customFormat="1" ht="18" customHeight="1" x14ac:dyDescent="0.25">
      <c r="A28" s="209" t="s">
        <v>454</v>
      </c>
      <c r="B28" s="210"/>
      <c r="C28" s="211"/>
      <c r="D28" s="212"/>
      <c r="E28" s="213"/>
      <c r="F28" s="212"/>
      <c r="G28" s="213"/>
      <c r="H28" s="212"/>
      <c r="I28" s="213"/>
      <c r="J28" s="212"/>
      <c r="K28" s="214"/>
      <c r="L28" s="212"/>
      <c r="M28" s="215"/>
      <c r="N28" s="216" t="s">
        <v>454</v>
      </c>
      <c r="O28" s="210"/>
      <c r="P28" s="211"/>
      <c r="Q28" s="212"/>
      <c r="R28" s="215"/>
      <c r="W28" s="218"/>
      <c r="X28" s="219"/>
    </row>
    <row r="29" spans="1:24" x14ac:dyDescent="0.2">
      <c r="A29" s="220" t="s">
        <v>455</v>
      </c>
      <c r="B29" s="227" t="s">
        <v>431</v>
      </c>
      <c r="C29" s="229">
        <f>0.16*0.75</f>
        <v>0.12</v>
      </c>
      <c r="D29" s="221">
        <f>+D$13*$C29</f>
        <v>1072033.5795</v>
      </c>
      <c r="E29" s="222">
        <f>+D29/D$18</f>
        <v>0.12000000000000001</v>
      </c>
      <c r="F29" s="221">
        <f>+F$13*$C29</f>
        <v>1608050.3692499998</v>
      </c>
      <c r="G29" s="222">
        <f>+F29/F$18</f>
        <v>0.12</v>
      </c>
      <c r="H29" s="221">
        <f>+H$13*$C29</f>
        <v>2144067.159</v>
      </c>
      <c r="I29" s="222">
        <f>+H29/H$18</f>
        <v>0.12000000000000001</v>
      </c>
      <c r="J29" s="221">
        <f>+J$13*C29</f>
        <v>2680083.94875</v>
      </c>
      <c r="K29" s="223">
        <f>+J29/J$18</f>
        <v>0.12</v>
      </c>
      <c r="L29" s="221">
        <f>+L$13*E29</f>
        <v>3216100.7385</v>
      </c>
      <c r="M29" s="224">
        <f>+L29/L$18</f>
        <v>0.12000000000000001</v>
      </c>
      <c r="N29" s="220" t="s">
        <v>456</v>
      </c>
      <c r="O29" s="227" t="s">
        <v>431</v>
      </c>
      <c r="P29" s="229">
        <f>0.155*0.75</f>
        <v>0.11624999999999999</v>
      </c>
      <c r="Q29" s="221">
        <f>+Q$13*G29</f>
        <v>2880000</v>
      </c>
      <c r="R29" s="224">
        <f>+Q29/Q$18</f>
        <v>0.12</v>
      </c>
      <c r="W29" s="225">
        <f>+W$13*G29</f>
        <v>11256000</v>
      </c>
      <c r="X29" s="226">
        <f>+W29/W$18</f>
        <v>0.12</v>
      </c>
    </row>
    <row r="30" spans="1:24" x14ac:dyDescent="0.2">
      <c r="A30" s="220" t="s">
        <v>457</v>
      </c>
      <c r="B30" s="227" t="s">
        <v>431</v>
      </c>
      <c r="C30" s="229">
        <v>8.5000000000000006E-2</v>
      </c>
      <c r="D30" s="221">
        <f>+D$13*$C30</f>
        <v>759357.11881250003</v>
      </c>
      <c r="E30" s="222">
        <f>+D30/D$18</f>
        <v>8.5000000000000006E-2</v>
      </c>
      <c r="F30" s="221">
        <f>+F$13*$C30</f>
        <v>1139035.6782187501</v>
      </c>
      <c r="G30" s="222">
        <f>+F30/F$18</f>
        <v>8.500000000000002E-2</v>
      </c>
      <c r="H30" s="221">
        <f>+H$13*$C30</f>
        <v>1518714.2376250001</v>
      </c>
      <c r="I30" s="222">
        <f>+H30/H$18</f>
        <v>8.5000000000000006E-2</v>
      </c>
      <c r="J30" s="221">
        <f>+J$13*C30</f>
        <v>1898392.7970312501</v>
      </c>
      <c r="K30" s="223">
        <f>+J30/J$18</f>
        <v>8.5000000000000006E-2</v>
      </c>
      <c r="L30" s="221">
        <f>+L$13*E30</f>
        <v>2278071.3564375001</v>
      </c>
      <c r="M30" s="224">
        <f>+L30/L$18</f>
        <v>8.500000000000002E-2</v>
      </c>
      <c r="N30" s="220" t="s">
        <v>458</v>
      </c>
      <c r="O30" s="227" t="s">
        <v>431</v>
      </c>
      <c r="P30" s="229">
        <v>0.125</v>
      </c>
      <c r="Q30" s="221">
        <f>+Q$13*G30</f>
        <v>2040000.0000000005</v>
      </c>
      <c r="R30" s="224">
        <f>+Q30/Q$18</f>
        <v>8.500000000000002E-2</v>
      </c>
      <c r="W30" s="225">
        <f>+W$13*G30</f>
        <v>7973000.0000000019</v>
      </c>
      <c r="X30" s="226">
        <f>+W30/W$18</f>
        <v>8.500000000000002E-2</v>
      </c>
    </row>
    <row r="31" spans="1:24" x14ac:dyDescent="0.2">
      <c r="A31" s="220" t="s">
        <v>459</v>
      </c>
      <c r="B31" s="227" t="s">
        <v>431</v>
      </c>
      <c r="C31" s="229">
        <v>5.6000000000000001E-2</v>
      </c>
      <c r="D31" s="221">
        <f>+D$13*$C31</f>
        <v>500282.3371</v>
      </c>
      <c r="E31" s="222">
        <f>+D31/D$18</f>
        <v>5.6000000000000001E-2</v>
      </c>
      <c r="F31" s="221">
        <f>+F$13*$C31</f>
        <v>750423.50564999995</v>
      </c>
      <c r="G31" s="222">
        <f>+F31/F$18</f>
        <v>5.6000000000000001E-2</v>
      </c>
      <c r="H31" s="221">
        <f>+H$13*$C31</f>
        <v>1000564.6742</v>
      </c>
      <c r="I31" s="222">
        <f>+H31/H$18</f>
        <v>5.6000000000000001E-2</v>
      </c>
      <c r="J31" s="221">
        <f>+J$13*C31</f>
        <v>1250705.8427500001</v>
      </c>
      <c r="K31" s="223">
        <f>+J31/J$18</f>
        <v>5.6000000000000001E-2</v>
      </c>
      <c r="L31" s="221">
        <f>+L$13*E31</f>
        <v>1500847.0112999999</v>
      </c>
      <c r="M31" s="224">
        <f>+L31/L$18</f>
        <v>5.6000000000000001E-2</v>
      </c>
      <c r="N31" s="220" t="s">
        <v>459</v>
      </c>
      <c r="O31" s="227" t="s">
        <v>431</v>
      </c>
      <c r="P31" s="229">
        <v>0.02</v>
      </c>
      <c r="Q31" s="221">
        <f>+Q$13*G31</f>
        <v>1344000</v>
      </c>
      <c r="R31" s="224">
        <f>+Q31/Q$18</f>
        <v>5.6000000000000001E-2</v>
      </c>
      <c r="W31" s="225">
        <f>+W$13*G31</f>
        <v>5252800</v>
      </c>
      <c r="X31" s="226">
        <f>+W31/W$18</f>
        <v>5.6000000000000001E-2</v>
      </c>
    </row>
    <row r="32" spans="1:24" s="217" customFormat="1" ht="18" customHeight="1" x14ac:dyDescent="0.25">
      <c r="A32" s="209" t="s">
        <v>460</v>
      </c>
      <c r="B32" s="210"/>
      <c r="C32" s="211"/>
      <c r="D32" s="212"/>
      <c r="E32" s="213"/>
      <c r="F32" s="212"/>
      <c r="G32" s="213"/>
      <c r="H32" s="212"/>
      <c r="I32" s="213"/>
      <c r="J32" s="212"/>
      <c r="K32" s="214"/>
      <c r="L32" s="212"/>
      <c r="M32" s="215"/>
      <c r="N32" s="216" t="s">
        <v>460</v>
      </c>
      <c r="O32" s="210"/>
      <c r="P32" s="211"/>
      <c r="Q32" s="212"/>
      <c r="R32" s="215"/>
      <c r="W32" s="218"/>
      <c r="X32" s="219"/>
    </row>
    <row r="33" spans="1:24" x14ac:dyDescent="0.2">
      <c r="A33" s="220" t="s">
        <v>461</v>
      </c>
      <c r="B33" s="227" t="s">
        <v>431</v>
      </c>
      <c r="C33" s="229">
        <v>0.02</v>
      </c>
      <c r="D33" s="221">
        <f>+D$13*$C33</f>
        <v>178672.26324999999</v>
      </c>
      <c r="E33" s="222">
        <f>+D33/D$18</f>
        <v>0.02</v>
      </c>
      <c r="F33" s="221">
        <f>+F$13*$C33</f>
        <v>268008.394875</v>
      </c>
      <c r="G33" s="222">
        <f>+F33/F$18</f>
        <v>0.02</v>
      </c>
      <c r="H33" s="221">
        <f>+H$13*$C33</f>
        <v>357344.52649999998</v>
      </c>
      <c r="I33" s="222">
        <f>+H33/H$18</f>
        <v>0.02</v>
      </c>
      <c r="J33" s="221">
        <f>+J$13*C33</f>
        <v>446680.65812500002</v>
      </c>
      <c r="K33" s="223">
        <f>+J33/J$18</f>
        <v>0.02</v>
      </c>
      <c r="L33" s="221">
        <f>+L$13*E33</f>
        <v>536016.78975</v>
      </c>
      <c r="M33" s="224">
        <f>+L33/L$18</f>
        <v>0.02</v>
      </c>
      <c r="N33" s="220" t="s">
        <v>461</v>
      </c>
      <c r="O33" s="227" t="s">
        <v>431</v>
      </c>
      <c r="P33" s="229">
        <v>0.02</v>
      </c>
      <c r="Q33" s="221">
        <f>+Q$13*G33</f>
        <v>480000</v>
      </c>
      <c r="R33" s="224">
        <f>+Q33/Q$18</f>
        <v>0.02</v>
      </c>
      <c r="W33" s="225">
        <f>+W$13*G33</f>
        <v>1876000</v>
      </c>
      <c r="X33" s="226">
        <f>+W33/W$18</f>
        <v>0.02</v>
      </c>
    </row>
    <row r="34" spans="1:24" x14ac:dyDescent="0.2">
      <c r="A34" s="220" t="s">
        <v>462</v>
      </c>
      <c r="B34" s="197" t="s">
        <v>463</v>
      </c>
      <c r="C34" s="229"/>
      <c r="D34" s="221">
        <f>($D$10/40)*12</f>
        <v>220280.87249999997</v>
      </c>
      <c r="E34" s="222">
        <f>+D34/D$18</f>
        <v>2.4657534246575338E-2</v>
      </c>
      <c r="F34" s="221">
        <f>($D$10/40)*12</f>
        <v>220280.87249999997</v>
      </c>
      <c r="G34" s="222">
        <f>+F34/F$18</f>
        <v>1.643835616438356E-2</v>
      </c>
      <c r="H34" s="221">
        <f>($D$10/40)*12</f>
        <v>220280.87249999997</v>
      </c>
      <c r="I34" s="222">
        <f>+H34/H$18</f>
        <v>1.2328767123287669E-2</v>
      </c>
      <c r="J34" s="221">
        <f>($D$10/40)*12</f>
        <v>220280.87249999997</v>
      </c>
      <c r="K34" s="223">
        <f>+J34/J$18</f>
        <v>9.863013698630135E-3</v>
      </c>
      <c r="L34" s="221">
        <f>($D$10/40)*12</f>
        <v>220280.87249999997</v>
      </c>
      <c r="M34" s="224">
        <f>+L34/L$18</f>
        <v>8.21917808219178E-3</v>
      </c>
      <c r="N34" s="220" t="s">
        <v>462</v>
      </c>
      <c r="O34" s="197" t="s">
        <v>463</v>
      </c>
      <c r="P34" s="229"/>
      <c r="Q34" s="221">
        <f>($D$10/40)*12</f>
        <v>220280.87249999997</v>
      </c>
      <c r="R34" s="224">
        <f>+Q34/Q$18</f>
        <v>9.1783696874999984E-3</v>
      </c>
      <c r="W34" s="225">
        <f>($D$10/40)*12*X6/365</f>
        <v>606526.78592465748</v>
      </c>
      <c r="X34" s="226">
        <f>+W34/W$18</f>
        <v>6.4661704256360076E-3</v>
      </c>
    </row>
    <row r="35" spans="1:24" s="217" customFormat="1" ht="18" customHeight="1" x14ac:dyDescent="0.25">
      <c r="A35" s="209" t="s">
        <v>464</v>
      </c>
      <c r="B35" s="210"/>
      <c r="C35" s="211"/>
      <c r="D35" s="212"/>
      <c r="E35" s="213"/>
      <c r="F35" s="212"/>
      <c r="G35" s="213"/>
      <c r="H35" s="212"/>
      <c r="I35" s="213"/>
      <c r="J35" s="212"/>
      <c r="K35" s="214"/>
      <c r="L35" s="212"/>
      <c r="M35" s="215"/>
      <c r="N35" s="216" t="s">
        <v>464</v>
      </c>
      <c r="O35" s="210"/>
      <c r="P35" s="211"/>
      <c r="Q35" s="212"/>
      <c r="R35" s="215"/>
      <c r="W35" s="218"/>
      <c r="X35" s="219"/>
    </row>
    <row r="36" spans="1:24" x14ac:dyDescent="0.2">
      <c r="A36" s="220" t="s">
        <v>465</v>
      </c>
      <c r="B36" s="227" t="s">
        <v>431</v>
      </c>
      <c r="C36" s="229">
        <v>0.03</v>
      </c>
      <c r="D36" s="221">
        <f>+D$13*$C36</f>
        <v>268008.394875</v>
      </c>
      <c r="E36" s="222">
        <f>+D36/D$18</f>
        <v>3.0000000000000002E-2</v>
      </c>
      <c r="F36" s="221">
        <f>+F$13*$C36</f>
        <v>402012.59231249994</v>
      </c>
      <c r="G36" s="222">
        <f>+F36/F$18</f>
        <v>0.03</v>
      </c>
      <c r="H36" s="221">
        <f>+H$13*$C36</f>
        <v>536016.78975</v>
      </c>
      <c r="I36" s="222">
        <f>+H36/H$18</f>
        <v>3.0000000000000002E-2</v>
      </c>
      <c r="J36" s="221">
        <f>+J$13*C36</f>
        <v>670020.9871875</v>
      </c>
      <c r="K36" s="223">
        <f>+J36/J$18</f>
        <v>0.03</v>
      </c>
      <c r="L36" s="221">
        <f>+L$13*E36</f>
        <v>804025.18462499999</v>
      </c>
      <c r="M36" s="224">
        <f>+L36/L$18</f>
        <v>3.0000000000000002E-2</v>
      </c>
      <c r="N36" s="220" t="s">
        <v>465</v>
      </c>
      <c r="O36" s="227" t="s">
        <v>431</v>
      </c>
      <c r="P36" s="229">
        <v>0.03</v>
      </c>
      <c r="Q36" s="221">
        <f>+Q$13*G36</f>
        <v>720000</v>
      </c>
      <c r="R36" s="224">
        <f>+Q36/Q$18</f>
        <v>0.03</v>
      </c>
      <c r="W36" s="225">
        <f>+W$13*G36</f>
        <v>2814000</v>
      </c>
      <c r="X36" s="226">
        <f>+W36/W$18</f>
        <v>0.03</v>
      </c>
    </row>
    <row r="37" spans="1:24" ht="12" thickBot="1" x14ac:dyDescent="0.25">
      <c r="A37" s="232" t="s">
        <v>466</v>
      </c>
      <c r="B37" s="233" t="s">
        <v>431</v>
      </c>
      <c r="C37" s="234">
        <v>0.04</v>
      </c>
      <c r="D37" s="235">
        <f>+D$13*$C37</f>
        <v>357344.52649999998</v>
      </c>
      <c r="E37" s="236">
        <f>+D37/D$18</f>
        <v>0.04</v>
      </c>
      <c r="F37" s="235">
        <f>+F$13*$C37</f>
        <v>536016.78975</v>
      </c>
      <c r="G37" s="236">
        <f>+F37/F$18</f>
        <v>0.04</v>
      </c>
      <c r="H37" s="235">
        <f>+H$13*$C37</f>
        <v>714689.05299999996</v>
      </c>
      <c r="I37" s="236">
        <f>+H37/H$18</f>
        <v>0.04</v>
      </c>
      <c r="J37" s="235">
        <f>+J$13*C37</f>
        <v>893361.31625000003</v>
      </c>
      <c r="K37" s="237">
        <f>+J37/J$18</f>
        <v>0.04</v>
      </c>
      <c r="L37" s="235">
        <f>+L$13*E37</f>
        <v>1072033.5795</v>
      </c>
      <c r="M37" s="238">
        <f>+L37/L$18</f>
        <v>0.04</v>
      </c>
      <c r="N37" s="232" t="s">
        <v>466</v>
      </c>
      <c r="O37" s="233" t="s">
        <v>431</v>
      </c>
      <c r="P37" s="234">
        <v>0.04</v>
      </c>
      <c r="Q37" s="235">
        <f>+Q$13*G37</f>
        <v>960000</v>
      </c>
      <c r="R37" s="238">
        <f>+Q37/Q$18</f>
        <v>0.04</v>
      </c>
      <c r="W37" s="239">
        <f>+W$13*G37</f>
        <v>3752000</v>
      </c>
      <c r="X37" s="240">
        <f>+W37/W$18</f>
        <v>0.04</v>
      </c>
    </row>
    <row r="38" spans="1:24" s="246" customFormat="1" ht="22.5" customHeight="1" thickBot="1" x14ac:dyDescent="0.3">
      <c r="A38" s="202" t="s">
        <v>467</v>
      </c>
      <c r="B38" s="807" t="s">
        <v>468</v>
      </c>
      <c r="C38" s="808"/>
      <c r="D38" s="241">
        <f t="shared" ref="D38:I38" si="0">SUM(D18:D37)</f>
        <v>15888390.091737498</v>
      </c>
      <c r="E38" s="242">
        <f t="shared" si="0"/>
        <v>1.7784954197962231</v>
      </c>
      <c r="F38" s="243">
        <f t="shared" si="0"/>
        <v>22974030.301356245</v>
      </c>
      <c r="G38" s="242">
        <f t="shared" si="0"/>
        <v>1.7144261702751078</v>
      </c>
      <c r="H38" s="243">
        <f t="shared" si="0"/>
        <v>30059670.510974996</v>
      </c>
      <c r="I38" s="242">
        <f t="shared" si="0"/>
        <v>1.6823915455145502</v>
      </c>
      <c r="J38" s="243">
        <f>SUM(J18:J37)</f>
        <v>35648481.920593746</v>
      </c>
      <c r="K38" s="244">
        <f>SUM(K18:K37)</f>
        <v>1.5961506849315072</v>
      </c>
      <c r="L38" s="243">
        <f>SUM(L18:L37)</f>
        <v>42734122.130212493</v>
      </c>
      <c r="M38" s="245">
        <f>SUM(M18:M37)</f>
        <v>1.5945068493150689</v>
      </c>
      <c r="N38" s="202" t="s">
        <v>467</v>
      </c>
      <c r="O38" s="809" t="s">
        <v>468</v>
      </c>
      <c r="P38" s="810"/>
      <c r="Q38" s="243">
        <f>SUM(Q18:Q37)</f>
        <v>38332280.872500002</v>
      </c>
      <c r="R38" s="245">
        <f>SUM(R18:R37)</f>
        <v>1.5971783696875004</v>
      </c>
      <c r="W38" s="247">
        <f>SUM(W18:W37)</f>
        <v>149400310.34756848</v>
      </c>
      <c r="X38" s="248">
        <f>SUM(X18:X37)</f>
        <v>1.592753841658513</v>
      </c>
    </row>
    <row r="39" spans="1:24" s="246" customFormat="1" ht="22.5" customHeight="1" thickBot="1" x14ac:dyDescent="0.3">
      <c r="A39" s="249"/>
      <c r="B39" s="811">
        <v>12</v>
      </c>
      <c r="C39" s="812"/>
      <c r="D39" s="241">
        <f>+D38/$B$39</f>
        <v>1324032.5076447914</v>
      </c>
      <c r="E39" s="242"/>
      <c r="F39" s="241">
        <f>+F38/$B$39</f>
        <v>1914502.5251130203</v>
      </c>
      <c r="G39" s="242"/>
      <c r="H39" s="241">
        <f>+H38/$B$39</f>
        <v>2504972.5425812495</v>
      </c>
      <c r="I39" s="242"/>
      <c r="J39" s="241">
        <f>+J38/$B$39</f>
        <v>2970706.8267161455</v>
      </c>
      <c r="K39" s="244"/>
      <c r="L39" s="241">
        <f>+L38/$B$39</f>
        <v>3561176.8441843744</v>
      </c>
      <c r="M39" s="245"/>
      <c r="N39" s="249"/>
      <c r="O39" s="811">
        <v>12</v>
      </c>
      <c r="P39" s="812"/>
      <c r="Q39" s="243">
        <f>+Q38/$O$39</f>
        <v>3194356.7393750004</v>
      </c>
      <c r="R39" s="245"/>
      <c r="W39" s="250"/>
      <c r="X39" s="251"/>
    </row>
    <row r="40" spans="1:24" s="246" customFormat="1" ht="22.5" customHeight="1" thickBot="1" x14ac:dyDescent="0.3">
      <c r="A40" s="249"/>
      <c r="B40" s="813">
        <v>365</v>
      </c>
      <c r="C40" s="814"/>
      <c r="D40" s="241">
        <f>+D38/$B$40</f>
        <v>43529.835867773967</v>
      </c>
      <c r="E40" s="242"/>
      <c r="F40" s="241">
        <f>+F38/$B$40</f>
        <v>62942.548770839028</v>
      </c>
      <c r="G40" s="242"/>
      <c r="H40" s="241">
        <f>+H38/$B$40</f>
        <v>82355.261673904097</v>
      </c>
      <c r="I40" s="242"/>
      <c r="J40" s="241">
        <f>+J38/$B$40</f>
        <v>97667.073755051359</v>
      </c>
      <c r="K40" s="244"/>
      <c r="L40" s="241">
        <f>+L38/$B$40</f>
        <v>117079.78665811641</v>
      </c>
      <c r="M40" s="245"/>
      <c r="N40" s="249"/>
      <c r="O40" s="813">
        <v>365</v>
      </c>
      <c r="P40" s="814"/>
      <c r="Q40" s="243">
        <f>+Q38/$O$40</f>
        <v>105019.94759589042</v>
      </c>
      <c r="R40" s="245"/>
      <c r="W40" s="250"/>
      <c r="X40" s="251"/>
    </row>
    <row r="41" spans="1:24" s="246" customFormat="1" ht="22.5" customHeight="1" thickBot="1" x14ac:dyDescent="0.3">
      <c r="A41" s="249"/>
      <c r="B41" s="815">
        <v>52</v>
      </c>
      <c r="C41" s="816"/>
      <c r="D41" s="241">
        <f>+D38/$B$41</f>
        <v>305545.9633026442</v>
      </c>
      <c r="E41" s="242"/>
      <c r="F41" s="241">
        <f>+F38/$B$41</f>
        <v>441808.27502608165</v>
      </c>
      <c r="G41" s="242"/>
      <c r="H41" s="241">
        <f>+H38/$B$41</f>
        <v>578070.58674951911</v>
      </c>
      <c r="I41" s="242"/>
      <c r="J41" s="241">
        <f>+J38/$B$41</f>
        <v>685547.72924218746</v>
      </c>
      <c r="K41" s="244"/>
      <c r="L41" s="241">
        <f>+L38/$B$41</f>
        <v>821810.04096562485</v>
      </c>
      <c r="M41" s="245"/>
      <c r="N41" s="249"/>
      <c r="O41" s="815">
        <v>52</v>
      </c>
      <c r="P41" s="816"/>
      <c r="Q41" s="243">
        <f>+Q38/$O$41</f>
        <v>737159.24754807702</v>
      </c>
      <c r="R41" s="245"/>
      <c r="W41" s="250"/>
      <c r="X41" s="251"/>
    </row>
    <row r="42" spans="1:24" s="246" customFormat="1" ht="22.5" customHeight="1" thickBot="1" x14ac:dyDescent="0.3">
      <c r="A42" s="249"/>
      <c r="B42" s="817">
        <v>48</v>
      </c>
      <c r="C42" s="818"/>
      <c r="D42" s="241">
        <f>+D41/$B$42</f>
        <v>6365.5409021384212</v>
      </c>
      <c r="E42" s="242"/>
      <c r="F42" s="241">
        <f>+F41/$B$42</f>
        <v>9204.3390630433678</v>
      </c>
      <c r="G42" s="242"/>
      <c r="H42" s="241">
        <f>+H41/$B$42</f>
        <v>12043.137223948315</v>
      </c>
      <c r="I42" s="242"/>
      <c r="J42" s="241">
        <f>+J41/$B$42</f>
        <v>14282.244359212238</v>
      </c>
      <c r="K42" s="244"/>
      <c r="L42" s="241">
        <f>+L41/$B$42</f>
        <v>17121.042520117186</v>
      </c>
      <c r="M42" s="245"/>
      <c r="N42" s="249"/>
      <c r="O42" s="817">
        <v>48</v>
      </c>
      <c r="P42" s="818"/>
      <c r="Q42" s="243">
        <f>+Q41/$O$42</f>
        <v>15357.484323918272</v>
      </c>
      <c r="R42" s="245"/>
      <c r="W42" s="250"/>
      <c r="X42" s="251"/>
    </row>
    <row r="43" spans="1:24" ht="12" thickBot="1" x14ac:dyDescent="0.25"/>
    <row r="44" spans="1:24" s="258" customFormat="1" ht="12" x14ac:dyDescent="0.2">
      <c r="A44" s="252" t="s">
        <v>469</v>
      </c>
      <c r="B44" s="253"/>
      <c r="C44" s="253"/>
      <c r="D44" s="254"/>
      <c r="E44" s="255"/>
      <c r="F44" s="253"/>
      <c r="G44" s="255"/>
      <c r="H44" s="253"/>
      <c r="I44" s="255"/>
      <c r="J44" s="256"/>
      <c r="K44" s="257"/>
    </row>
    <row r="45" spans="1:24" ht="12" x14ac:dyDescent="0.2">
      <c r="A45" s="259" t="s">
        <v>470</v>
      </c>
      <c r="B45" s="198"/>
      <c r="C45" s="155"/>
      <c r="D45" s="198"/>
      <c r="E45" s="198"/>
      <c r="F45" s="198"/>
      <c r="G45" s="198"/>
      <c r="H45" s="198"/>
      <c r="I45" s="198"/>
      <c r="J45" s="198"/>
      <c r="K45" s="199"/>
      <c r="L45" s="118" t="s">
        <v>471</v>
      </c>
      <c r="M45" s="118" t="s">
        <v>472</v>
      </c>
      <c r="Q45" s="118" t="s">
        <v>473</v>
      </c>
      <c r="R45" s="118" t="s">
        <v>474</v>
      </c>
    </row>
    <row r="46" spans="1:24" ht="12" x14ac:dyDescent="0.2">
      <c r="A46" s="259" t="s">
        <v>475</v>
      </c>
      <c r="C46" s="260"/>
      <c r="D46" s="261"/>
      <c r="E46" s="198"/>
      <c r="F46" s="198"/>
      <c r="G46" s="198"/>
      <c r="I46" s="198"/>
      <c r="J46" s="198"/>
      <c r="K46" s="199"/>
      <c r="L46" s="262">
        <f>+D10/30</f>
        <v>24475.6525</v>
      </c>
      <c r="M46" s="263">
        <v>1</v>
      </c>
      <c r="N46" s="264">
        <v>8</v>
      </c>
      <c r="O46" s="265" t="s">
        <v>476</v>
      </c>
      <c r="P46" s="265"/>
      <c r="Q46" s="266">
        <f>+N46/$N$52</f>
        <v>0.1</v>
      </c>
      <c r="R46" s="267">
        <f>+E38*Q46</f>
        <v>0.17784954197962233</v>
      </c>
    </row>
    <row r="47" spans="1:24" ht="12" x14ac:dyDescent="0.2">
      <c r="A47" s="259" t="s">
        <v>477</v>
      </c>
      <c r="C47" s="260"/>
      <c r="D47" s="261"/>
      <c r="E47" s="198"/>
      <c r="F47" s="198"/>
      <c r="G47" s="198"/>
      <c r="H47" s="155"/>
      <c r="I47" s="198"/>
      <c r="J47" s="198"/>
      <c r="K47" s="199"/>
      <c r="L47" s="262">
        <f>+F10/30</f>
        <v>36713.478749999995</v>
      </c>
      <c r="M47" s="263">
        <v>1.5</v>
      </c>
      <c r="N47" s="264">
        <v>38</v>
      </c>
      <c r="O47" s="265" t="s">
        <v>478</v>
      </c>
      <c r="P47" s="265"/>
      <c r="Q47" s="266">
        <f>+N47/$N$52</f>
        <v>0.47499999999999998</v>
      </c>
      <c r="R47" s="267">
        <f>+G38*Q47</f>
        <v>0.81435243088067621</v>
      </c>
    </row>
    <row r="48" spans="1:24" ht="12" x14ac:dyDescent="0.2">
      <c r="A48" s="268" t="s">
        <v>479</v>
      </c>
      <c r="B48" s="198"/>
      <c r="C48" s="155"/>
      <c r="D48" s="261"/>
      <c r="E48" s="198"/>
      <c r="F48" s="198"/>
      <c r="G48" s="198"/>
      <c r="H48" s="155"/>
      <c r="I48" s="198"/>
      <c r="J48" s="198"/>
      <c r="K48" s="199"/>
      <c r="L48" s="262">
        <f>+H10/30</f>
        <v>48951.305</v>
      </c>
      <c r="M48" s="263">
        <v>2</v>
      </c>
      <c r="N48" s="264">
        <v>20</v>
      </c>
      <c r="O48" s="118" t="s">
        <v>480</v>
      </c>
      <c r="Q48" s="266">
        <f>+N48/$N$52</f>
        <v>0.25</v>
      </c>
      <c r="R48" s="267">
        <f>+I38*Q48</f>
        <v>0.42059788637863754</v>
      </c>
    </row>
    <row r="49" spans="1:18" ht="12" x14ac:dyDescent="0.2">
      <c r="A49" s="268" t="s">
        <v>481</v>
      </c>
      <c r="B49" s="198"/>
      <c r="C49" s="155"/>
      <c r="D49" s="261"/>
      <c r="E49" s="198"/>
      <c r="F49" s="198"/>
      <c r="G49" s="198"/>
      <c r="H49" s="155"/>
      <c r="I49" s="198"/>
      <c r="J49" s="198"/>
      <c r="K49" s="199"/>
      <c r="L49" s="262">
        <f>+J10/30</f>
        <v>61189.131249999999</v>
      </c>
      <c r="M49" s="263">
        <v>2.5</v>
      </c>
      <c r="N49" s="264">
        <v>10</v>
      </c>
      <c r="O49" s="118" t="s">
        <v>482</v>
      </c>
      <c r="Q49" s="266">
        <f>+N49/$N$52</f>
        <v>0.125</v>
      </c>
      <c r="R49" s="267">
        <f>+K38*Q49</f>
        <v>0.19951883561643841</v>
      </c>
    </row>
    <row r="50" spans="1:18" ht="12" x14ac:dyDescent="0.2">
      <c r="A50" s="268" t="s">
        <v>483</v>
      </c>
      <c r="B50" s="198"/>
      <c r="C50" s="155"/>
      <c r="D50" s="261"/>
      <c r="E50" s="198"/>
      <c r="F50" s="198"/>
      <c r="G50" s="198"/>
      <c r="H50" s="198"/>
      <c r="I50" s="198"/>
      <c r="J50" s="198"/>
      <c r="K50" s="199"/>
      <c r="L50" s="262">
        <f>+L10/30</f>
        <v>73426.95749999999</v>
      </c>
      <c r="M50" s="263">
        <v>3</v>
      </c>
      <c r="N50" s="264">
        <v>4</v>
      </c>
      <c r="O50" s="265" t="s">
        <v>484</v>
      </c>
      <c r="P50" s="265"/>
      <c r="Q50" s="266">
        <f>+N50/$N$52</f>
        <v>0.05</v>
      </c>
      <c r="R50" s="267">
        <f>+M38*Q50</f>
        <v>7.9725342465753454E-2</v>
      </c>
    </row>
    <row r="51" spans="1:18" ht="12" x14ac:dyDescent="0.2">
      <c r="A51" s="268" t="s">
        <v>485</v>
      </c>
      <c r="B51" s="198"/>
      <c r="C51" s="155"/>
      <c r="D51" s="261"/>
      <c r="E51" s="198"/>
      <c r="F51" s="198"/>
      <c r="G51" s="198"/>
      <c r="H51" s="198"/>
      <c r="I51" s="198"/>
      <c r="J51" s="198"/>
      <c r="K51" s="199"/>
    </row>
    <row r="52" spans="1:18" ht="12" x14ac:dyDescent="0.2">
      <c r="A52" s="268" t="s">
        <v>486</v>
      </c>
      <c r="B52" s="198"/>
      <c r="C52" s="155"/>
      <c r="D52" s="261"/>
      <c r="E52" s="198"/>
      <c r="F52" s="198"/>
      <c r="G52" s="198"/>
      <c r="H52" s="198"/>
      <c r="I52" s="269"/>
      <c r="J52" s="198"/>
      <c r="K52" s="199"/>
      <c r="L52" s="262">
        <f>SUMPRODUCT(L46:L50,N46:N50)/N52</f>
        <v>43444.283187499997</v>
      </c>
      <c r="M52" s="118" t="s">
        <v>8</v>
      </c>
      <c r="N52" s="264">
        <f>SUM(N46:N50)</f>
        <v>80</v>
      </c>
      <c r="O52" s="118" t="s">
        <v>487</v>
      </c>
      <c r="Q52" s="266">
        <f>SUM(Q46:Q50)</f>
        <v>1</v>
      </c>
      <c r="R52" s="267">
        <f>SUM(R46:R50)</f>
        <v>1.6920440373211278</v>
      </c>
    </row>
    <row r="53" spans="1:18" ht="12" thickBot="1" x14ac:dyDescent="0.25">
      <c r="A53" s="138"/>
      <c r="B53" s="139"/>
      <c r="C53" s="270"/>
      <c r="D53" s="271"/>
      <c r="E53" s="139"/>
      <c r="F53" s="139"/>
      <c r="G53" s="139"/>
      <c r="H53" s="139"/>
      <c r="I53" s="139"/>
      <c r="J53" s="139"/>
      <c r="K53" s="272"/>
    </row>
  </sheetData>
  <mergeCells count="22">
    <mergeCell ref="B40:C40"/>
    <mergeCell ref="O40:P40"/>
    <mergeCell ref="B41:C41"/>
    <mergeCell ref="O41:P41"/>
    <mergeCell ref="B42:C42"/>
    <mergeCell ref="O42:P42"/>
    <mergeCell ref="N8:P8"/>
    <mergeCell ref="Q8:R8"/>
    <mergeCell ref="B38:C38"/>
    <mergeCell ref="O38:P38"/>
    <mergeCell ref="B39:C39"/>
    <mergeCell ref="O39:P39"/>
    <mergeCell ref="A4:L4"/>
    <mergeCell ref="A5:L5"/>
    <mergeCell ref="C6:D6"/>
    <mergeCell ref="G6:H6"/>
    <mergeCell ref="A8:C8"/>
    <mergeCell ref="D8:E8"/>
    <mergeCell ref="F8:G8"/>
    <mergeCell ref="H8:I8"/>
    <mergeCell ref="J8:K8"/>
    <mergeCell ref="L8:M8"/>
  </mergeCells>
  <printOptions horizontalCentered="1" verticalCentered="1"/>
  <pageMargins left="0.16" right="0.34" top="0.74" bottom="0.68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51"/>
  <sheetViews>
    <sheetView view="pageBreakPreview" zoomScale="75" zoomScaleNormal="115" zoomScaleSheetLayoutView="75" zoomScalePageLayoutView="115" workbookViewId="0">
      <selection activeCell="D8" sqref="D8:I11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28"/>
      <c r="C12" s="35" t="s">
        <v>3098</v>
      </c>
      <c r="D12" s="36" t="s">
        <v>737</v>
      </c>
      <c r="E12" s="876" t="s">
        <v>738</v>
      </c>
      <c r="F12" s="877"/>
      <c r="G12" s="878"/>
      <c r="H12" s="37" t="s">
        <v>5</v>
      </c>
      <c r="I12" s="38" t="s">
        <v>17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3100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29"/>
    </row>
    <row r="16" spans="2:11" x14ac:dyDescent="0.25">
      <c r="B16" s="28"/>
      <c r="C16" s="866"/>
      <c r="D16" s="867"/>
      <c r="E16" s="44"/>
      <c r="F16" s="45"/>
      <c r="G16" s="46"/>
      <c r="H16" s="47"/>
      <c r="I16" s="48"/>
      <c r="J16" s="29"/>
      <c r="K16" s="97"/>
    </row>
    <row r="17" spans="2:10" ht="15.75" thickBot="1" x14ac:dyDescent="0.3">
      <c r="B17" s="28"/>
      <c r="C17" s="866"/>
      <c r="D17" s="867"/>
      <c r="E17" s="57"/>
      <c r="F17" s="113"/>
      <c r="G17" s="110"/>
      <c r="H17" s="45"/>
      <c r="I17" s="63"/>
      <c r="J17" s="29"/>
    </row>
    <row r="18" spans="2:10" ht="16.5" thickTop="1" thickBot="1" x14ac:dyDescent="0.3">
      <c r="B18" s="28"/>
      <c r="C18" s="49"/>
      <c r="D18" s="50"/>
      <c r="E18" s="50"/>
      <c r="F18" s="50"/>
      <c r="G18" s="51"/>
      <c r="H18" s="52" t="s">
        <v>3109</v>
      </c>
      <c r="I18" s="53">
        <f>(SUM(I16:I17))</f>
        <v>0</v>
      </c>
      <c r="J18" s="29"/>
    </row>
    <row r="19" spans="2:10" ht="15.75" thickTop="1" x14ac:dyDescent="0.25">
      <c r="B19" s="28"/>
      <c r="C19" s="54"/>
      <c r="D19" s="32"/>
      <c r="E19" s="32"/>
      <c r="F19" s="32"/>
      <c r="G19" s="32"/>
      <c r="H19" s="32"/>
      <c r="I19" s="55"/>
      <c r="J19" s="29"/>
    </row>
    <row r="20" spans="2:10" ht="15.75" thickBot="1" x14ac:dyDescent="0.3">
      <c r="B20" s="28"/>
      <c r="C20" s="39" t="s">
        <v>3110</v>
      </c>
      <c r="D20" s="32"/>
      <c r="E20" s="32"/>
      <c r="F20" s="32"/>
      <c r="G20" s="32"/>
      <c r="H20" s="32"/>
      <c r="I20" s="41"/>
      <c r="J20" s="29"/>
    </row>
    <row r="21" spans="2:10" ht="15.75" thickTop="1" x14ac:dyDescent="0.25">
      <c r="B21" s="28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29"/>
    </row>
    <row r="22" spans="2:10" x14ac:dyDescent="0.25">
      <c r="B22" s="28"/>
      <c r="C22" s="891"/>
      <c r="D22" s="892"/>
      <c r="E22" s="893"/>
      <c r="F22" s="95"/>
      <c r="G22" s="45"/>
      <c r="H22" s="107"/>
      <c r="I22" s="48"/>
      <c r="J22" s="29"/>
    </row>
    <row r="23" spans="2:10" ht="21" customHeight="1" x14ac:dyDescent="0.25">
      <c r="B23" s="28"/>
      <c r="C23" s="872" t="s">
        <v>3179</v>
      </c>
      <c r="D23" s="873"/>
      <c r="E23" s="874"/>
      <c r="F23" s="44" t="s">
        <v>17</v>
      </c>
      <c r="G23" s="510">
        <f>188017*1.16</f>
        <v>218099.71999999997</v>
      </c>
      <c r="H23" s="44">
        <v>1</v>
      </c>
      <c r="I23" s="48">
        <f t="shared" ref="I23" si="0">+H23*G23</f>
        <v>218099.71999999997</v>
      </c>
      <c r="J23" s="29"/>
    </row>
    <row r="24" spans="2:10" x14ac:dyDescent="0.25">
      <c r="B24" s="28"/>
      <c r="C24" s="891"/>
      <c r="D24" s="892"/>
      <c r="E24" s="893"/>
      <c r="F24" s="95"/>
      <c r="G24" s="45"/>
      <c r="H24" s="58"/>
      <c r="I24" s="48"/>
      <c r="J24" s="29"/>
    </row>
    <row r="25" spans="2:10" ht="15.75" thickBot="1" x14ac:dyDescent="0.3">
      <c r="B25" s="28"/>
      <c r="C25" s="897"/>
      <c r="D25" s="898"/>
      <c r="E25" s="899"/>
      <c r="F25" s="114"/>
      <c r="G25" s="61"/>
      <c r="H25" s="62"/>
      <c r="I25" s="63"/>
      <c r="J25" s="29"/>
    </row>
    <row r="26" spans="2:10" ht="16.5" thickTop="1" thickBot="1" x14ac:dyDescent="0.3">
      <c r="B26" s="28"/>
      <c r="C26" s="64"/>
      <c r="D26" s="65"/>
      <c r="E26" s="65"/>
      <c r="F26" s="65"/>
      <c r="G26" s="66"/>
      <c r="H26" s="52" t="s">
        <v>3109</v>
      </c>
      <c r="I26" s="53">
        <f>ROUND(SUM(I22:I25),0)</f>
        <v>218100</v>
      </c>
      <c r="J26" s="29"/>
    </row>
    <row r="27" spans="2:10" ht="15.75" thickTop="1" x14ac:dyDescent="0.25">
      <c r="B27" s="115"/>
      <c r="J27" s="115"/>
    </row>
    <row r="28" spans="2:10" x14ac:dyDescent="0.25">
      <c r="B28" s="28"/>
      <c r="C28" s="64"/>
      <c r="D28" s="65"/>
      <c r="E28" s="65"/>
      <c r="F28" s="65"/>
      <c r="G28" s="66"/>
      <c r="H28" s="32"/>
      <c r="I28" s="55"/>
      <c r="J28" s="29"/>
    </row>
    <row r="29" spans="2:10" ht="15.75" thickBot="1" x14ac:dyDescent="0.3">
      <c r="B29" s="28"/>
      <c r="C29" s="39" t="s">
        <v>3120</v>
      </c>
      <c r="D29" s="32"/>
      <c r="E29" s="32"/>
      <c r="F29" s="32"/>
      <c r="G29" s="32"/>
      <c r="H29" s="32"/>
      <c r="I29" s="67"/>
      <c r="J29" s="29"/>
    </row>
    <row r="30" spans="2:10" ht="15.75" thickTop="1" x14ac:dyDescent="0.25">
      <c r="B30" s="28"/>
      <c r="C30" s="858" t="s">
        <v>3121</v>
      </c>
      <c r="D30" s="860"/>
      <c r="E30" s="596" t="s">
        <v>3122</v>
      </c>
      <c r="F30" s="596" t="s">
        <v>3123</v>
      </c>
      <c r="G30" s="596" t="s">
        <v>3124</v>
      </c>
      <c r="H30" s="596" t="s">
        <v>3125</v>
      </c>
      <c r="I30" s="43" t="s">
        <v>3106</v>
      </c>
      <c r="J30" s="29"/>
    </row>
    <row r="31" spans="2:10" x14ac:dyDescent="0.25">
      <c r="B31" s="28"/>
      <c r="C31" s="889" t="s">
        <v>3177</v>
      </c>
      <c r="D31" s="890"/>
      <c r="E31" s="68"/>
      <c r="F31" s="68"/>
      <c r="G31" s="68"/>
      <c r="H31" s="68"/>
      <c r="I31" s="69">
        <f>+I26*0.05</f>
        <v>10905</v>
      </c>
      <c r="J31" s="29"/>
    </row>
    <row r="32" spans="2:10" ht="15.75" thickBot="1" x14ac:dyDescent="0.3">
      <c r="B32" s="28"/>
      <c r="C32" s="864"/>
      <c r="D32" s="865"/>
      <c r="E32" s="70"/>
      <c r="F32" s="70"/>
      <c r="G32" s="70"/>
      <c r="H32" s="70"/>
      <c r="I32" s="100"/>
      <c r="J32" s="29"/>
    </row>
    <row r="33" spans="2:13" ht="16.5" thickTop="1" thickBot="1" x14ac:dyDescent="0.3">
      <c r="B33" s="28"/>
      <c r="C33" s="54"/>
      <c r="D33" s="32"/>
      <c r="E33" s="32"/>
      <c r="F33" s="32"/>
      <c r="G33" s="32"/>
      <c r="H33" s="52" t="s">
        <v>3109</v>
      </c>
      <c r="I33" s="53">
        <f>ROUND(SUM(I31:I32),0)</f>
        <v>10905</v>
      </c>
      <c r="J33" s="29"/>
    </row>
    <row r="34" spans="2:13" ht="16.5" thickTop="1" thickBot="1" x14ac:dyDescent="0.3">
      <c r="B34" s="28"/>
      <c r="C34" s="39" t="s">
        <v>3126</v>
      </c>
      <c r="D34" s="32"/>
      <c r="E34" s="32"/>
      <c r="F34" s="32"/>
      <c r="G34" s="32"/>
      <c r="H34" s="32"/>
      <c r="I34" s="55"/>
      <c r="J34" s="29"/>
    </row>
    <row r="35" spans="2:13" ht="23.25" customHeight="1" thickTop="1" x14ac:dyDescent="0.25">
      <c r="B35" s="28"/>
      <c r="C35" s="858" t="s">
        <v>3127</v>
      </c>
      <c r="D35" s="860"/>
      <c r="E35" s="596" t="s">
        <v>3128</v>
      </c>
      <c r="F35" s="596" t="s">
        <v>3129</v>
      </c>
      <c r="G35" s="72" t="s">
        <v>3130</v>
      </c>
      <c r="H35" s="596" t="s">
        <v>3125</v>
      </c>
      <c r="I35" s="43" t="s">
        <v>3106</v>
      </c>
      <c r="J35" s="29"/>
    </row>
    <row r="36" spans="2:13" x14ac:dyDescent="0.25">
      <c r="B36" s="28"/>
      <c r="C36" s="866"/>
      <c r="D36" s="867"/>
      <c r="E36" s="46"/>
      <c r="F36" s="73"/>
      <c r="G36" s="46"/>
      <c r="H36" s="47"/>
      <c r="I36" s="48">
        <f>+H36*G36</f>
        <v>0</v>
      </c>
      <c r="J36" s="29"/>
    </row>
    <row r="37" spans="2:13" ht="15.75" thickBot="1" x14ac:dyDescent="0.3">
      <c r="B37" s="28"/>
      <c r="C37" s="868"/>
      <c r="D37" s="869"/>
      <c r="E37" s="74"/>
      <c r="F37" s="75"/>
      <c r="G37" s="74"/>
      <c r="H37" s="76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52" t="s">
        <v>3109</v>
      </c>
      <c r="I38" s="80">
        <f>(SUM(I36:I37))</f>
        <v>0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70" t="s">
        <v>3133</v>
      </c>
      <c r="H40" s="871"/>
      <c r="I40" s="83">
        <f>ROUND(+I18+I26+I33+I38,0)</f>
        <v>229005</v>
      </c>
      <c r="J40" s="29"/>
      <c r="M40" s="23"/>
    </row>
    <row r="41" spans="2:13" ht="16.5" thickTop="1" thickBot="1" x14ac:dyDescent="0.3">
      <c r="B41" s="28"/>
      <c r="C41" s="39" t="s">
        <v>3134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58" t="s">
        <v>3135</v>
      </c>
      <c r="D42" s="859"/>
      <c r="E42" s="859"/>
      <c r="F42" s="859"/>
      <c r="G42" s="860"/>
      <c r="H42" s="596" t="s">
        <v>3136</v>
      </c>
      <c r="I42" s="43" t="s">
        <v>3137</v>
      </c>
      <c r="J42" s="29"/>
    </row>
    <row r="43" spans="2:13" x14ac:dyDescent="0.25">
      <c r="B43" s="28"/>
      <c r="C43" s="849" t="s">
        <v>3138</v>
      </c>
      <c r="D43" s="850"/>
      <c r="E43" s="850"/>
      <c r="F43" s="850"/>
      <c r="G43" s="851"/>
      <c r="H43" s="84">
        <v>0.2</v>
      </c>
      <c r="I43" s="85">
        <f>H43*I40</f>
        <v>45801</v>
      </c>
      <c r="J43" s="29"/>
    </row>
    <row r="44" spans="2:13" x14ac:dyDescent="0.25">
      <c r="B44" s="28"/>
      <c r="C44" s="849" t="s">
        <v>3139</v>
      </c>
      <c r="D44" s="850"/>
      <c r="E44" s="850"/>
      <c r="F44" s="850"/>
      <c r="G44" s="851"/>
      <c r="H44" s="84">
        <v>0.05</v>
      </c>
      <c r="I44" s="85">
        <f>H44*I40</f>
        <v>11450.25</v>
      </c>
      <c r="J44" s="29"/>
    </row>
    <row r="45" spans="2:13" ht="15.75" thickBot="1" x14ac:dyDescent="0.3">
      <c r="B45" s="28"/>
      <c r="C45" s="852" t="s">
        <v>3140</v>
      </c>
      <c r="D45" s="853"/>
      <c r="E45" s="853"/>
      <c r="F45" s="853"/>
      <c r="G45" s="854"/>
      <c r="H45" s="86">
        <v>0.05</v>
      </c>
      <c r="I45" s="71">
        <f>H45*I40</f>
        <v>11450.25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3109</v>
      </c>
      <c r="I46" s="53">
        <f>ROUND(SUM(I43:I45),0)</f>
        <v>68702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55" t="s">
        <v>3141</v>
      </c>
      <c r="H48" s="856"/>
      <c r="I48" s="89">
        <f>I46+I40</f>
        <v>297707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57" t="s">
        <v>3142</v>
      </c>
      <c r="I49" s="857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3143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29">
    <mergeCell ref="D8:I8"/>
    <mergeCell ref="C4:I4"/>
    <mergeCell ref="C5:I5"/>
    <mergeCell ref="C6:I6"/>
    <mergeCell ref="C7:I7"/>
    <mergeCell ref="C30:D30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H49:I49"/>
    <mergeCell ref="C31:D31"/>
    <mergeCell ref="C32:D32"/>
    <mergeCell ref="C35:D35"/>
    <mergeCell ref="C36:D36"/>
    <mergeCell ref="C37:D37"/>
    <mergeCell ref="G40:H40"/>
    <mergeCell ref="C42:G42"/>
    <mergeCell ref="C43:G43"/>
    <mergeCell ref="C44:G44"/>
    <mergeCell ref="C45:G45"/>
    <mergeCell ref="G48:H48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S119"/>
  <sheetViews>
    <sheetView topLeftCell="D40" zoomScale="115" zoomScaleNormal="115" zoomScalePageLayoutView="115" workbookViewId="0">
      <selection activeCell="P66" sqref="P66"/>
    </sheetView>
  </sheetViews>
  <sheetFormatPr baseColWidth="10" defaultColWidth="11.42578125" defaultRowHeight="12.75" x14ac:dyDescent="0.2"/>
  <cols>
    <col min="1" max="1" width="7.42578125" style="274" customWidth="1"/>
    <col min="2" max="2" width="32.42578125" style="274" customWidth="1"/>
    <col min="3" max="3" width="12.42578125" style="274" customWidth="1"/>
    <col min="4" max="9" width="13.42578125" style="274" customWidth="1"/>
    <col min="10" max="10" width="10.85546875" style="274"/>
    <col min="11" max="11" width="12.28515625" style="274" bestFit="1" customWidth="1"/>
    <col min="12" max="15" width="10.85546875" style="274"/>
    <col min="16" max="16" width="12" style="274" bestFit="1" customWidth="1"/>
    <col min="17" max="256" width="10.85546875" style="274"/>
    <col min="257" max="257" width="7.42578125" style="274" customWidth="1"/>
    <col min="258" max="258" width="32.42578125" style="274" customWidth="1"/>
    <col min="259" max="259" width="12.42578125" style="274" customWidth="1"/>
    <col min="260" max="265" width="13.42578125" style="274" customWidth="1"/>
    <col min="266" max="266" width="10.85546875" style="274"/>
    <col min="267" max="267" width="12.28515625" style="274" bestFit="1" customWidth="1"/>
    <col min="268" max="271" width="10.85546875" style="274"/>
    <col min="272" max="272" width="12" style="274" bestFit="1" customWidth="1"/>
    <col min="273" max="512" width="10.85546875" style="274"/>
    <col min="513" max="513" width="7.42578125" style="274" customWidth="1"/>
    <col min="514" max="514" width="32.42578125" style="274" customWidth="1"/>
    <col min="515" max="515" width="12.42578125" style="274" customWidth="1"/>
    <col min="516" max="521" width="13.42578125" style="274" customWidth="1"/>
    <col min="522" max="522" width="10.85546875" style="274"/>
    <col min="523" max="523" width="12.28515625" style="274" bestFit="1" customWidth="1"/>
    <col min="524" max="527" width="10.85546875" style="274"/>
    <col min="528" max="528" width="12" style="274" bestFit="1" customWidth="1"/>
    <col min="529" max="768" width="10.85546875" style="274"/>
    <col min="769" max="769" width="7.42578125" style="274" customWidth="1"/>
    <col min="770" max="770" width="32.42578125" style="274" customWidth="1"/>
    <col min="771" max="771" width="12.42578125" style="274" customWidth="1"/>
    <col min="772" max="777" width="13.42578125" style="274" customWidth="1"/>
    <col min="778" max="778" width="10.85546875" style="274"/>
    <col min="779" max="779" width="12.28515625" style="274" bestFit="1" customWidth="1"/>
    <col min="780" max="783" width="10.85546875" style="274"/>
    <col min="784" max="784" width="12" style="274" bestFit="1" customWidth="1"/>
    <col min="785" max="1024" width="10.85546875" style="274"/>
    <col min="1025" max="1025" width="7.42578125" style="274" customWidth="1"/>
    <col min="1026" max="1026" width="32.42578125" style="274" customWidth="1"/>
    <col min="1027" max="1027" width="12.42578125" style="274" customWidth="1"/>
    <col min="1028" max="1033" width="13.42578125" style="274" customWidth="1"/>
    <col min="1034" max="1034" width="10.85546875" style="274"/>
    <col min="1035" max="1035" width="12.28515625" style="274" bestFit="1" customWidth="1"/>
    <col min="1036" max="1039" width="10.85546875" style="274"/>
    <col min="1040" max="1040" width="12" style="274" bestFit="1" customWidth="1"/>
    <col min="1041" max="1280" width="10.85546875" style="274"/>
    <col min="1281" max="1281" width="7.42578125" style="274" customWidth="1"/>
    <col min="1282" max="1282" width="32.42578125" style="274" customWidth="1"/>
    <col min="1283" max="1283" width="12.42578125" style="274" customWidth="1"/>
    <col min="1284" max="1289" width="13.42578125" style="274" customWidth="1"/>
    <col min="1290" max="1290" width="10.85546875" style="274"/>
    <col min="1291" max="1291" width="12.28515625" style="274" bestFit="1" customWidth="1"/>
    <col min="1292" max="1295" width="10.85546875" style="274"/>
    <col min="1296" max="1296" width="12" style="274" bestFit="1" customWidth="1"/>
    <col min="1297" max="1536" width="10.85546875" style="274"/>
    <col min="1537" max="1537" width="7.42578125" style="274" customWidth="1"/>
    <col min="1538" max="1538" width="32.42578125" style="274" customWidth="1"/>
    <col min="1539" max="1539" width="12.42578125" style="274" customWidth="1"/>
    <col min="1540" max="1545" width="13.42578125" style="274" customWidth="1"/>
    <col min="1546" max="1546" width="10.85546875" style="274"/>
    <col min="1547" max="1547" width="12.28515625" style="274" bestFit="1" customWidth="1"/>
    <col min="1548" max="1551" width="10.85546875" style="274"/>
    <col min="1552" max="1552" width="12" style="274" bestFit="1" customWidth="1"/>
    <col min="1553" max="1792" width="10.85546875" style="274"/>
    <col min="1793" max="1793" width="7.42578125" style="274" customWidth="1"/>
    <col min="1794" max="1794" width="32.42578125" style="274" customWidth="1"/>
    <col min="1795" max="1795" width="12.42578125" style="274" customWidth="1"/>
    <col min="1796" max="1801" width="13.42578125" style="274" customWidth="1"/>
    <col min="1802" max="1802" width="10.85546875" style="274"/>
    <col min="1803" max="1803" width="12.28515625" style="274" bestFit="1" customWidth="1"/>
    <col min="1804" max="1807" width="10.85546875" style="274"/>
    <col min="1808" max="1808" width="12" style="274" bestFit="1" customWidth="1"/>
    <col min="1809" max="2048" width="10.85546875" style="274"/>
    <col min="2049" max="2049" width="7.42578125" style="274" customWidth="1"/>
    <col min="2050" max="2050" width="32.42578125" style="274" customWidth="1"/>
    <col min="2051" max="2051" width="12.42578125" style="274" customWidth="1"/>
    <col min="2052" max="2057" width="13.42578125" style="274" customWidth="1"/>
    <col min="2058" max="2058" width="10.85546875" style="274"/>
    <col min="2059" max="2059" width="12.28515625" style="274" bestFit="1" customWidth="1"/>
    <col min="2060" max="2063" width="10.85546875" style="274"/>
    <col min="2064" max="2064" width="12" style="274" bestFit="1" customWidth="1"/>
    <col min="2065" max="2304" width="10.85546875" style="274"/>
    <col min="2305" max="2305" width="7.42578125" style="274" customWidth="1"/>
    <col min="2306" max="2306" width="32.42578125" style="274" customWidth="1"/>
    <col min="2307" max="2307" width="12.42578125" style="274" customWidth="1"/>
    <col min="2308" max="2313" width="13.42578125" style="274" customWidth="1"/>
    <col min="2314" max="2314" width="10.85546875" style="274"/>
    <col min="2315" max="2315" width="12.28515625" style="274" bestFit="1" customWidth="1"/>
    <col min="2316" max="2319" width="10.85546875" style="274"/>
    <col min="2320" max="2320" width="12" style="274" bestFit="1" customWidth="1"/>
    <col min="2321" max="2560" width="10.85546875" style="274"/>
    <col min="2561" max="2561" width="7.42578125" style="274" customWidth="1"/>
    <col min="2562" max="2562" width="32.42578125" style="274" customWidth="1"/>
    <col min="2563" max="2563" width="12.42578125" style="274" customWidth="1"/>
    <col min="2564" max="2569" width="13.42578125" style="274" customWidth="1"/>
    <col min="2570" max="2570" width="10.85546875" style="274"/>
    <col min="2571" max="2571" width="12.28515625" style="274" bestFit="1" customWidth="1"/>
    <col min="2572" max="2575" width="10.85546875" style="274"/>
    <col min="2576" max="2576" width="12" style="274" bestFit="1" customWidth="1"/>
    <col min="2577" max="2816" width="10.85546875" style="274"/>
    <col min="2817" max="2817" width="7.42578125" style="274" customWidth="1"/>
    <col min="2818" max="2818" width="32.42578125" style="274" customWidth="1"/>
    <col min="2819" max="2819" width="12.42578125" style="274" customWidth="1"/>
    <col min="2820" max="2825" width="13.42578125" style="274" customWidth="1"/>
    <col min="2826" max="2826" width="10.85546875" style="274"/>
    <col min="2827" max="2827" width="12.28515625" style="274" bestFit="1" customWidth="1"/>
    <col min="2828" max="2831" width="10.85546875" style="274"/>
    <col min="2832" max="2832" width="12" style="274" bestFit="1" customWidth="1"/>
    <col min="2833" max="3072" width="10.85546875" style="274"/>
    <col min="3073" max="3073" width="7.42578125" style="274" customWidth="1"/>
    <col min="3074" max="3074" width="32.42578125" style="274" customWidth="1"/>
    <col min="3075" max="3075" width="12.42578125" style="274" customWidth="1"/>
    <col min="3076" max="3081" width="13.42578125" style="274" customWidth="1"/>
    <col min="3082" max="3082" width="10.85546875" style="274"/>
    <col min="3083" max="3083" width="12.28515625" style="274" bestFit="1" customWidth="1"/>
    <col min="3084" max="3087" width="10.85546875" style="274"/>
    <col min="3088" max="3088" width="12" style="274" bestFit="1" customWidth="1"/>
    <col min="3089" max="3328" width="10.85546875" style="274"/>
    <col min="3329" max="3329" width="7.42578125" style="274" customWidth="1"/>
    <col min="3330" max="3330" width="32.42578125" style="274" customWidth="1"/>
    <col min="3331" max="3331" width="12.42578125" style="274" customWidth="1"/>
    <col min="3332" max="3337" width="13.42578125" style="274" customWidth="1"/>
    <col min="3338" max="3338" width="10.85546875" style="274"/>
    <col min="3339" max="3339" width="12.28515625" style="274" bestFit="1" customWidth="1"/>
    <col min="3340" max="3343" width="10.85546875" style="274"/>
    <col min="3344" max="3344" width="12" style="274" bestFit="1" customWidth="1"/>
    <col min="3345" max="3584" width="10.85546875" style="274"/>
    <col min="3585" max="3585" width="7.42578125" style="274" customWidth="1"/>
    <col min="3586" max="3586" width="32.42578125" style="274" customWidth="1"/>
    <col min="3587" max="3587" width="12.42578125" style="274" customWidth="1"/>
    <col min="3588" max="3593" width="13.42578125" style="274" customWidth="1"/>
    <col min="3594" max="3594" width="10.85546875" style="274"/>
    <col min="3595" max="3595" width="12.28515625" style="274" bestFit="1" customWidth="1"/>
    <col min="3596" max="3599" width="10.85546875" style="274"/>
    <col min="3600" max="3600" width="12" style="274" bestFit="1" customWidth="1"/>
    <col min="3601" max="3840" width="10.85546875" style="274"/>
    <col min="3841" max="3841" width="7.42578125" style="274" customWidth="1"/>
    <col min="3842" max="3842" width="32.42578125" style="274" customWidth="1"/>
    <col min="3843" max="3843" width="12.42578125" style="274" customWidth="1"/>
    <col min="3844" max="3849" width="13.42578125" style="274" customWidth="1"/>
    <col min="3850" max="3850" width="10.85546875" style="274"/>
    <col min="3851" max="3851" width="12.28515625" style="274" bestFit="1" customWidth="1"/>
    <col min="3852" max="3855" width="10.85546875" style="274"/>
    <col min="3856" max="3856" width="12" style="274" bestFit="1" customWidth="1"/>
    <col min="3857" max="4096" width="10.85546875" style="274"/>
    <col min="4097" max="4097" width="7.42578125" style="274" customWidth="1"/>
    <col min="4098" max="4098" width="32.42578125" style="274" customWidth="1"/>
    <col min="4099" max="4099" width="12.42578125" style="274" customWidth="1"/>
    <col min="4100" max="4105" width="13.42578125" style="274" customWidth="1"/>
    <col min="4106" max="4106" width="10.85546875" style="274"/>
    <col min="4107" max="4107" width="12.28515625" style="274" bestFit="1" customWidth="1"/>
    <col min="4108" max="4111" width="10.85546875" style="274"/>
    <col min="4112" max="4112" width="12" style="274" bestFit="1" customWidth="1"/>
    <col min="4113" max="4352" width="10.85546875" style="274"/>
    <col min="4353" max="4353" width="7.42578125" style="274" customWidth="1"/>
    <col min="4354" max="4354" width="32.42578125" style="274" customWidth="1"/>
    <col min="4355" max="4355" width="12.42578125" style="274" customWidth="1"/>
    <col min="4356" max="4361" width="13.42578125" style="274" customWidth="1"/>
    <col min="4362" max="4362" width="10.85546875" style="274"/>
    <col min="4363" max="4363" width="12.28515625" style="274" bestFit="1" customWidth="1"/>
    <col min="4364" max="4367" width="10.85546875" style="274"/>
    <col min="4368" max="4368" width="12" style="274" bestFit="1" customWidth="1"/>
    <col min="4369" max="4608" width="10.85546875" style="274"/>
    <col min="4609" max="4609" width="7.42578125" style="274" customWidth="1"/>
    <col min="4610" max="4610" width="32.42578125" style="274" customWidth="1"/>
    <col min="4611" max="4611" width="12.42578125" style="274" customWidth="1"/>
    <col min="4612" max="4617" width="13.42578125" style="274" customWidth="1"/>
    <col min="4618" max="4618" width="10.85546875" style="274"/>
    <col min="4619" max="4619" width="12.28515625" style="274" bestFit="1" customWidth="1"/>
    <col min="4620" max="4623" width="10.85546875" style="274"/>
    <col min="4624" max="4624" width="12" style="274" bestFit="1" customWidth="1"/>
    <col min="4625" max="4864" width="10.85546875" style="274"/>
    <col min="4865" max="4865" width="7.42578125" style="274" customWidth="1"/>
    <col min="4866" max="4866" width="32.42578125" style="274" customWidth="1"/>
    <col min="4867" max="4867" width="12.42578125" style="274" customWidth="1"/>
    <col min="4868" max="4873" width="13.42578125" style="274" customWidth="1"/>
    <col min="4874" max="4874" width="10.85546875" style="274"/>
    <col min="4875" max="4875" width="12.28515625" style="274" bestFit="1" customWidth="1"/>
    <col min="4876" max="4879" width="10.85546875" style="274"/>
    <col min="4880" max="4880" width="12" style="274" bestFit="1" customWidth="1"/>
    <col min="4881" max="5120" width="10.85546875" style="274"/>
    <col min="5121" max="5121" width="7.42578125" style="274" customWidth="1"/>
    <col min="5122" max="5122" width="32.42578125" style="274" customWidth="1"/>
    <col min="5123" max="5123" width="12.42578125" style="274" customWidth="1"/>
    <col min="5124" max="5129" width="13.42578125" style="274" customWidth="1"/>
    <col min="5130" max="5130" width="10.85546875" style="274"/>
    <col min="5131" max="5131" width="12.28515625" style="274" bestFit="1" customWidth="1"/>
    <col min="5132" max="5135" width="10.85546875" style="274"/>
    <col min="5136" max="5136" width="12" style="274" bestFit="1" customWidth="1"/>
    <col min="5137" max="5376" width="10.85546875" style="274"/>
    <col min="5377" max="5377" width="7.42578125" style="274" customWidth="1"/>
    <col min="5378" max="5378" width="32.42578125" style="274" customWidth="1"/>
    <col min="5379" max="5379" width="12.42578125" style="274" customWidth="1"/>
    <col min="5380" max="5385" width="13.42578125" style="274" customWidth="1"/>
    <col min="5386" max="5386" width="10.85546875" style="274"/>
    <col min="5387" max="5387" width="12.28515625" style="274" bestFit="1" customWidth="1"/>
    <col min="5388" max="5391" width="10.85546875" style="274"/>
    <col min="5392" max="5392" width="12" style="274" bestFit="1" customWidth="1"/>
    <col min="5393" max="5632" width="10.85546875" style="274"/>
    <col min="5633" max="5633" width="7.42578125" style="274" customWidth="1"/>
    <col min="5634" max="5634" width="32.42578125" style="274" customWidth="1"/>
    <col min="5635" max="5635" width="12.42578125" style="274" customWidth="1"/>
    <col min="5636" max="5641" width="13.42578125" style="274" customWidth="1"/>
    <col min="5642" max="5642" width="10.85546875" style="274"/>
    <col min="5643" max="5643" width="12.28515625" style="274" bestFit="1" customWidth="1"/>
    <col min="5644" max="5647" width="10.85546875" style="274"/>
    <col min="5648" max="5648" width="12" style="274" bestFit="1" customWidth="1"/>
    <col min="5649" max="5888" width="10.85546875" style="274"/>
    <col min="5889" max="5889" width="7.42578125" style="274" customWidth="1"/>
    <col min="5890" max="5890" width="32.42578125" style="274" customWidth="1"/>
    <col min="5891" max="5891" width="12.42578125" style="274" customWidth="1"/>
    <col min="5892" max="5897" width="13.42578125" style="274" customWidth="1"/>
    <col min="5898" max="5898" width="10.85546875" style="274"/>
    <col min="5899" max="5899" width="12.28515625" style="274" bestFit="1" customWidth="1"/>
    <col min="5900" max="5903" width="10.85546875" style="274"/>
    <col min="5904" max="5904" width="12" style="274" bestFit="1" customWidth="1"/>
    <col min="5905" max="6144" width="10.85546875" style="274"/>
    <col min="6145" max="6145" width="7.42578125" style="274" customWidth="1"/>
    <col min="6146" max="6146" width="32.42578125" style="274" customWidth="1"/>
    <col min="6147" max="6147" width="12.42578125" style="274" customWidth="1"/>
    <col min="6148" max="6153" width="13.42578125" style="274" customWidth="1"/>
    <col min="6154" max="6154" width="10.85546875" style="274"/>
    <col min="6155" max="6155" width="12.28515625" style="274" bestFit="1" customWidth="1"/>
    <col min="6156" max="6159" width="10.85546875" style="274"/>
    <col min="6160" max="6160" width="12" style="274" bestFit="1" customWidth="1"/>
    <col min="6161" max="6400" width="10.85546875" style="274"/>
    <col min="6401" max="6401" width="7.42578125" style="274" customWidth="1"/>
    <col min="6402" max="6402" width="32.42578125" style="274" customWidth="1"/>
    <col min="6403" max="6403" width="12.42578125" style="274" customWidth="1"/>
    <col min="6404" max="6409" width="13.42578125" style="274" customWidth="1"/>
    <col min="6410" max="6410" width="10.85546875" style="274"/>
    <col min="6411" max="6411" width="12.28515625" style="274" bestFit="1" customWidth="1"/>
    <col min="6412" max="6415" width="10.85546875" style="274"/>
    <col min="6416" max="6416" width="12" style="274" bestFit="1" customWidth="1"/>
    <col min="6417" max="6656" width="10.85546875" style="274"/>
    <col min="6657" max="6657" width="7.42578125" style="274" customWidth="1"/>
    <col min="6658" max="6658" width="32.42578125" style="274" customWidth="1"/>
    <col min="6659" max="6659" width="12.42578125" style="274" customWidth="1"/>
    <col min="6660" max="6665" width="13.42578125" style="274" customWidth="1"/>
    <col min="6666" max="6666" width="10.85546875" style="274"/>
    <col min="6667" max="6667" width="12.28515625" style="274" bestFit="1" customWidth="1"/>
    <col min="6668" max="6671" width="10.85546875" style="274"/>
    <col min="6672" max="6672" width="12" style="274" bestFit="1" customWidth="1"/>
    <col min="6673" max="6912" width="10.85546875" style="274"/>
    <col min="6913" max="6913" width="7.42578125" style="274" customWidth="1"/>
    <col min="6914" max="6914" width="32.42578125" style="274" customWidth="1"/>
    <col min="6915" max="6915" width="12.42578125" style="274" customWidth="1"/>
    <col min="6916" max="6921" width="13.42578125" style="274" customWidth="1"/>
    <col min="6922" max="6922" width="10.85546875" style="274"/>
    <col min="6923" max="6923" width="12.28515625" style="274" bestFit="1" customWidth="1"/>
    <col min="6924" max="6927" width="10.85546875" style="274"/>
    <col min="6928" max="6928" width="12" style="274" bestFit="1" customWidth="1"/>
    <col min="6929" max="7168" width="10.85546875" style="274"/>
    <col min="7169" max="7169" width="7.42578125" style="274" customWidth="1"/>
    <col min="7170" max="7170" width="32.42578125" style="274" customWidth="1"/>
    <col min="7171" max="7171" width="12.42578125" style="274" customWidth="1"/>
    <col min="7172" max="7177" width="13.42578125" style="274" customWidth="1"/>
    <col min="7178" max="7178" width="10.85546875" style="274"/>
    <col min="7179" max="7179" width="12.28515625" style="274" bestFit="1" customWidth="1"/>
    <col min="7180" max="7183" width="10.85546875" style="274"/>
    <col min="7184" max="7184" width="12" style="274" bestFit="1" customWidth="1"/>
    <col min="7185" max="7424" width="10.85546875" style="274"/>
    <col min="7425" max="7425" width="7.42578125" style="274" customWidth="1"/>
    <col min="7426" max="7426" width="32.42578125" style="274" customWidth="1"/>
    <col min="7427" max="7427" width="12.42578125" style="274" customWidth="1"/>
    <col min="7428" max="7433" width="13.42578125" style="274" customWidth="1"/>
    <col min="7434" max="7434" width="10.85546875" style="274"/>
    <col min="7435" max="7435" width="12.28515625" style="274" bestFit="1" customWidth="1"/>
    <col min="7436" max="7439" width="10.85546875" style="274"/>
    <col min="7440" max="7440" width="12" style="274" bestFit="1" customWidth="1"/>
    <col min="7441" max="7680" width="10.85546875" style="274"/>
    <col min="7681" max="7681" width="7.42578125" style="274" customWidth="1"/>
    <col min="7682" max="7682" width="32.42578125" style="274" customWidth="1"/>
    <col min="7683" max="7683" width="12.42578125" style="274" customWidth="1"/>
    <col min="7684" max="7689" width="13.42578125" style="274" customWidth="1"/>
    <col min="7690" max="7690" width="10.85546875" style="274"/>
    <col min="7691" max="7691" width="12.28515625" style="274" bestFit="1" customWidth="1"/>
    <col min="7692" max="7695" width="10.85546875" style="274"/>
    <col min="7696" max="7696" width="12" style="274" bestFit="1" customWidth="1"/>
    <col min="7697" max="7936" width="10.85546875" style="274"/>
    <col min="7937" max="7937" width="7.42578125" style="274" customWidth="1"/>
    <col min="7938" max="7938" width="32.42578125" style="274" customWidth="1"/>
    <col min="7939" max="7939" width="12.42578125" style="274" customWidth="1"/>
    <col min="7940" max="7945" width="13.42578125" style="274" customWidth="1"/>
    <col min="7946" max="7946" width="10.85546875" style="274"/>
    <col min="7947" max="7947" width="12.28515625" style="274" bestFit="1" customWidth="1"/>
    <col min="7948" max="7951" width="10.85546875" style="274"/>
    <col min="7952" max="7952" width="12" style="274" bestFit="1" customWidth="1"/>
    <col min="7953" max="8192" width="10.85546875" style="274"/>
    <col min="8193" max="8193" width="7.42578125" style="274" customWidth="1"/>
    <col min="8194" max="8194" width="32.42578125" style="274" customWidth="1"/>
    <col min="8195" max="8195" width="12.42578125" style="274" customWidth="1"/>
    <col min="8196" max="8201" width="13.42578125" style="274" customWidth="1"/>
    <col min="8202" max="8202" width="10.85546875" style="274"/>
    <col min="8203" max="8203" width="12.28515625" style="274" bestFit="1" customWidth="1"/>
    <col min="8204" max="8207" width="10.85546875" style="274"/>
    <col min="8208" max="8208" width="12" style="274" bestFit="1" customWidth="1"/>
    <col min="8209" max="8448" width="10.85546875" style="274"/>
    <col min="8449" max="8449" width="7.42578125" style="274" customWidth="1"/>
    <col min="8450" max="8450" width="32.42578125" style="274" customWidth="1"/>
    <col min="8451" max="8451" width="12.42578125" style="274" customWidth="1"/>
    <col min="8452" max="8457" width="13.42578125" style="274" customWidth="1"/>
    <col min="8458" max="8458" width="10.85546875" style="274"/>
    <col min="8459" max="8459" width="12.28515625" style="274" bestFit="1" customWidth="1"/>
    <col min="8460" max="8463" width="10.85546875" style="274"/>
    <col min="8464" max="8464" width="12" style="274" bestFit="1" customWidth="1"/>
    <col min="8465" max="8704" width="10.85546875" style="274"/>
    <col min="8705" max="8705" width="7.42578125" style="274" customWidth="1"/>
    <col min="8706" max="8706" width="32.42578125" style="274" customWidth="1"/>
    <col min="8707" max="8707" width="12.42578125" style="274" customWidth="1"/>
    <col min="8708" max="8713" width="13.42578125" style="274" customWidth="1"/>
    <col min="8714" max="8714" width="10.85546875" style="274"/>
    <col min="8715" max="8715" width="12.28515625" style="274" bestFit="1" customWidth="1"/>
    <col min="8716" max="8719" width="10.85546875" style="274"/>
    <col min="8720" max="8720" width="12" style="274" bestFit="1" customWidth="1"/>
    <col min="8721" max="8960" width="10.85546875" style="274"/>
    <col min="8961" max="8961" width="7.42578125" style="274" customWidth="1"/>
    <col min="8962" max="8962" width="32.42578125" style="274" customWidth="1"/>
    <col min="8963" max="8963" width="12.42578125" style="274" customWidth="1"/>
    <col min="8964" max="8969" width="13.42578125" style="274" customWidth="1"/>
    <col min="8970" max="8970" width="10.85546875" style="274"/>
    <col min="8971" max="8971" width="12.28515625" style="274" bestFit="1" customWidth="1"/>
    <col min="8972" max="8975" width="10.85546875" style="274"/>
    <col min="8976" max="8976" width="12" style="274" bestFit="1" customWidth="1"/>
    <col min="8977" max="9216" width="10.85546875" style="274"/>
    <col min="9217" max="9217" width="7.42578125" style="274" customWidth="1"/>
    <col min="9218" max="9218" width="32.42578125" style="274" customWidth="1"/>
    <col min="9219" max="9219" width="12.42578125" style="274" customWidth="1"/>
    <col min="9220" max="9225" width="13.42578125" style="274" customWidth="1"/>
    <col min="9226" max="9226" width="10.85546875" style="274"/>
    <col min="9227" max="9227" width="12.28515625" style="274" bestFit="1" customWidth="1"/>
    <col min="9228" max="9231" width="10.85546875" style="274"/>
    <col min="9232" max="9232" width="12" style="274" bestFit="1" customWidth="1"/>
    <col min="9233" max="9472" width="10.85546875" style="274"/>
    <col min="9473" max="9473" width="7.42578125" style="274" customWidth="1"/>
    <col min="9474" max="9474" width="32.42578125" style="274" customWidth="1"/>
    <col min="9475" max="9475" width="12.42578125" style="274" customWidth="1"/>
    <col min="9476" max="9481" width="13.42578125" style="274" customWidth="1"/>
    <col min="9482" max="9482" width="10.85546875" style="274"/>
    <col min="9483" max="9483" width="12.28515625" style="274" bestFit="1" customWidth="1"/>
    <col min="9484" max="9487" width="10.85546875" style="274"/>
    <col min="9488" max="9488" width="12" style="274" bestFit="1" customWidth="1"/>
    <col min="9489" max="9728" width="10.85546875" style="274"/>
    <col min="9729" max="9729" width="7.42578125" style="274" customWidth="1"/>
    <col min="9730" max="9730" width="32.42578125" style="274" customWidth="1"/>
    <col min="9731" max="9731" width="12.42578125" style="274" customWidth="1"/>
    <col min="9732" max="9737" width="13.42578125" style="274" customWidth="1"/>
    <col min="9738" max="9738" width="10.85546875" style="274"/>
    <col min="9739" max="9739" width="12.28515625" style="274" bestFit="1" customWidth="1"/>
    <col min="9740" max="9743" width="10.85546875" style="274"/>
    <col min="9744" max="9744" width="12" style="274" bestFit="1" customWidth="1"/>
    <col min="9745" max="9984" width="10.85546875" style="274"/>
    <col min="9985" max="9985" width="7.42578125" style="274" customWidth="1"/>
    <col min="9986" max="9986" width="32.42578125" style="274" customWidth="1"/>
    <col min="9987" max="9987" width="12.42578125" style="274" customWidth="1"/>
    <col min="9988" max="9993" width="13.42578125" style="274" customWidth="1"/>
    <col min="9994" max="9994" width="10.85546875" style="274"/>
    <col min="9995" max="9995" width="12.28515625" style="274" bestFit="1" customWidth="1"/>
    <col min="9996" max="9999" width="10.85546875" style="274"/>
    <col min="10000" max="10000" width="12" style="274" bestFit="1" customWidth="1"/>
    <col min="10001" max="10240" width="10.85546875" style="274"/>
    <col min="10241" max="10241" width="7.42578125" style="274" customWidth="1"/>
    <col min="10242" max="10242" width="32.42578125" style="274" customWidth="1"/>
    <col min="10243" max="10243" width="12.42578125" style="274" customWidth="1"/>
    <col min="10244" max="10249" width="13.42578125" style="274" customWidth="1"/>
    <col min="10250" max="10250" width="10.85546875" style="274"/>
    <col min="10251" max="10251" width="12.28515625" style="274" bestFit="1" customWidth="1"/>
    <col min="10252" max="10255" width="10.85546875" style="274"/>
    <col min="10256" max="10256" width="12" style="274" bestFit="1" customWidth="1"/>
    <col min="10257" max="10496" width="10.85546875" style="274"/>
    <col min="10497" max="10497" width="7.42578125" style="274" customWidth="1"/>
    <col min="10498" max="10498" width="32.42578125" style="274" customWidth="1"/>
    <col min="10499" max="10499" width="12.42578125" style="274" customWidth="1"/>
    <col min="10500" max="10505" width="13.42578125" style="274" customWidth="1"/>
    <col min="10506" max="10506" width="10.85546875" style="274"/>
    <col min="10507" max="10507" width="12.28515625" style="274" bestFit="1" customWidth="1"/>
    <col min="10508" max="10511" width="10.85546875" style="274"/>
    <col min="10512" max="10512" width="12" style="274" bestFit="1" customWidth="1"/>
    <col min="10513" max="10752" width="10.85546875" style="274"/>
    <col min="10753" max="10753" width="7.42578125" style="274" customWidth="1"/>
    <col min="10754" max="10754" width="32.42578125" style="274" customWidth="1"/>
    <col min="10755" max="10755" width="12.42578125" style="274" customWidth="1"/>
    <col min="10756" max="10761" width="13.42578125" style="274" customWidth="1"/>
    <col min="10762" max="10762" width="10.85546875" style="274"/>
    <col min="10763" max="10763" width="12.28515625" style="274" bestFit="1" customWidth="1"/>
    <col min="10764" max="10767" width="10.85546875" style="274"/>
    <col min="10768" max="10768" width="12" style="274" bestFit="1" customWidth="1"/>
    <col min="10769" max="11008" width="10.85546875" style="274"/>
    <col min="11009" max="11009" width="7.42578125" style="274" customWidth="1"/>
    <col min="11010" max="11010" width="32.42578125" style="274" customWidth="1"/>
    <col min="11011" max="11011" width="12.42578125" style="274" customWidth="1"/>
    <col min="11012" max="11017" width="13.42578125" style="274" customWidth="1"/>
    <col min="11018" max="11018" width="10.85546875" style="274"/>
    <col min="11019" max="11019" width="12.28515625" style="274" bestFit="1" customWidth="1"/>
    <col min="11020" max="11023" width="10.85546875" style="274"/>
    <col min="11024" max="11024" width="12" style="274" bestFit="1" customWidth="1"/>
    <col min="11025" max="11264" width="10.85546875" style="274"/>
    <col min="11265" max="11265" width="7.42578125" style="274" customWidth="1"/>
    <col min="11266" max="11266" width="32.42578125" style="274" customWidth="1"/>
    <col min="11267" max="11267" width="12.42578125" style="274" customWidth="1"/>
    <col min="11268" max="11273" width="13.42578125" style="274" customWidth="1"/>
    <col min="11274" max="11274" width="10.85546875" style="274"/>
    <col min="11275" max="11275" width="12.28515625" style="274" bestFit="1" customWidth="1"/>
    <col min="11276" max="11279" width="10.85546875" style="274"/>
    <col min="11280" max="11280" width="12" style="274" bestFit="1" customWidth="1"/>
    <col min="11281" max="11520" width="10.85546875" style="274"/>
    <col min="11521" max="11521" width="7.42578125" style="274" customWidth="1"/>
    <col min="11522" max="11522" width="32.42578125" style="274" customWidth="1"/>
    <col min="11523" max="11523" width="12.42578125" style="274" customWidth="1"/>
    <col min="11524" max="11529" width="13.42578125" style="274" customWidth="1"/>
    <col min="11530" max="11530" width="10.85546875" style="274"/>
    <col min="11531" max="11531" width="12.28515625" style="274" bestFit="1" customWidth="1"/>
    <col min="11532" max="11535" width="10.85546875" style="274"/>
    <col min="11536" max="11536" width="12" style="274" bestFit="1" customWidth="1"/>
    <col min="11537" max="11776" width="10.85546875" style="274"/>
    <col min="11777" max="11777" width="7.42578125" style="274" customWidth="1"/>
    <col min="11778" max="11778" width="32.42578125" style="274" customWidth="1"/>
    <col min="11779" max="11779" width="12.42578125" style="274" customWidth="1"/>
    <col min="11780" max="11785" width="13.42578125" style="274" customWidth="1"/>
    <col min="11786" max="11786" width="10.85546875" style="274"/>
    <col min="11787" max="11787" width="12.28515625" style="274" bestFit="1" customWidth="1"/>
    <col min="11788" max="11791" width="10.85546875" style="274"/>
    <col min="11792" max="11792" width="12" style="274" bestFit="1" customWidth="1"/>
    <col min="11793" max="12032" width="10.85546875" style="274"/>
    <col min="12033" max="12033" width="7.42578125" style="274" customWidth="1"/>
    <col min="12034" max="12034" width="32.42578125" style="274" customWidth="1"/>
    <col min="12035" max="12035" width="12.42578125" style="274" customWidth="1"/>
    <col min="12036" max="12041" width="13.42578125" style="274" customWidth="1"/>
    <col min="12042" max="12042" width="10.85546875" style="274"/>
    <col min="12043" max="12043" width="12.28515625" style="274" bestFit="1" customWidth="1"/>
    <col min="12044" max="12047" width="10.85546875" style="274"/>
    <col min="12048" max="12048" width="12" style="274" bestFit="1" customWidth="1"/>
    <col min="12049" max="12288" width="10.85546875" style="274"/>
    <col min="12289" max="12289" width="7.42578125" style="274" customWidth="1"/>
    <col min="12290" max="12290" width="32.42578125" style="274" customWidth="1"/>
    <col min="12291" max="12291" width="12.42578125" style="274" customWidth="1"/>
    <col min="12292" max="12297" width="13.42578125" style="274" customWidth="1"/>
    <col min="12298" max="12298" width="10.85546875" style="274"/>
    <col min="12299" max="12299" width="12.28515625" style="274" bestFit="1" customWidth="1"/>
    <col min="12300" max="12303" width="10.85546875" style="274"/>
    <col min="12304" max="12304" width="12" style="274" bestFit="1" customWidth="1"/>
    <col min="12305" max="12544" width="10.85546875" style="274"/>
    <col min="12545" max="12545" width="7.42578125" style="274" customWidth="1"/>
    <col min="12546" max="12546" width="32.42578125" style="274" customWidth="1"/>
    <col min="12547" max="12547" width="12.42578125" style="274" customWidth="1"/>
    <col min="12548" max="12553" width="13.42578125" style="274" customWidth="1"/>
    <col min="12554" max="12554" width="10.85546875" style="274"/>
    <col min="12555" max="12555" width="12.28515625" style="274" bestFit="1" customWidth="1"/>
    <col min="12556" max="12559" width="10.85546875" style="274"/>
    <col min="12560" max="12560" width="12" style="274" bestFit="1" customWidth="1"/>
    <col min="12561" max="12800" width="10.85546875" style="274"/>
    <col min="12801" max="12801" width="7.42578125" style="274" customWidth="1"/>
    <col min="12802" max="12802" width="32.42578125" style="274" customWidth="1"/>
    <col min="12803" max="12803" width="12.42578125" style="274" customWidth="1"/>
    <col min="12804" max="12809" width="13.42578125" style="274" customWidth="1"/>
    <col min="12810" max="12810" width="10.85546875" style="274"/>
    <col min="12811" max="12811" width="12.28515625" style="274" bestFit="1" customWidth="1"/>
    <col min="12812" max="12815" width="10.85546875" style="274"/>
    <col min="12816" max="12816" width="12" style="274" bestFit="1" customWidth="1"/>
    <col min="12817" max="13056" width="10.85546875" style="274"/>
    <col min="13057" max="13057" width="7.42578125" style="274" customWidth="1"/>
    <col min="13058" max="13058" width="32.42578125" style="274" customWidth="1"/>
    <col min="13059" max="13059" width="12.42578125" style="274" customWidth="1"/>
    <col min="13060" max="13065" width="13.42578125" style="274" customWidth="1"/>
    <col min="13066" max="13066" width="10.85546875" style="274"/>
    <col min="13067" max="13067" width="12.28515625" style="274" bestFit="1" customWidth="1"/>
    <col min="13068" max="13071" width="10.85546875" style="274"/>
    <col min="13072" max="13072" width="12" style="274" bestFit="1" customWidth="1"/>
    <col min="13073" max="13312" width="10.85546875" style="274"/>
    <col min="13313" max="13313" width="7.42578125" style="274" customWidth="1"/>
    <col min="13314" max="13314" width="32.42578125" style="274" customWidth="1"/>
    <col min="13315" max="13315" width="12.42578125" style="274" customWidth="1"/>
    <col min="13316" max="13321" width="13.42578125" style="274" customWidth="1"/>
    <col min="13322" max="13322" width="10.85546875" style="274"/>
    <col min="13323" max="13323" width="12.28515625" style="274" bestFit="1" customWidth="1"/>
    <col min="13324" max="13327" width="10.85546875" style="274"/>
    <col min="13328" max="13328" width="12" style="274" bestFit="1" customWidth="1"/>
    <col min="13329" max="13568" width="10.85546875" style="274"/>
    <col min="13569" max="13569" width="7.42578125" style="274" customWidth="1"/>
    <col min="13570" max="13570" width="32.42578125" style="274" customWidth="1"/>
    <col min="13571" max="13571" width="12.42578125" style="274" customWidth="1"/>
    <col min="13572" max="13577" width="13.42578125" style="274" customWidth="1"/>
    <col min="13578" max="13578" width="10.85546875" style="274"/>
    <col min="13579" max="13579" width="12.28515625" style="274" bestFit="1" customWidth="1"/>
    <col min="13580" max="13583" width="10.85546875" style="274"/>
    <col min="13584" max="13584" width="12" style="274" bestFit="1" customWidth="1"/>
    <col min="13585" max="13824" width="10.85546875" style="274"/>
    <col min="13825" max="13825" width="7.42578125" style="274" customWidth="1"/>
    <col min="13826" max="13826" width="32.42578125" style="274" customWidth="1"/>
    <col min="13827" max="13827" width="12.42578125" style="274" customWidth="1"/>
    <col min="13828" max="13833" width="13.42578125" style="274" customWidth="1"/>
    <col min="13834" max="13834" width="10.85546875" style="274"/>
    <col min="13835" max="13835" width="12.28515625" style="274" bestFit="1" customWidth="1"/>
    <col min="13836" max="13839" width="10.85546875" style="274"/>
    <col min="13840" max="13840" width="12" style="274" bestFit="1" customWidth="1"/>
    <col min="13841" max="14080" width="10.85546875" style="274"/>
    <col min="14081" max="14081" width="7.42578125" style="274" customWidth="1"/>
    <col min="14082" max="14082" width="32.42578125" style="274" customWidth="1"/>
    <col min="14083" max="14083" width="12.42578125" style="274" customWidth="1"/>
    <col min="14084" max="14089" width="13.42578125" style="274" customWidth="1"/>
    <col min="14090" max="14090" width="10.85546875" style="274"/>
    <col min="14091" max="14091" width="12.28515625" style="274" bestFit="1" customWidth="1"/>
    <col min="14092" max="14095" width="10.85546875" style="274"/>
    <col min="14096" max="14096" width="12" style="274" bestFit="1" customWidth="1"/>
    <col min="14097" max="14336" width="10.85546875" style="274"/>
    <col min="14337" max="14337" width="7.42578125" style="274" customWidth="1"/>
    <col min="14338" max="14338" width="32.42578125" style="274" customWidth="1"/>
    <col min="14339" max="14339" width="12.42578125" style="274" customWidth="1"/>
    <col min="14340" max="14345" width="13.42578125" style="274" customWidth="1"/>
    <col min="14346" max="14346" width="10.85546875" style="274"/>
    <col min="14347" max="14347" width="12.28515625" style="274" bestFit="1" customWidth="1"/>
    <col min="14348" max="14351" width="10.85546875" style="274"/>
    <col min="14352" max="14352" width="12" style="274" bestFit="1" customWidth="1"/>
    <col min="14353" max="14592" width="10.85546875" style="274"/>
    <col min="14593" max="14593" width="7.42578125" style="274" customWidth="1"/>
    <col min="14594" max="14594" width="32.42578125" style="274" customWidth="1"/>
    <col min="14595" max="14595" width="12.42578125" style="274" customWidth="1"/>
    <col min="14596" max="14601" width="13.42578125" style="274" customWidth="1"/>
    <col min="14602" max="14602" width="10.85546875" style="274"/>
    <col min="14603" max="14603" width="12.28515625" style="274" bestFit="1" customWidth="1"/>
    <col min="14604" max="14607" width="10.85546875" style="274"/>
    <col min="14608" max="14608" width="12" style="274" bestFit="1" customWidth="1"/>
    <col min="14609" max="14848" width="10.85546875" style="274"/>
    <col min="14849" max="14849" width="7.42578125" style="274" customWidth="1"/>
    <col min="14850" max="14850" width="32.42578125" style="274" customWidth="1"/>
    <col min="14851" max="14851" width="12.42578125" style="274" customWidth="1"/>
    <col min="14852" max="14857" width="13.42578125" style="274" customWidth="1"/>
    <col min="14858" max="14858" width="10.85546875" style="274"/>
    <col min="14859" max="14859" width="12.28515625" style="274" bestFit="1" customWidth="1"/>
    <col min="14860" max="14863" width="10.85546875" style="274"/>
    <col min="14864" max="14864" width="12" style="274" bestFit="1" customWidth="1"/>
    <col min="14865" max="15104" width="10.85546875" style="274"/>
    <col min="15105" max="15105" width="7.42578125" style="274" customWidth="1"/>
    <col min="15106" max="15106" width="32.42578125" style="274" customWidth="1"/>
    <col min="15107" max="15107" width="12.42578125" style="274" customWidth="1"/>
    <col min="15108" max="15113" width="13.42578125" style="274" customWidth="1"/>
    <col min="15114" max="15114" width="10.85546875" style="274"/>
    <col min="15115" max="15115" width="12.28515625" style="274" bestFit="1" customWidth="1"/>
    <col min="15116" max="15119" width="10.85546875" style="274"/>
    <col min="15120" max="15120" width="12" style="274" bestFit="1" customWidth="1"/>
    <col min="15121" max="15360" width="10.85546875" style="274"/>
    <col min="15361" max="15361" width="7.42578125" style="274" customWidth="1"/>
    <col min="15362" max="15362" width="32.42578125" style="274" customWidth="1"/>
    <col min="15363" max="15363" width="12.42578125" style="274" customWidth="1"/>
    <col min="15364" max="15369" width="13.42578125" style="274" customWidth="1"/>
    <col min="15370" max="15370" width="10.85546875" style="274"/>
    <col min="15371" max="15371" width="12.28515625" style="274" bestFit="1" customWidth="1"/>
    <col min="15372" max="15375" width="10.85546875" style="274"/>
    <col min="15376" max="15376" width="12" style="274" bestFit="1" customWidth="1"/>
    <col min="15377" max="15616" width="10.85546875" style="274"/>
    <col min="15617" max="15617" width="7.42578125" style="274" customWidth="1"/>
    <col min="15618" max="15618" width="32.42578125" style="274" customWidth="1"/>
    <col min="15619" max="15619" width="12.42578125" style="274" customWidth="1"/>
    <col min="15620" max="15625" width="13.42578125" style="274" customWidth="1"/>
    <col min="15626" max="15626" width="10.85546875" style="274"/>
    <col min="15627" max="15627" width="12.28515625" style="274" bestFit="1" customWidth="1"/>
    <col min="15628" max="15631" width="10.85546875" style="274"/>
    <col min="15632" max="15632" width="12" style="274" bestFit="1" customWidth="1"/>
    <col min="15633" max="15872" width="10.85546875" style="274"/>
    <col min="15873" max="15873" width="7.42578125" style="274" customWidth="1"/>
    <col min="15874" max="15874" width="32.42578125" style="274" customWidth="1"/>
    <col min="15875" max="15875" width="12.42578125" style="274" customWidth="1"/>
    <col min="15876" max="15881" width="13.42578125" style="274" customWidth="1"/>
    <col min="15882" max="15882" width="10.85546875" style="274"/>
    <col min="15883" max="15883" width="12.28515625" style="274" bestFit="1" customWidth="1"/>
    <col min="15884" max="15887" width="10.85546875" style="274"/>
    <col min="15888" max="15888" width="12" style="274" bestFit="1" customWidth="1"/>
    <col min="15889" max="16128" width="10.85546875" style="274"/>
    <col min="16129" max="16129" width="7.42578125" style="274" customWidth="1"/>
    <col min="16130" max="16130" width="32.42578125" style="274" customWidth="1"/>
    <col min="16131" max="16131" width="12.42578125" style="274" customWidth="1"/>
    <col min="16132" max="16137" width="13.42578125" style="274" customWidth="1"/>
    <col min="16138" max="16138" width="10.85546875" style="274"/>
    <col min="16139" max="16139" width="12.28515625" style="274" bestFit="1" customWidth="1"/>
    <col min="16140" max="16143" width="10.85546875" style="274"/>
    <col min="16144" max="16144" width="12" style="274" bestFit="1" customWidth="1"/>
    <col min="16145" max="16384" width="10.85546875" style="274"/>
  </cols>
  <sheetData>
    <row r="2" spans="1:16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</row>
    <row r="3" spans="1:16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</row>
    <row r="4" spans="1:16" s="277" customFormat="1" ht="12" thickBot="1" x14ac:dyDescent="0.25">
      <c r="A4" s="275"/>
      <c r="B4" s="275"/>
      <c r="C4" s="275"/>
      <c r="D4" s="275"/>
      <c r="E4" s="275"/>
      <c r="F4" s="275"/>
      <c r="G4" s="276"/>
      <c r="H4" s="275"/>
      <c r="I4" s="275"/>
      <c r="J4" s="275"/>
      <c r="L4" s="277" t="s">
        <v>488</v>
      </c>
      <c r="O4" s="277">
        <v>2008</v>
      </c>
    </row>
    <row r="5" spans="1:16" s="277" customFormat="1" x14ac:dyDescent="0.2">
      <c r="A5" s="278" t="s">
        <v>489</v>
      </c>
      <c r="B5" s="279"/>
      <c r="C5" s="280"/>
      <c r="D5" s="280"/>
      <c r="E5" s="280"/>
      <c r="F5" s="280"/>
      <c r="G5" s="281"/>
      <c r="H5" s="280"/>
      <c r="I5" s="282"/>
      <c r="J5" s="275"/>
      <c r="P5" s="283"/>
    </row>
    <row r="6" spans="1:16" s="277" customFormat="1" ht="11.25" x14ac:dyDescent="0.2">
      <c r="A6" s="284" t="s">
        <v>424</v>
      </c>
      <c r="B6" s="285" t="s">
        <v>490</v>
      </c>
      <c r="C6" s="286"/>
      <c r="D6" s="287"/>
      <c r="E6" s="287"/>
      <c r="F6" s="288"/>
      <c r="G6" s="289">
        <f>+Revista!D14</f>
        <v>9866013.1624999996</v>
      </c>
      <c r="H6" s="285"/>
      <c r="I6" s="290"/>
      <c r="J6" s="275"/>
      <c r="L6" s="277" t="s">
        <v>491</v>
      </c>
      <c r="M6" s="291">
        <v>39448</v>
      </c>
      <c r="N6" s="291">
        <v>39813</v>
      </c>
      <c r="O6" s="277">
        <f>+N6-M6+1</f>
        <v>366</v>
      </c>
      <c r="P6" s="283">
        <f>+O6/O6</f>
        <v>1</v>
      </c>
    </row>
    <row r="7" spans="1:16" s="277" customFormat="1" ht="11.25" x14ac:dyDescent="0.2">
      <c r="A7" s="292" t="s">
        <v>427</v>
      </c>
      <c r="B7" s="293" t="s">
        <v>492</v>
      </c>
      <c r="C7" s="294" t="s">
        <v>493</v>
      </c>
      <c r="D7" s="295"/>
      <c r="E7" s="295"/>
      <c r="F7" s="296"/>
      <c r="G7" s="297">
        <f>365*8</f>
        <v>2920</v>
      </c>
      <c r="H7" s="293"/>
      <c r="I7" s="298"/>
      <c r="J7" s="275"/>
      <c r="L7" s="277" t="s">
        <v>494</v>
      </c>
      <c r="O7" s="277">
        <v>52</v>
      </c>
      <c r="P7" s="283">
        <f>+O7/O6</f>
        <v>0.14207650273224043</v>
      </c>
    </row>
    <row r="8" spans="1:16" s="277" customFormat="1" ht="11.25" x14ac:dyDescent="0.2">
      <c r="A8" s="284" t="s">
        <v>429</v>
      </c>
      <c r="B8" s="285" t="s">
        <v>495</v>
      </c>
      <c r="C8" s="286" t="s">
        <v>496</v>
      </c>
      <c r="D8" s="287"/>
      <c r="E8" s="287"/>
      <c r="F8" s="288"/>
      <c r="G8" s="299">
        <f>+(52*48)+8</f>
        <v>2504</v>
      </c>
      <c r="H8" s="285"/>
      <c r="I8" s="290"/>
      <c r="J8" s="275"/>
      <c r="L8" s="277" t="s">
        <v>497</v>
      </c>
      <c r="O8" s="277">
        <v>16</v>
      </c>
      <c r="P8" s="283">
        <f>+O8/O6</f>
        <v>4.3715846994535519E-2</v>
      </c>
    </row>
    <row r="9" spans="1:16" s="277" customFormat="1" ht="11.25" x14ac:dyDescent="0.2">
      <c r="A9" s="300" t="s">
        <v>431</v>
      </c>
      <c r="B9" s="301" t="s">
        <v>498</v>
      </c>
      <c r="C9" s="302" t="s">
        <v>499</v>
      </c>
      <c r="D9" s="303"/>
      <c r="E9" s="303"/>
      <c r="F9" s="304"/>
      <c r="G9" s="305">
        <f>2920-((52+17+3)*8)</f>
        <v>2344</v>
      </c>
      <c r="H9" s="301"/>
      <c r="I9" s="306"/>
      <c r="J9" s="275"/>
      <c r="L9" s="277" t="s">
        <v>500</v>
      </c>
      <c r="O9" s="277">
        <f>+O6-O7-O8</f>
        <v>298</v>
      </c>
      <c r="P9" s="283">
        <f>+O9/O6</f>
        <v>0.81420765027322406</v>
      </c>
    </row>
    <row r="10" spans="1:16" s="277" customFormat="1" ht="11.25" x14ac:dyDescent="0.2">
      <c r="A10" s="284" t="s">
        <v>433</v>
      </c>
      <c r="B10" s="285" t="s">
        <v>501</v>
      </c>
      <c r="C10" s="286" t="s">
        <v>502</v>
      </c>
      <c r="D10" s="287"/>
      <c r="E10" s="287"/>
      <c r="F10" s="288"/>
      <c r="G10" s="289">
        <f>+G6/G7</f>
        <v>3378.7716309931507</v>
      </c>
      <c r="H10" s="307">
        <v>1</v>
      </c>
      <c r="I10" s="290"/>
      <c r="J10" s="275"/>
      <c r="P10" s="283"/>
    </row>
    <row r="11" spans="1:16" s="277" customFormat="1" ht="11.25" x14ac:dyDescent="0.2">
      <c r="A11" s="284" t="s">
        <v>503</v>
      </c>
      <c r="B11" s="285" t="s">
        <v>504</v>
      </c>
      <c r="C11" s="286" t="s">
        <v>505</v>
      </c>
      <c r="D11" s="287"/>
      <c r="E11" s="308"/>
      <c r="F11" s="288"/>
      <c r="G11" s="289">
        <f>+$G$6/G8</f>
        <v>3940.1011032348242</v>
      </c>
      <c r="H11" s="307">
        <f>+G11/G10</f>
        <v>1.1661341853035143</v>
      </c>
      <c r="I11" s="309">
        <v>1</v>
      </c>
      <c r="J11" s="275"/>
      <c r="L11" s="277" t="s">
        <v>506</v>
      </c>
      <c r="P11" s="283">
        <f>1/P9</f>
        <v>1.2281879194630871</v>
      </c>
    </row>
    <row r="12" spans="1:16" s="277" customFormat="1" ht="12" thickBot="1" x14ac:dyDescent="0.25">
      <c r="A12" s="310" t="s">
        <v>507</v>
      </c>
      <c r="B12" s="311" t="s">
        <v>508</v>
      </c>
      <c r="C12" s="312" t="s">
        <v>509</v>
      </c>
      <c r="D12" s="313"/>
      <c r="E12" s="314"/>
      <c r="F12" s="315"/>
      <c r="G12" s="316">
        <f>+$G$6/G9</f>
        <v>4209.0499840017064</v>
      </c>
      <c r="H12" s="317">
        <f>+G12/G10</f>
        <v>1.2457337883959045</v>
      </c>
      <c r="I12" s="318">
        <f>+G12/G11</f>
        <v>1.0682593856655289</v>
      </c>
      <c r="J12" s="275"/>
      <c r="P12" s="283"/>
    </row>
    <row r="13" spans="1:16" s="277" customFormat="1" ht="24.75" customHeight="1" x14ac:dyDescent="0.2">
      <c r="A13" s="822" t="s">
        <v>510</v>
      </c>
      <c r="B13" s="822"/>
      <c r="C13" s="822"/>
      <c r="D13" s="822"/>
      <c r="E13" s="822"/>
      <c r="F13" s="822"/>
      <c r="G13" s="822"/>
      <c r="H13" s="822"/>
      <c r="I13" s="822"/>
      <c r="J13" s="275"/>
    </row>
    <row r="14" spans="1:16" s="277" customFormat="1" ht="11.25" x14ac:dyDescent="0.2">
      <c r="A14" s="319" t="s">
        <v>511</v>
      </c>
      <c r="B14" s="275"/>
      <c r="C14" s="275"/>
      <c r="D14" s="275"/>
      <c r="E14" s="275"/>
      <c r="F14" s="275"/>
      <c r="G14" s="276"/>
      <c r="H14" s="275"/>
      <c r="I14" s="275"/>
      <c r="J14" s="275"/>
    </row>
    <row r="15" spans="1:16" s="277" customFormat="1" ht="11.25" x14ac:dyDescent="0.2">
      <c r="A15" s="275"/>
      <c r="B15" s="275"/>
      <c r="C15" s="275"/>
      <c r="D15" s="275"/>
      <c r="E15" s="275"/>
      <c r="F15" s="275"/>
      <c r="G15" s="276"/>
      <c r="H15" s="275"/>
      <c r="I15" s="275"/>
      <c r="J15" s="275"/>
    </row>
    <row r="16" spans="1:16" s="277" customFormat="1" ht="11.25" x14ac:dyDescent="0.2">
      <c r="A16" s="275"/>
      <c r="B16" s="275"/>
      <c r="C16" s="275"/>
      <c r="D16" s="275"/>
      <c r="E16" s="275"/>
      <c r="F16" s="275"/>
      <c r="G16" s="276"/>
      <c r="H16" s="275"/>
      <c r="I16" s="275"/>
      <c r="J16" s="275"/>
    </row>
    <row r="17" spans="1:17" s="277" customFormat="1" ht="12" thickBot="1" x14ac:dyDescent="0.25">
      <c r="A17" s="275"/>
      <c r="B17" s="275"/>
      <c r="C17" s="275"/>
      <c r="D17" s="275"/>
      <c r="E17" s="275"/>
      <c r="F17" s="275"/>
      <c r="G17" s="276"/>
      <c r="H17" s="275"/>
      <c r="I17" s="275"/>
      <c r="J17" s="275"/>
    </row>
    <row r="18" spans="1:17" s="277" customFormat="1" ht="11.25" x14ac:dyDescent="0.2">
      <c r="A18" s="278" t="s">
        <v>512</v>
      </c>
      <c r="B18" s="280"/>
      <c r="C18" s="280"/>
      <c r="D18" s="280"/>
      <c r="E18" s="280"/>
      <c r="F18" s="320"/>
      <c r="G18" s="321"/>
      <c r="H18" s="320"/>
      <c r="I18" s="322"/>
      <c r="J18" s="275"/>
    </row>
    <row r="19" spans="1:17" s="328" customFormat="1" ht="23.25" thickBot="1" x14ac:dyDescent="0.3">
      <c r="A19" s="323"/>
      <c r="B19" s="324"/>
      <c r="C19" s="324" t="s">
        <v>513</v>
      </c>
      <c r="D19" s="324" t="s">
        <v>514</v>
      </c>
      <c r="E19" s="325" t="s">
        <v>515</v>
      </c>
      <c r="F19" s="326"/>
      <c r="G19" s="324" t="s">
        <v>513</v>
      </c>
      <c r="H19" s="324" t="s">
        <v>514</v>
      </c>
      <c r="I19" s="325" t="s">
        <v>515</v>
      </c>
      <c r="J19" s="327"/>
    </row>
    <row r="20" spans="1:17" s="277" customFormat="1" ht="11.25" x14ac:dyDescent="0.2">
      <c r="A20" s="329"/>
      <c r="B20" s="330" t="s">
        <v>414</v>
      </c>
      <c r="C20" s="289">
        <f>+Revista!D10</f>
        <v>734269.57499999995</v>
      </c>
      <c r="D20" s="307">
        <f>+Revista!E38</f>
        <v>1.7784954197962231</v>
      </c>
      <c r="E20" s="309">
        <f>+D20*$H$12</f>
        <v>2.2155318369475134</v>
      </c>
      <c r="F20" s="331" t="s">
        <v>516</v>
      </c>
      <c r="G20" s="289">
        <f>+C20*2.5</f>
        <v>1835673.9375</v>
      </c>
      <c r="H20" s="307">
        <v>1.5758664383561645</v>
      </c>
      <c r="I20" s="309">
        <f>+H20*$H$12</f>
        <v>1.9631100682593858</v>
      </c>
      <c r="J20" s="275"/>
    </row>
    <row r="21" spans="1:17" s="277" customFormat="1" ht="11.25" x14ac:dyDescent="0.2">
      <c r="A21" s="329"/>
      <c r="B21" s="330" t="s">
        <v>517</v>
      </c>
      <c r="C21" s="289">
        <f>+C20*1.5</f>
        <v>1101404.3624999998</v>
      </c>
      <c r="D21" s="307">
        <f>+Revista!G38</f>
        <v>1.7144261702751078</v>
      </c>
      <c r="E21" s="309">
        <f>+D21*$H$12</f>
        <v>2.1357186080218922</v>
      </c>
      <c r="F21" s="331" t="s">
        <v>518</v>
      </c>
      <c r="G21" s="289">
        <f>+C20*3</f>
        <v>2202808.7249999996</v>
      </c>
      <c r="H21" s="307">
        <f>+Revista!K38</f>
        <v>1.5961506849315072</v>
      </c>
      <c r="I21" s="309">
        <f>+H21*$H$12</f>
        <v>1.9883788395904443</v>
      </c>
      <c r="J21" s="275"/>
    </row>
    <row r="22" spans="1:17" s="277" customFormat="1" ht="12" thickBot="1" x14ac:dyDescent="0.25">
      <c r="A22" s="332"/>
      <c r="B22" s="333" t="s">
        <v>416</v>
      </c>
      <c r="C22" s="316">
        <f>+C20*2</f>
        <v>1468539.15</v>
      </c>
      <c r="D22" s="317">
        <f>+Revista!I38</f>
        <v>1.6823915455145502</v>
      </c>
      <c r="E22" s="318">
        <f>+D22*$H$12</f>
        <v>2.0958119935590815</v>
      </c>
      <c r="F22" s="334" t="s">
        <v>519</v>
      </c>
      <c r="G22" s="316">
        <f>+C20*4</f>
        <v>2937078.3</v>
      </c>
      <c r="H22" s="317">
        <v>1.5721678082191781</v>
      </c>
      <c r="I22" s="318">
        <f>+H22*$H$12</f>
        <v>1.9585025597269627</v>
      </c>
      <c r="J22" s="275"/>
    </row>
    <row r="23" spans="1:17" s="277" customFormat="1" ht="24" customHeight="1" x14ac:dyDescent="0.2">
      <c r="A23" s="822" t="s">
        <v>520</v>
      </c>
      <c r="B23" s="822"/>
      <c r="C23" s="822"/>
      <c r="D23" s="822"/>
      <c r="E23" s="822"/>
      <c r="F23" s="822"/>
      <c r="G23" s="822"/>
      <c r="H23" s="822"/>
      <c r="I23" s="822"/>
      <c r="J23" s="275"/>
    </row>
    <row r="24" spans="1:17" s="277" customFormat="1" x14ac:dyDescent="0.2">
      <c r="A24" s="275"/>
      <c r="B24" s="273"/>
      <c r="C24" s="273"/>
      <c r="D24" s="273"/>
      <c r="E24" s="273"/>
      <c r="F24" s="275"/>
      <c r="G24" s="276"/>
      <c r="H24" s="275"/>
      <c r="I24" s="275"/>
      <c r="J24" s="275"/>
    </row>
    <row r="25" spans="1:17" ht="13.5" thickBot="1" x14ac:dyDescent="0.25">
      <c r="A25" s="273"/>
      <c r="B25" s="335" t="s">
        <v>521</v>
      </c>
      <c r="C25" s="273"/>
      <c r="D25" s="273"/>
      <c r="E25" s="273"/>
      <c r="F25" s="273"/>
      <c r="G25" s="273"/>
      <c r="H25" s="273"/>
      <c r="I25" s="273"/>
      <c r="J25" s="273"/>
    </row>
    <row r="26" spans="1:17" ht="13.5" thickBot="1" x14ac:dyDescent="0.25">
      <c r="A26" s="275"/>
      <c r="B26" s="275"/>
      <c r="C26" s="275"/>
      <c r="D26" s="275"/>
      <c r="E26" s="275"/>
      <c r="F26" s="275"/>
      <c r="G26" s="276"/>
      <c r="H26" s="273"/>
      <c r="I26" s="273"/>
      <c r="J26" s="273"/>
      <c r="L26" s="823" t="s">
        <v>522</v>
      </c>
      <c r="M26" s="824"/>
      <c r="N26" s="825"/>
      <c r="O26" s="823" t="s">
        <v>523</v>
      </c>
      <c r="P26" s="824"/>
      <c r="Q26" s="825"/>
    </row>
    <row r="27" spans="1:17" ht="13.5" thickBot="1" x14ac:dyDescent="0.25">
      <c r="A27" s="273"/>
      <c r="B27" s="336" t="s">
        <v>524</v>
      </c>
      <c r="C27" s="337"/>
      <c r="D27" s="338"/>
      <c r="E27" s="338"/>
      <c r="F27" s="338"/>
      <c r="G27" s="338"/>
      <c r="H27" s="339"/>
      <c r="I27" s="273"/>
      <c r="J27" s="273"/>
      <c r="L27" s="823" t="s">
        <v>525</v>
      </c>
      <c r="M27" s="824"/>
      <c r="N27" s="825"/>
      <c r="O27" s="340"/>
      <c r="P27" s="340"/>
      <c r="Q27" s="340"/>
    </row>
    <row r="28" spans="1:17" ht="13.5" thickBot="1" x14ac:dyDescent="0.25">
      <c r="A28" s="273"/>
      <c r="B28" s="341" t="s">
        <v>523</v>
      </c>
      <c r="C28" s="342" t="s">
        <v>526</v>
      </c>
      <c r="D28" s="343">
        <f>+Revista!D10</f>
        <v>734269.57499999995</v>
      </c>
      <c r="E28" s="342" t="s">
        <v>527</v>
      </c>
      <c r="F28" s="343">
        <f>+Revista!D13</f>
        <v>8933613.1624999996</v>
      </c>
      <c r="G28" s="342" t="s">
        <v>528</v>
      </c>
      <c r="H28" s="344">
        <f>+F28/365</f>
        <v>24475.6525</v>
      </c>
      <c r="I28" s="273"/>
      <c r="J28" s="273"/>
      <c r="L28" s="345" t="s">
        <v>529</v>
      </c>
      <c r="M28" s="346" t="s">
        <v>530</v>
      </c>
      <c r="N28" s="346" t="s">
        <v>531</v>
      </c>
      <c r="O28" s="346" t="s">
        <v>530</v>
      </c>
      <c r="P28" s="346" t="s">
        <v>530</v>
      </c>
      <c r="Q28" s="346" t="s">
        <v>531</v>
      </c>
    </row>
    <row r="29" spans="1:17" ht="13.5" thickBot="1" x14ac:dyDescent="0.25">
      <c r="A29" s="273"/>
      <c r="B29" s="347"/>
      <c r="C29" s="348"/>
      <c r="D29" s="348" t="s">
        <v>532</v>
      </c>
      <c r="E29" s="348" t="s">
        <v>533</v>
      </c>
      <c r="F29" s="348" t="s">
        <v>534</v>
      </c>
      <c r="G29" s="349" t="s">
        <v>535</v>
      </c>
      <c r="H29" s="349" t="s">
        <v>536</v>
      </c>
      <c r="I29" s="273"/>
      <c r="J29" s="273"/>
      <c r="L29" s="350"/>
      <c r="M29" s="346" t="s">
        <v>537</v>
      </c>
      <c r="N29" s="346" t="s">
        <v>538</v>
      </c>
      <c r="O29" s="346" t="s">
        <v>539</v>
      </c>
      <c r="P29" s="346" t="s">
        <v>409</v>
      </c>
      <c r="Q29" s="346" t="s">
        <v>538</v>
      </c>
    </row>
    <row r="30" spans="1:17" ht="13.5" thickBot="1" x14ac:dyDescent="0.25">
      <c r="A30" s="273"/>
      <c r="B30" s="347"/>
      <c r="C30" s="348" t="s">
        <v>540</v>
      </c>
      <c r="D30" s="348" t="s">
        <v>541</v>
      </c>
      <c r="E30" s="348" t="s">
        <v>542</v>
      </c>
      <c r="F30" s="348" t="s">
        <v>543</v>
      </c>
      <c r="G30" s="349" t="s">
        <v>544</v>
      </c>
      <c r="H30" s="349" t="s">
        <v>545</v>
      </c>
      <c r="I30" s="273"/>
      <c r="J30" s="273"/>
      <c r="L30" s="351">
        <v>1985</v>
      </c>
      <c r="M30" s="352">
        <v>1350</v>
      </c>
      <c r="N30" s="353"/>
      <c r="O30" s="352" t="s">
        <v>546</v>
      </c>
      <c r="P30" s="352">
        <v>13557.6</v>
      </c>
      <c r="Q30" s="353"/>
    </row>
    <row r="31" spans="1:17" ht="13.5" thickBot="1" x14ac:dyDescent="0.25">
      <c r="A31" s="273"/>
      <c r="B31" s="354"/>
      <c r="C31" s="355"/>
      <c r="D31" s="356"/>
      <c r="E31" s="357" t="s">
        <v>547</v>
      </c>
      <c r="F31" s="357" t="s">
        <v>548</v>
      </c>
      <c r="G31" s="358" t="s">
        <v>549</v>
      </c>
      <c r="H31" s="358" t="s">
        <v>550</v>
      </c>
      <c r="I31" s="273"/>
      <c r="J31" s="273"/>
      <c r="L31" s="351">
        <v>1986</v>
      </c>
      <c r="M31" s="352">
        <v>1650</v>
      </c>
      <c r="N31" s="353">
        <f t="shared" ref="N31:N40" si="0">+M31/M30-1</f>
        <v>0.22222222222222232</v>
      </c>
      <c r="O31" s="352" t="s">
        <v>551</v>
      </c>
      <c r="P31" s="352">
        <v>16811.400000000001</v>
      </c>
      <c r="Q31" s="353">
        <f t="shared" ref="Q31:Q40" si="1">+P31/P30-1</f>
        <v>0.23999822977518148</v>
      </c>
    </row>
    <row r="32" spans="1:17" ht="13.5" thickBot="1" x14ac:dyDescent="0.25">
      <c r="A32" s="273"/>
      <c r="B32" s="329" t="s">
        <v>552</v>
      </c>
      <c r="C32" s="359" t="s">
        <v>553</v>
      </c>
      <c r="D32" s="360">
        <f>+H28*1.5</f>
        <v>36713.478750000002</v>
      </c>
      <c r="E32" s="360">
        <f>+D32*1.1</f>
        <v>40384.826625000009</v>
      </c>
      <c r="F32" s="360">
        <f>+D32*1.15</f>
        <v>42220.500562499998</v>
      </c>
      <c r="G32" s="361">
        <f>+D32*1.2</f>
        <v>44056.174500000001</v>
      </c>
      <c r="H32" s="361">
        <f>+E32*1.3</f>
        <v>52500.274612500012</v>
      </c>
      <c r="I32" s="273"/>
      <c r="J32" s="273"/>
      <c r="L32" s="351">
        <v>1987</v>
      </c>
      <c r="M32" s="352">
        <v>2000</v>
      </c>
      <c r="N32" s="353">
        <f t="shared" si="0"/>
        <v>0.21212121212121215</v>
      </c>
      <c r="O32" s="352" t="s">
        <v>554</v>
      </c>
      <c r="P32" s="352">
        <v>20509.8</v>
      </c>
      <c r="Q32" s="353">
        <f t="shared" si="1"/>
        <v>0.21999357578785816</v>
      </c>
    </row>
    <row r="33" spans="1:17" ht="13.5" thickBot="1" x14ac:dyDescent="0.25">
      <c r="A33" s="273"/>
      <c r="B33" s="329" t="s">
        <v>555</v>
      </c>
      <c r="C33" s="362">
        <f>+E21</f>
        <v>2.1357186080218922</v>
      </c>
      <c r="D33" s="360">
        <f>+D32*$C$33</f>
        <v>78409.659731591324</v>
      </c>
      <c r="E33" s="360">
        <f>+E32*$C$33</f>
        <v>86250.625704750462</v>
      </c>
      <c r="F33" s="360">
        <f>+F32*$C$33</f>
        <v>90171.10869133001</v>
      </c>
      <c r="G33" s="361">
        <f>+G32*$C$33</f>
        <v>94091.591677909586</v>
      </c>
      <c r="H33" s="361">
        <f>+H32*$C$33</f>
        <v>112125.81341617562</v>
      </c>
      <c r="I33" s="273"/>
      <c r="J33" s="273"/>
      <c r="L33" s="351">
        <v>1988</v>
      </c>
      <c r="M33" s="352">
        <v>2450</v>
      </c>
      <c r="N33" s="353">
        <f t="shared" si="0"/>
        <v>0.22500000000000009</v>
      </c>
      <c r="O33" s="352" t="s">
        <v>556</v>
      </c>
      <c r="P33" s="352">
        <v>25637.4</v>
      </c>
      <c r="Q33" s="353">
        <f t="shared" si="1"/>
        <v>0.25000731357692429</v>
      </c>
    </row>
    <row r="34" spans="1:17" ht="13.5" thickBot="1" x14ac:dyDescent="0.25">
      <c r="A34" s="273"/>
      <c r="B34" s="363" t="s">
        <v>557</v>
      </c>
      <c r="C34" s="364"/>
      <c r="D34" s="365">
        <f>+D33/8</f>
        <v>9801.2074664489155</v>
      </c>
      <c r="E34" s="365">
        <f>+E33/8</f>
        <v>10781.328213093808</v>
      </c>
      <c r="F34" s="365">
        <f>+F33/8</f>
        <v>11271.388586416251</v>
      </c>
      <c r="G34" s="366">
        <f>+G33/8</f>
        <v>11761.448959738698</v>
      </c>
      <c r="H34" s="366">
        <f>+H33/8</f>
        <v>14015.726677021952</v>
      </c>
      <c r="I34" s="273"/>
      <c r="J34" s="273"/>
      <c r="L34" s="351">
        <v>1989</v>
      </c>
      <c r="M34" s="352">
        <v>3062.5</v>
      </c>
      <c r="N34" s="353">
        <f t="shared" si="0"/>
        <v>0.25</v>
      </c>
      <c r="O34" s="352" t="s">
        <v>558</v>
      </c>
      <c r="P34" s="352">
        <v>32559.599999999999</v>
      </c>
      <c r="Q34" s="353">
        <f t="shared" si="1"/>
        <v>0.27000397856256853</v>
      </c>
    </row>
    <row r="35" spans="1:17" ht="13.5" thickBot="1" x14ac:dyDescent="0.25">
      <c r="A35" s="273"/>
      <c r="B35" s="329" t="s">
        <v>559</v>
      </c>
      <c r="C35" s="359" t="s">
        <v>560</v>
      </c>
      <c r="D35" s="360">
        <f>+H28*2.2</f>
        <v>53846.435500000007</v>
      </c>
      <c r="E35" s="360">
        <f>+D35*1.1</f>
        <v>59231.079050000015</v>
      </c>
      <c r="F35" s="360">
        <f>+D35*1.15</f>
        <v>61923.400825000004</v>
      </c>
      <c r="G35" s="361">
        <f>+D35*1.2</f>
        <v>64615.722600000008</v>
      </c>
      <c r="H35" s="361">
        <f>+E35*1.3</f>
        <v>77000.402765000021</v>
      </c>
      <c r="I35" s="273"/>
      <c r="J35" s="273"/>
      <c r="L35" s="351">
        <v>1990</v>
      </c>
      <c r="M35" s="352">
        <v>3797.5</v>
      </c>
      <c r="N35" s="353">
        <f t="shared" si="0"/>
        <v>0.24</v>
      </c>
      <c r="O35" s="352" t="s">
        <v>561</v>
      </c>
      <c r="P35" s="352">
        <v>41025</v>
      </c>
      <c r="Q35" s="353">
        <f t="shared" si="1"/>
        <v>0.25999705156083008</v>
      </c>
    </row>
    <row r="36" spans="1:17" ht="13.5" thickBot="1" x14ac:dyDescent="0.25">
      <c r="A36" s="273"/>
      <c r="B36" s="329" t="s">
        <v>555</v>
      </c>
      <c r="C36" s="362">
        <f>+E22</f>
        <v>2.0958119935590815</v>
      </c>
      <c r="D36" s="360">
        <f>+D35*$C$36</f>
        <v>112852.00533130551</v>
      </c>
      <c r="E36" s="360">
        <f>+E35*$C$36</f>
        <v>124137.20586443608</v>
      </c>
      <c r="F36" s="360">
        <f>+F35*$C$36</f>
        <v>129779.80613100133</v>
      </c>
      <c r="G36" s="361">
        <f>+G35*$C$36</f>
        <v>135422.40639756661</v>
      </c>
      <c r="H36" s="361">
        <f>+H35*$C$36</f>
        <v>161378.36762376691</v>
      </c>
      <c r="I36" s="273"/>
      <c r="J36" s="273"/>
      <c r="L36" s="351">
        <v>1991</v>
      </c>
      <c r="M36" s="352">
        <v>4787</v>
      </c>
      <c r="N36" s="353">
        <f t="shared" si="0"/>
        <v>0.26056616194865034</v>
      </c>
      <c r="O36" s="352">
        <v>1724</v>
      </c>
      <c r="P36" s="352">
        <v>51720</v>
      </c>
      <c r="Q36" s="353">
        <f t="shared" si="1"/>
        <v>0.26069469835466186</v>
      </c>
    </row>
    <row r="37" spans="1:17" ht="13.5" thickBot="1" x14ac:dyDescent="0.25">
      <c r="A37" s="273"/>
      <c r="B37" s="363" t="s">
        <v>562</v>
      </c>
      <c r="C37" s="364"/>
      <c r="D37" s="365">
        <f>+D36/8</f>
        <v>14106.500666413189</v>
      </c>
      <c r="E37" s="365">
        <f>+E36/8</f>
        <v>15517.15073305451</v>
      </c>
      <c r="F37" s="365">
        <f>+F36/8</f>
        <v>16222.475766375166</v>
      </c>
      <c r="G37" s="366">
        <f>+G36/8</f>
        <v>16927.800799695826</v>
      </c>
      <c r="H37" s="366">
        <f>+H36/8</f>
        <v>20172.295952970864</v>
      </c>
      <c r="I37" s="273"/>
      <c r="J37" s="273"/>
      <c r="L37" s="351">
        <v>1992</v>
      </c>
      <c r="M37" s="352">
        <v>6033</v>
      </c>
      <c r="N37" s="353">
        <f t="shared" si="0"/>
        <v>0.26028828076039279</v>
      </c>
      <c r="O37" s="352">
        <v>2173</v>
      </c>
      <c r="P37" s="352">
        <v>65190</v>
      </c>
      <c r="Q37" s="353">
        <f t="shared" si="1"/>
        <v>0.26044083526682127</v>
      </c>
    </row>
    <row r="38" spans="1:17" ht="13.5" thickBot="1" x14ac:dyDescent="0.25">
      <c r="A38" s="273"/>
      <c r="B38" s="329" t="s">
        <v>563</v>
      </c>
      <c r="C38" s="359"/>
      <c r="D38" s="360">
        <f t="shared" ref="D38:G39" si="2">+D33+D36</f>
        <v>191261.66506289685</v>
      </c>
      <c r="E38" s="360">
        <f t="shared" si="2"/>
        <v>210387.83156918653</v>
      </c>
      <c r="F38" s="360">
        <f t="shared" si="2"/>
        <v>219950.91482233134</v>
      </c>
      <c r="G38" s="361">
        <f t="shared" si="2"/>
        <v>229513.99807547621</v>
      </c>
      <c r="H38" s="361">
        <f>+H33+H36</f>
        <v>273504.18103994254</v>
      </c>
      <c r="I38" s="273"/>
      <c r="J38" s="273"/>
      <c r="L38" s="351">
        <v>1993</v>
      </c>
      <c r="M38" s="352">
        <v>7542</v>
      </c>
      <c r="N38" s="353">
        <f t="shared" si="0"/>
        <v>0.25012431626056686</v>
      </c>
      <c r="O38" s="352">
        <v>2717</v>
      </c>
      <c r="P38" s="352">
        <v>81510</v>
      </c>
      <c r="Q38" s="353">
        <f t="shared" si="1"/>
        <v>0.25034514496088356</v>
      </c>
    </row>
    <row r="39" spans="1:17" ht="13.5" thickBot="1" x14ac:dyDescent="0.25">
      <c r="A39" s="273"/>
      <c r="B39" s="329" t="s">
        <v>564</v>
      </c>
      <c r="C39" s="359"/>
      <c r="D39" s="360">
        <f t="shared" si="2"/>
        <v>23907.708132862106</v>
      </c>
      <c r="E39" s="360">
        <f t="shared" si="2"/>
        <v>26298.478946148316</v>
      </c>
      <c r="F39" s="360">
        <f t="shared" si="2"/>
        <v>27493.864352791417</v>
      </c>
      <c r="G39" s="361">
        <f t="shared" si="2"/>
        <v>28689.249759434526</v>
      </c>
      <c r="H39" s="361">
        <f>+H34+H37</f>
        <v>34188.022629992818</v>
      </c>
      <c r="I39" s="273"/>
      <c r="J39" s="273"/>
      <c r="L39" s="351">
        <v>1994</v>
      </c>
      <c r="M39" s="352">
        <v>8915</v>
      </c>
      <c r="N39" s="353">
        <f t="shared" si="0"/>
        <v>0.18204720233359861</v>
      </c>
      <c r="O39" s="352">
        <v>3290</v>
      </c>
      <c r="P39" s="352">
        <v>98700</v>
      </c>
      <c r="Q39" s="353">
        <f t="shared" si="1"/>
        <v>0.21089436878910561</v>
      </c>
    </row>
    <row r="40" spans="1:17" ht="13.5" thickBot="1" x14ac:dyDescent="0.25">
      <c r="A40" s="273"/>
      <c r="B40" s="367" t="s">
        <v>565</v>
      </c>
      <c r="C40" s="368" t="s">
        <v>566</v>
      </c>
      <c r="D40" s="369"/>
      <c r="E40" s="369"/>
      <c r="F40" s="370">
        <f>+D39*1.607</f>
        <v>38419.686969509406</v>
      </c>
      <c r="G40" s="369"/>
      <c r="H40" s="371"/>
      <c r="I40" s="273"/>
      <c r="J40" s="273"/>
      <c r="L40" s="351">
        <v>1995</v>
      </c>
      <c r="M40" s="352">
        <v>10815</v>
      </c>
      <c r="N40" s="353">
        <f t="shared" si="0"/>
        <v>0.21312394840157034</v>
      </c>
      <c r="O40" s="352" t="s">
        <v>567</v>
      </c>
      <c r="P40" s="352">
        <v>118933.5</v>
      </c>
      <c r="Q40" s="353">
        <f t="shared" si="1"/>
        <v>0.20500000000000007</v>
      </c>
    </row>
    <row r="41" spans="1:17" ht="13.5" thickBot="1" x14ac:dyDescent="0.25">
      <c r="A41" s="275" t="s">
        <v>568</v>
      </c>
      <c r="B41" s="372" t="s">
        <v>569</v>
      </c>
      <c r="C41" s="373"/>
      <c r="D41" s="373"/>
      <c r="E41" s="373"/>
      <c r="F41" s="373"/>
      <c r="G41" s="275"/>
      <c r="H41" s="273"/>
      <c r="I41" s="273"/>
      <c r="J41" s="273"/>
      <c r="L41" s="351">
        <v>1996</v>
      </c>
      <c r="M41" s="352">
        <v>13567</v>
      </c>
      <c r="N41" s="353">
        <f>+M42/M41-1</f>
        <v>0.27146753151028236</v>
      </c>
      <c r="O41" s="352" t="s">
        <v>570</v>
      </c>
      <c r="P41" s="352">
        <v>142125</v>
      </c>
      <c r="Q41" s="353">
        <f>P42/P40-1</f>
        <v>0.44622835450062426</v>
      </c>
    </row>
    <row r="42" spans="1:17" ht="13.5" thickBot="1" x14ac:dyDescent="0.25">
      <c r="A42" s="273"/>
      <c r="B42" s="372" t="s">
        <v>571</v>
      </c>
      <c r="C42" s="273"/>
      <c r="D42" s="273"/>
      <c r="E42" s="273"/>
      <c r="F42" s="273"/>
      <c r="G42" s="360">
        <f>+D33*30</f>
        <v>2352289.7919477397</v>
      </c>
      <c r="H42" s="273"/>
      <c r="I42" s="273"/>
      <c r="J42" s="273"/>
      <c r="L42" s="351">
        <v>1997</v>
      </c>
      <c r="M42" s="352">
        <v>17250</v>
      </c>
      <c r="N42" s="353">
        <f>+M44/M43-1</f>
        <v>0.15999999999999992</v>
      </c>
      <c r="O42" s="352" t="s">
        <v>572</v>
      </c>
      <c r="P42" s="352">
        <v>172005</v>
      </c>
      <c r="Q42" s="353">
        <f>P44/P42-1</f>
        <v>0.37472747885235891</v>
      </c>
    </row>
    <row r="43" spans="1:17" ht="13.5" thickBot="1" x14ac:dyDescent="0.25">
      <c r="A43" s="273"/>
      <c r="B43" s="273"/>
      <c r="C43" s="273"/>
      <c r="D43" s="273"/>
      <c r="E43" s="273"/>
      <c r="F43" s="273"/>
      <c r="G43" s="273"/>
      <c r="H43" s="273"/>
      <c r="I43" s="273"/>
      <c r="J43" s="273"/>
      <c r="L43" s="351">
        <v>1998</v>
      </c>
      <c r="M43" s="352">
        <v>20700</v>
      </c>
      <c r="N43" s="353">
        <f>+M45/M44-1</f>
        <v>9.9991670831250934E-2</v>
      </c>
      <c r="O43" s="352" t="s">
        <v>573</v>
      </c>
      <c r="P43" s="352">
        <v>203826</v>
      </c>
      <c r="Q43" s="353">
        <f>+P45/P44-1</f>
        <v>9.9974625729510214E-2</v>
      </c>
    </row>
    <row r="44" spans="1:17" ht="13.5" thickBot="1" x14ac:dyDescent="0.25">
      <c r="A44" s="273"/>
      <c r="B44" s="335" t="s">
        <v>574</v>
      </c>
      <c r="C44" s="273"/>
      <c r="D44" s="273"/>
      <c r="E44" s="273"/>
      <c r="F44" s="273"/>
      <c r="G44" s="273"/>
      <c r="H44" s="273"/>
      <c r="I44" s="273"/>
      <c r="J44" s="273"/>
      <c r="L44" s="351">
        <v>1999</v>
      </c>
      <c r="M44" s="352">
        <v>24012</v>
      </c>
      <c r="N44" s="353">
        <f>+M46/M45-1</f>
        <v>0.13580433877257403</v>
      </c>
      <c r="O44" s="352">
        <v>7882</v>
      </c>
      <c r="P44" s="352">
        <v>236460</v>
      </c>
      <c r="Q44" s="353">
        <f>+P46/P45-1</f>
        <v>9.9577085736255233E-2</v>
      </c>
    </row>
    <row r="45" spans="1:17" ht="13.5" thickBot="1" x14ac:dyDescent="0.25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L45" s="351">
        <v>2000</v>
      </c>
      <c r="M45" s="352">
        <v>26413</v>
      </c>
      <c r="N45" s="353">
        <f>+M47/M46-1</f>
        <v>0.1333333333333333</v>
      </c>
      <c r="O45" s="352">
        <v>8670</v>
      </c>
      <c r="P45" s="352">
        <v>260100</v>
      </c>
      <c r="Q45" s="353">
        <f>+P47/P46-1</f>
        <v>8.0419580419580416E-2</v>
      </c>
    </row>
    <row r="46" spans="1:17" ht="13.5" thickBot="1" x14ac:dyDescent="0.25">
      <c r="A46" s="273"/>
      <c r="B46" s="336" t="s">
        <v>575</v>
      </c>
      <c r="C46" s="337"/>
      <c r="D46" s="338"/>
      <c r="E46" s="338"/>
      <c r="F46" s="338"/>
      <c r="G46" s="338"/>
      <c r="H46" s="339"/>
      <c r="I46" s="273"/>
      <c r="J46" s="273"/>
      <c r="L46" s="351">
        <v>2001</v>
      </c>
      <c r="M46" s="352">
        <v>30000</v>
      </c>
      <c r="N46" s="353">
        <f>+M48/M47-1</f>
        <v>0.10294117647058831</v>
      </c>
      <c r="O46" s="352" t="s">
        <v>576</v>
      </c>
      <c r="P46" s="352">
        <v>286000</v>
      </c>
      <c r="Q46" s="353">
        <f>+P48/P47-1</f>
        <v>7.4433656957928696E-2</v>
      </c>
    </row>
    <row r="47" spans="1:17" ht="13.5" thickBot="1" x14ac:dyDescent="0.25">
      <c r="A47" s="273"/>
      <c r="B47" s="341" t="s">
        <v>523</v>
      </c>
      <c r="C47" s="342" t="s">
        <v>526</v>
      </c>
      <c r="D47" s="343">
        <f>+D28</f>
        <v>734269.57499999995</v>
      </c>
      <c r="E47" s="342" t="s">
        <v>577</v>
      </c>
      <c r="F47" s="343">
        <f>+D47/30</f>
        <v>24475.6525</v>
      </c>
      <c r="G47" s="342" t="s">
        <v>578</v>
      </c>
      <c r="H47" s="344">
        <f>+F47/8</f>
        <v>3059.4565625</v>
      </c>
      <c r="I47" s="273"/>
      <c r="J47" s="273"/>
      <c r="L47" s="351">
        <v>2002</v>
      </c>
      <c r="M47" s="374">
        <v>34000</v>
      </c>
      <c r="N47" s="375">
        <v>0.1333</v>
      </c>
      <c r="O47" s="374">
        <v>10300</v>
      </c>
      <c r="P47" s="374">
        <v>309000</v>
      </c>
      <c r="Q47" s="375">
        <v>8.0399999999999999E-2</v>
      </c>
    </row>
    <row r="48" spans="1:17" ht="13.5" thickBot="1" x14ac:dyDescent="0.25">
      <c r="A48" s="273"/>
      <c r="B48" s="347"/>
      <c r="C48" s="348"/>
      <c r="D48" s="348" t="s">
        <v>532</v>
      </c>
      <c r="E48" s="348" t="s">
        <v>533</v>
      </c>
      <c r="F48" s="348" t="s">
        <v>534</v>
      </c>
      <c r="G48" s="349" t="s">
        <v>535</v>
      </c>
      <c r="H48" s="349" t="s">
        <v>536</v>
      </c>
      <c r="I48" s="273"/>
      <c r="J48" s="273"/>
      <c r="L48" s="351">
        <v>2003</v>
      </c>
      <c r="M48" s="374">
        <v>37500</v>
      </c>
      <c r="N48" s="375">
        <v>0.10290000000000001</v>
      </c>
      <c r="O48" s="374">
        <v>11067</v>
      </c>
      <c r="P48" s="374">
        <v>332000</v>
      </c>
      <c r="Q48" s="375">
        <v>7.4399999999999994E-2</v>
      </c>
    </row>
    <row r="49" spans="1:19" ht="13.5" thickBot="1" x14ac:dyDescent="0.25">
      <c r="A49" s="273"/>
      <c r="B49" s="347"/>
      <c r="C49" s="348" t="s">
        <v>540</v>
      </c>
      <c r="D49" s="348" t="s">
        <v>541</v>
      </c>
      <c r="E49" s="348" t="s">
        <v>542</v>
      </c>
      <c r="F49" s="348" t="s">
        <v>543</v>
      </c>
      <c r="G49" s="349" t="s">
        <v>544</v>
      </c>
      <c r="H49" s="349" t="s">
        <v>545</v>
      </c>
      <c r="I49" s="273"/>
      <c r="J49" s="273"/>
      <c r="L49" s="351">
        <v>2004</v>
      </c>
      <c r="M49" s="374">
        <v>41600</v>
      </c>
      <c r="N49" s="375">
        <v>0.10929999999999999</v>
      </c>
      <c r="O49" s="374">
        <v>11933.33</v>
      </c>
      <c r="P49" s="374">
        <v>358000</v>
      </c>
      <c r="Q49" s="375">
        <v>7.8299999999999995E-2</v>
      </c>
    </row>
    <row r="50" spans="1:19" ht="13.5" thickBot="1" x14ac:dyDescent="0.25">
      <c r="A50" s="273"/>
      <c r="B50" s="354"/>
      <c r="C50" s="355"/>
      <c r="D50" s="356"/>
      <c r="E50" s="357" t="s">
        <v>547</v>
      </c>
      <c r="F50" s="357" t="s">
        <v>548</v>
      </c>
      <c r="G50" s="358" t="s">
        <v>549</v>
      </c>
      <c r="H50" s="358" t="s">
        <v>550</v>
      </c>
      <c r="I50" s="376"/>
      <c r="J50" s="273"/>
      <c r="L50" s="351">
        <v>2005</v>
      </c>
      <c r="M50" s="374">
        <v>44500</v>
      </c>
      <c r="N50" s="375">
        <v>6.9699999999999998E-2</v>
      </c>
      <c r="O50" s="374">
        <v>12716.66</v>
      </c>
      <c r="P50" s="374">
        <v>381500</v>
      </c>
      <c r="Q50" s="375">
        <v>6.5600000000000006E-2</v>
      </c>
    </row>
    <row r="51" spans="1:19" ht="13.5" thickBot="1" x14ac:dyDescent="0.25">
      <c r="A51" s="273"/>
      <c r="B51" s="329" t="s">
        <v>579</v>
      </c>
      <c r="C51" s="359" t="s">
        <v>553</v>
      </c>
      <c r="D51" s="360">
        <f>+H47*1.5</f>
        <v>4589.1848437500003</v>
      </c>
      <c r="E51" s="360">
        <f>+D51*1.1</f>
        <v>5048.1033281250011</v>
      </c>
      <c r="F51" s="360">
        <f>+D51*1.15</f>
        <v>5277.5625703124997</v>
      </c>
      <c r="G51" s="361">
        <f>+D51*1.2</f>
        <v>5507.0218125000001</v>
      </c>
      <c r="H51" s="361">
        <f>+E51*1.3</f>
        <v>6562.5343265625015</v>
      </c>
      <c r="I51" s="376"/>
      <c r="J51" s="273"/>
      <c r="L51" s="351">
        <v>2006</v>
      </c>
      <c r="M51" s="374">
        <v>47700</v>
      </c>
      <c r="N51" s="375">
        <v>7.1900000000000006E-2</v>
      </c>
      <c r="O51" s="374">
        <v>13600</v>
      </c>
      <c r="P51" s="374">
        <v>408000</v>
      </c>
      <c r="Q51" s="375">
        <v>6.9500000000000006E-2</v>
      </c>
    </row>
    <row r="52" spans="1:19" ht="13.5" thickBot="1" x14ac:dyDescent="0.25">
      <c r="A52" s="273"/>
      <c r="B52" s="332" t="s">
        <v>580</v>
      </c>
      <c r="C52" s="377">
        <f>+E21</f>
        <v>2.1357186080218922</v>
      </c>
      <c r="D52" s="378">
        <f>+D51*$C$33</f>
        <v>9801.2074664489155</v>
      </c>
      <c r="E52" s="378">
        <f>+E51*$C$33</f>
        <v>10781.328213093808</v>
      </c>
      <c r="F52" s="378">
        <f>+F51*$C$33</f>
        <v>11271.388586416251</v>
      </c>
      <c r="G52" s="379">
        <f>+G51*$C$33</f>
        <v>11761.448959738698</v>
      </c>
      <c r="H52" s="380">
        <f>+H51*$C$33</f>
        <v>14015.726677021952</v>
      </c>
      <c r="I52" s="376"/>
      <c r="J52" s="273"/>
      <c r="L52" s="351">
        <v>2007</v>
      </c>
      <c r="M52" s="374">
        <v>50800</v>
      </c>
      <c r="N52" s="375">
        <v>6.5000000000000002E-2</v>
      </c>
      <c r="O52" s="374">
        <v>14456.66</v>
      </c>
      <c r="P52" s="374">
        <v>433700</v>
      </c>
      <c r="Q52" s="375">
        <v>6.3E-2</v>
      </c>
    </row>
    <row r="53" spans="1:19" ht="13.5" thickBot="1" x14ac:dyDescent="0.25">
      <c r="A53" s="273"/>
      <c r="B53" s="329" t="s">
        <v>581</v>
      </c>
      <c r="C53" s="359" t="s">
        <v>560</v>
      </c>
      <c r="D53" s="360">
        <f>+H47*2.2</f>
        <v>6730.8044375000009</v>
      </c>
      <c r="E53" s="360">
        <f>+D53*1.1</f>
        <v>7403.8848812500019</v>
      </c>
      <c r="F53" s="360">
        <f>+D53*1.15</f>
        <v>7740.4251031250005</v>
      </c>
      <c r="G53" s="361">
        <f>+D53*1.2</f>
        <v>8076.965325000001</v>
      </c>
      <c r="H53" s="361">
        <f>+E53*1.3</f>
        <v>9625.0503456250026</v>
      </c>
      <c r="I53" s="376"/>
      <c r="J53" s="273"/>
      <c r="L53" s="351">
        <v>2008</v>
      </c>
      <c r="M53" s="374">
        <v>55000</v>
      </c>
      <c r="N53" s="375">
        <v>8.2699999999999996E-2</v>
      </c>
      <c r="O53" s="374">
        <v>15383.33</v>
      </c>
      <c r="P53" s="374">
        <v>461500</v>
      </c>
      <c r="Q53" s="375">
        <v>6.4100000000000004E-2</v>
      </c>
    </row>
    <row r="54" spans="1:19" ht="13.5" thickBot="1" x14ac:dyDescent="0.25">
      <c r="A54" s="273"/>
      <c r="B54" s="332" t="s">
        <v>580</v>
      </c>
      <c r="C54" s="377">
        <f>+E22</f>
        <v>2.0958119935590815</v>
      </c>
      <c r="D54" s="378">
        <f>+D53*$C$36</f>
        <v>14106.500666413189</v>
      </c>
      <c r="E54" s="378">
        <f>+E53*$C$36</f>
        <v>15517.15073305451</v>
      </c>
      <c r="F54" s="378">
        <f>+F53*$C$36</f>
        <v>16222.475766375166</v>
      </c>
      <c r="G54" s="379">
        <f>+G53*$C$36</f>
        <v>16927.800799695826</v>
      </c>
      <c r="H54" s="379">
        <f>+H53*$C$36</f>
        <v>20172.295952970864</v>
      </c>
      <c r="I54" s="273"/>
      <c r="J54" s="273"/>
      <c r="L54" s="351">
        <v>2009</v>
      </c>
      <c r="M54" s="374">
        <f>ROUND(M53*1.0767,-2)+100</f>
        <v>59300</v>
      </c>
      <c r="N54" s="375">
        <f>(+M54/M53)-1</f>
        <v>7.818181818181813E-2</v>
      </c>
      <c r="O54" s="374">
        <f t="shared" ref="O54:O59" si="3">+P54/30</f>
        <v>16563.333333333332</v>
      </c>
      <c r="P54" s="374">
        <v>496900</v>
      </c>
      <c r="Q54" s="375">
        <f>(+P54/P53)-1</f>
        <v>7.6706392199350049E-2</v>
      </c>
      <c r="R54" s="274" t="s">
        <v>582</v>
      </c>
      <c r="S54" s="274">
        <v>23763</v>
      </c>
    </row>
    <row r="55" spans="1:19" ht="13.5" thickBot="1" x14ac:dyDescent="0.25">
      <c r="A55" s="273"/>
      <c r="B55" s="332" t="s">
        <v>564</v>
      </c>
      <c r="C55" s="357"/>
      <c r="D55" s="378">
        <f>+D52+D54</f>
        <v>23907.708132862106</v>
      </c>
      <c r="E55" s="378">
        <f>+E52+E54</f>
        <v>26298.478946148316</v>
      </c>
      <c r="F55" s="378">
        <f>+F52+F54</f>
        <v>27493.864352791417</v>
      </c>
      <c r="G55" s="379">
        <f>+G52+G54</f>
        <v>28689.249759434526</v>
      </c>
      <c r="H55" s="379">
        <f>+H52+H54</f>
        <v>34188.022629992818</v>
      </c>
      <c r="I55" s="273"/>
      <c r="J55" s="273"/>
      <c r="L55" s="351">
        <v>2010</v>
      </c>
      <c r="M55" s="374">
        <f>ROUND(M54*1.03709949,2)</f>
        <v>61500</v>
      </c>
      <c r="N55" s="375">
        <f>(+M55/M54)-1</f>
        <v>3.7099494097807773E-2</v>
      </c>
      <c r="O55" s="374">
        <f t="shared" si="3"/>
        <v>17166.666666666668</v>
      </c>
      <c r="P55" s="374">
        <v>515000</v>
      </c>
      <c r="Q55" s="375">
        <f>(+P55/P54)-1</f>
        <v>3.6425840209297622E-2</v>
      </c>
    </row>
    <row r="56" spans="1:19" ht="13.5" thickBot="1" x14ac:dyDescent="0.25">
      <c r="A56" s="273"/>
      <c r="B56" s="273"/>
      <c r="C56" s="273"/>
      <c r="D56" s="273"/>
      <c r="E56" s="273"/>
      <c r="F56" s="273"/>
      <c r="G56" s="273"/>
      <c r="H56" s="273"/>
      <c r="I56" s="273"/>
      <c r="J56" s="273"/>
      <c r="L56" s="351">
        <v>2011</v>
      </c>
      <c r="M56" s="374">
        <f>ROUND(M55*1.03709949,2)</f>
        <v>63781.62</v>
      </c>
      <c r="N56" s="375">
        <f>(+M56/M55)-1</f>
        <v>3.7099512195122086E-2</v>
      </c>
      <c r="O56" s="374">
        <f t="shared" si="3"/>
        <v>17853.333333333332</v>
      </c>
      <c r="P56" s="374">
        <v>535600</v>
      </c>
      <c r="Q56" s="375">
        <f>(+P56/P55)-1</f>
        <v>4.0000000000000036E-2</v>
      </c>
    </row>
    <row r="57" spans="1:19" ht="13.5" thickBot="1" x14ac:dyDescent="0.25">
      <c r="A57" s="273"/>
      <c r="B57" s="273"/>
      <c r="C57" s="273"/>
      <c r="D57" s="273"/>
      <c r="E57" s="273"/>
      <c r="F57" s="273"/>
      <c r="G57" s="273"/>
      <c r="H57" s="273"/>
      <c r="I57" s="273"/>
      <c r="J57" s="273"/>
      <c r="L57" s="351">
        <v>2012</v>
      </c>
      <c r="M57" s="374">
        <f>ROUND(M56*1.03709949,2)</f>
        <v>66147.89</v>
      </c>
      <c r="N57" s="375">
        <f>(+M57/M56)-1</f>
        <v>3.7099559402849813E-2</v>
      </c>
      <c r="O57" s="374">
        <f t="shared" si="3"/>
        <v>18890</v>
      </c>
      <c r="P57" s="374">
        <v>566700</v>
      </c>
      <c r="Q57" s="375">
        <f>(+P57/P56)-1</f>
        <v>5.8065720687079825E-2</v>
      </c>
    </row>
    <row r="58" spans="1:19" ht="13.5" thickBot="1" x14ac:dyDescent="0.25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L58" s="351">
        <v>2013</v>
      </c>
      <c r="M58" s="374">
        <f>ROUND(M57*1.03709949,2)</f>
        <v>68601.94</v>
      </c>
      <c r="N58" s="375">
        <f>(+M58/M57)-1</f>
        <v>3.7099444895370093E-2</v>
      </c>
      <c r="O58" s="374">
        <f t="shared" si="3"/>
        <v>19650</v>
      </c>
      <c r="P58" s="374">
        <v>589500</v>
      </c>
      <c r="Q58" s="375">
        <f>(+P58/P57)-1</f>
        <v>4.0232927474854518E-2</v>
      </c>
    </row>
    <row r="59" spans="1:19" ht="13.5" thickBot="1" x14ac:dyDescent="0.25">
      <c r="L59" s="351">
        <v>2014</v>
      </c>
      <c r="M59" s="374">
        <f>ROUND(M57*1.03709949,2)</f>
        <v>68601.94</v>
      </c>
      <c r="N59" s="375">
        <f>(+M59/M57)-1</f>
        <v>3.7099444895370093E-2</v>
      </c>
      <c r="O59" s="374">
        <f t="shared" si="3"/>
        <v>20533.333333333332</v>
      </c>
      <c r="P59" s="374">
        <v>616000</v>
      </c>
      <c r="Q59" s="375">
        <f>(+P59/P57)-1</f>
        <v>8.6994882653961492E-2</v>
      </c>
    </row>
    <row r="60" spans="1:19" ht="13.5" thickBot="1" x14ac:dyDescent="0.25">
      <c r="L60" s="582">
        <v>2015</v>
      </c>
      <c r="M60" s="374"/>
      <c r="N60" s="375"/>
      <c r="O60" s="583">
        <v>21478.33</v>
      </c>
      <c r="P60" s="583">
        <v>644350</v>
      </c>
      <c r="Q60" s="584">
        <v>4.5999999999999999E-2</v>
      </c>
    </row>
    <row r="61" spans="1:19" ht="13.5" thickBot="1" x14ac:dyDescent="0.25">
      <c r="L61" s="582">
        <v>2016</v>
      </c>
      <c r="M61" s="374">
        <v>77700</v>
      </c>
      <c r="N61" s="375"/>
      <c r="O61" s="583">
        <v>22981.83</v>
      </c>
      <c r="P61" s="583">
        <v>689455</v>
      </c>
      <c r="Q61" s="584">
        <v>7.0000000000000007E-2</v>
      </c>
    </row>
    <row r="62" spans="1:19" ht="13.5" thickBot="1" x14ac:dyDescent="0.25">
      <c r="L62" s="582">
        <v>2017</v>
      </c>
      <c r="M62" s="374"/>
      <c r="N62" s="375"/>
      <c r="O62" s="583"/>
      <c r="P62" s="583">
        <f>P61*1.065</f>
        <v>734269.57499999995</v>
      </c>
      <c r="Q62" s="584">
        <v>6.5000000000000002E-2</v>
      </c>
      <c r="R62" s="274" t="s">
        <v>3182</v>
      </c>
    </row>
    <row r="64" spans="1:19" ht="13.5" thickBot="1" x14ac:dyDescent="0.25"/>
    <row r="65" spans="1:11" x14ac:dyDescent="0.2">
      <c r="A65" s="826" t="s">
        <v>583</v>
      </c>
      <c r="B65" s="827"/>
      <c r="C65" s="827"/>
      <c r="D65" s="827"/>
      <c r="E65" s="827"/>
      <c r="F65" s="827"/>
      <c r="G65" s="827"/>
      <c r="H65" s="827"/>
      <c r="I65" s="828"/>
    </row>
    <row r="66" spans="1:11" x14ac:dyDescent="0.2">
      <c r="A66" s="381" t="s">
        <v>424</v>
      </c>
      <c r="B66" s="382" t="s">
        <v>490</v>
      </c>
      <c r="C66" s="383"/>
      <c r="D66" s="384"/>
      <c r="E66" s="384"/>
      <c r="F66" s="385"/>
      <c r="G66" s="386">
        <f>+Revista!D14</f>
        <v>9866013.1624999996</v>
      </c>
      <c r="H66" s="382"/>
      <c r="I66" s="387"/>
    </row>
    <row r="67" spans="1:11" x14ac:dyDescent="0.2">
      <c r="A67" s="388" t="s">
        <v>427</v>
      </c>
      <c r="B67" s="389" t="s">
        <v>492</v>
      </c>
      <c r="C67" s="390" t="s">
        <v>493</v>
      </c>
      <c r="D67" s="391"/>
      <c r="E67" s="391"/>
      <c r="F67" s="392"/>
      <c r="G67" s="393">
        <f>365*8</f>
        <v>2920</v>
      </c>
      <c r="H67" s="389"/>
      <c r="I67" s="394"/>
    </row>
    <row r="68" spans="1:11" x14ac:dyDescent="0.2">
      <c r="A68" s="381" t="s">
        <v>429</v>
      </c>
      <c r="B68" s="382" t="s">
        <v>495</v>
      </c>
      <c r="C68" s="383" t="s">
        <v>496</v>
      </c>
      <c r="D68" s="384"/>
      <c r="E68" s="384"/>
      <c r="F68" s="385"/>
      <c r="G68" s="395">
        <f>+(52*48)+8</f>
        <v>2504</v>
      </c>
      <c r="H68" s="382"/>
      <c r="I68" s="387"/>
    </row>
    <row r="69" spans="1:11" x14ac:dyDescent="0.2">
      <c r="A69" s="396" t="s">
        <v>431</v>
      </c>
      <c r="B69" s="397" t="s">
        <v>498</v>
      </c>
      <c r="C69" s="398" t="s">
        <v>499</v>
      </c>
      <c r="D69" s="399"/>
      <c r="E69" s="399"/>
      <c r="F69" s="400"/>
      <c r="G69" s="401">
        <f>2920-((52+17+3)*8)</f>
        <v>2344</v>
      </c>
      <c r="H69" s="397"/>
      <c r="I69" s="402"/>
    </row>
    <row r="70" spans="1:11" x14ac:dyDescent="0.2">
      <c r="A70" s="381" t="s">
        <v>433</v>
      </c>
      <c r="B70" s="382" t="s">
        <v>501</v>
      </c>
      <c r="C70" s="383" t="s">
        <v>502</v>
      </c>
      <c r="D70" s="384"/>
      <c r="E70" s="384"/>
      <c r="F70" s="385"/>
      <c r="G70" s="386">
        <f>+G66/G67</f>
        <v>3378.7716309931507</v>
      </c>
      <c r="H70" s="403">
        <v>1</v>
      </c>
      <c r="I70" s="387"/>
    </row>
    <row r="71" spans="1:11" x14ac:dyDescent="0.2">
      <c r="A71" s="381" t="s">
        <v>503</v>
      </c>
      <c r="B71" s="382" t="s">
        <v>504</v>
      </c>
      <c r="C71" s="383" t="s">
        <v>505</v>
      </c>
      <c r="D71" s="384"/>
      <c r="E71" s="404"/>
      <c r="F71" s="385"/>
      <c r="G71" s="386">
        <f>+$G$66/G68</f>
        <v>3940.1011032348242</v>
      </c>
      <c r="H71" s="403">
        <f>+G71/G70</f>
        <v>1.1661341853035143</v>
      </c>
      <c r="I71" s="405">
        <v>1</v>
      </c>
    </row>
    <row r="72" spans="1:11" ht="13.5" thickBot="1" x14ac:dyDescent="0.25">
      <c r="A72" s="406" t="s">
        <v>507</v>
      </c>
      <c r="B72" s="407" t="s">
        <v>508</v>
      </c>
      <c r="C72" s="408" t="s">
        <v>509</v>
      </c>
      <c r="D72" s="409"/>
      <c r="E72" s="410"/>
      <c r="F72" s="411"/>
      <c r="G72" s="412">
        <f>+$G$66/G69</f>
        <v>4209.0499840017064</v>
      </c>
      <c r="H72" s="413">
        <f>+G72/G70</f>
        <v>1.2457337883959045</v>
      </c>
      <c r="I72" s="414">
        <f>+G72/G71</f>
        <v>1.0682593856655289</v>
      </c>
    </row>
    <row r="73" spans="1:11" ht="30.75" customHeight="1" x14ac:dyDescent="0.2">
      <c r="A73" s="829" t="s">
        <v>510</v>
      </c>
      <c r="B73" s="829"/>
      <c r="C73" s="829"/>
      <c r="D73" s="829"/>
      <c r="E73" s="829"/>
      <c r="F73" s="829"/>
      <c r="G73" s="829"/>
      <c r="H73" s="829"/>
      <c r="I73" s="829"/>
    </row>
    <row r="74" spans="1:11" x14ac:dyDescent="0.2">
      <c r="A74" s="830" t="s">
        <v>584</v>
      </c>
      <c r="B74" s="830"/>
      <c r="C74" s="830"/>
      <c r="D74" s="830"/>
      <c r="E74" s="830"/>
      <c r="F74" s="277"/>
      <c r="G74" s="415"/>
      <c r="H74" s="277"/>
      <c r="I74" s="277"/>
    </row>
    <row r="77" spans="1:11" ht="13.5" thickBot="1" x14ac:dyDescent="0.25">
      <c r="A77" s="277"/>
      <c r="B77" s="277"/>
      <c r="C77" s="277"/>
      <c r="D77" s="277"/>
      <c r="E77" s="277"/>
      <c r="F77" s="277"/>
      <c r="G77" s="415"/>
      <c r="H77" s="277"/>
      <c r="I77" s="277"/>
    </row>
    <row r="78" spans="1:11" x14ac:dyDescent="0.2">
      <c r="A78" s="826" t="s">
        <v>585</v>
      </c>
      <c r="B78" s="827"/>
      <c r="C78" s="827"/>
      <c r="D78" s="827"/>
      <c r="E78" s="827"/>
      <c r="F78" s="827"/>
      <c r="G78" s="827"/>
      <c r="H78" s="827"/>
      <c r="I78" s="828"/>
    </row>
    <row r="79" spans="1:11" ht="23.25" thickBot="1" x14ac:dyDescent="0.25">
      <c r="A79" s="416"/>
      <c r="B79" s="417"/>
      <c r="C79" s="417" t="s">
        <v>513</v>
      </c>
      <c r="D79" s="417" t="s">
        <v>514</v>
      </c>
      <c r="E79" s="418" t="s">
        <v>515</v>
      </c>
      <c r="F79" s="419"/>
      <c r="G79" s="417" t="s">
        <v>513</v>
      </c>
      <c r="H79" s="417" t="s">
        <v>514</v>
      </c>
      <c r="I79" s="418" t="s">
        <v>515</v>
      </c>
    </row>
    <row r="80" spans="1:11" ht="15" x14ac:dyDescent="0.25">
      <c r="A80" s="420"/>
      <c r="B80" s="421" t="s">
        <v>414</v>
      </c>
      <c r="C80" s="386">
        <f>+Revista!D10</f>
        <v>734269.57499999995</v>
      </c>
      <c r="D80" s="403">
        <f>+Revista!E38</f>
        <v>1.7784954197962231</v>
      </c>
      <c r="E80" s="405">
        <f>+D80*$H$72</f>
        <v>2.2155318369475134</v>
      </c>
      <c r="F80" s="422" t="s">
        <v>516</v>
      </c>
      <c r="G80" s="386">
        <f>+C80*2.5</f>
        <v>1835673.9375</v>
      </c>
      <c r="H80" s="403">
        <v>1.5758664383561645</v>
      </c>
      <c r="I80" s="405">
        <f>+H80*$H$72</f>
        <v>1.9631100682593858</v>
      </c>
      <c r="K80" s="423">
        <f>(178.42%*124.57%)</f>
        <v>2.2225779399999999</v>
      </c>
    </row>
    <row r="81" spans="1:11" x14ac:dyDescent="0.2">
      <c r="A81" s="420"/>
      <c r="B81" s="421" t="s">
        <v>517</v>
      </c>
      <c r="C81" s="386">
        <f>+C80*1.5</f>
        <v>1101404.3624999998</v>
      </c>
      <c r="D81" s="403">
        <f>+Revista!G38</f>
        <v>1.7144261702751078</v>
      </c>
      <c r="E81" s="405">
        <f>+D81*$H$72</f>
        <v>2.1357186080218922</v>
      </c>
      <c r="F81" s="422" t="s">
        <v>518</v>
      </c>
      <c r="G81" s="386">
        <f>+C80*3</f>
        <v>2202808.7249999996</v>
      </c>
      <c r="H81" s="403">
        <f>+Revista!K38</f>
        <v>1.5961506849315072</v>
      </c>
      <c r="I81" s="405">
        <f>+H81*$H$72</f>
        <v>1.9883788395904443</v>
      </c>
    </row>
    <row r="82" spans="1:11" ht="13.5" thickBot="1" x14ac:dyDescent="0.25">
      <c r="A82" s="424"/>
      <c r="B82" s="425" t="s">
        <v>416</v>
      </c>
      <c r="C82" s="412">
        <f>+C80*2</f>
        <v>1468539.15</v>
      </c>
      <c r="D82" s="413">
        <f>+Revista!I38</f>
        <v>1.6823915455145502</v>
      </c>
      <c r="E82" s="414">
        <f>+D82*$H$72</f>
        <v>2.0958119935590815</v>
      </c>
      <c r="F82" s="426" t="s">
        <v>519</v>
      </c>
      <c r="G82" s="412">
        <f>+C80*4</f>
        <v>2937078.3</v>
      </c>
      <c r="H82" s="413">
        <v>1.5721678082191781</v>
      </c>
      <c r="I82" s="414">
        <f>+H82*$H$12</f>
        <v>1.9585025597269627</v>
      </c>
    </row>
    <row r="83" spans="1:11" ht="28.5" customHeight="1" x14ac:dyDescent="0.2">
      <c r="A83" s="829" t="s">
        <v>586</v>
      </c>
      <c r="B83" s="829"/>
      <c r="C83" s="829"/>
      <c r="D83" s="829"/>
      <c r="E83" s="829"/>
      <c r="F83" s="829"/>
      <c r="G83" s="829"/>
      <c r="H83" s="829"/>
      <c r="I83" s="829"/>
    </row>
    <row r="87" spans="1:11" ht="15" x14ac:dyDescent="0.2">
      <c r="B87" s="831" t="s">
        <v>521</v>
      </c>
      <c r="C87" s="831"/>
      <c r="D87" s="831"/>
      <c r="E87" s="831"/>
      <c r="F87" s="831"/>
      <c r="G87" s="831"/>
      <c r="H87" s="831"/>
    </row>
    <row r="88" spans="1:11" ht="13.5" thickBot="1" x14ac:dyDescent="0.25">
      <c r="A88" s="277"/>
      <c r="B88" s="277"/>
      <c r="C88" s="277"/>
      <c r="D88" s="277"/>
      <c r="E88" s="277"/>
      <c r="F88" s="277"/>
      <c r="G88" s="415"/>
    </row>
    <row r="89" spans="1:11" ht="13.5" thickBot="1" x14ac:dyDescent="0.25">
      <c r="B89" s="819" t="s">
        <v>587</v>
      </c>
      <c r="C89" s="820"/>
      <c r="D89" s="820"/>
      <c r="E89" s="820"/>
      <c r="F89" s="820"/>
      <c r="G89" s="820"/>
      <c r="H89" s="821"/>
      <c r="J89" s="578"/>
      <c r="K89" s="578"/>
    </row>
    <row r="90" spans="1:11" ht="13.5" thickBot="1" x14ac:dyDescent="0.25">
      <c r="B90" s="427" t="s">
        <v>523</v>
      </c>
      <c r="C90" s="428" t="s">
        <v>526</v>
      </c>
      <c r="D90" s="429">
        <f>+Revista!D10</f>
        <v>734269.57499999995</v>
      </c>
      <c r="E90" s="428" t="s">
        <v>527</v>
      </c>
      <c r="F90" s="429">
        <f>+Revista!D13</f>
        <v>8933613.1624999996</v>
      </c>
      <c r="G90" s="428" t="s">
        <v>528</v>
      </c>
      <c r="H90" s="430">
        <f>+F90/365</f>
        <v>24475.6525</v>
      </c>
      <c r="J90" s="579" t="s">
        <v>588</v>
      </c>
      <c r="K90" s="579">
        <v>2013</v>
      </c>
    </row>
    <row r="91" spans="1:11" x14ac:dyDescent="0.2">
      <c r="B91" s="431"/>
      <c r="C91" s="432"/>
      <c r="D91" s="432" t="s">
        <v>532</v>
      </c>
      <c r="E91" s="432" t="s">
        <v>533</v>
      </c>
      <c r="F91" s="432" t="s">
        <v>534</v>
      </c>
      <c r="G91" s="433" t="s">
        <v>535</v>
      </c>
      <c r="H91" s="433" t="s">
        <v>536</v>
      </c>
      <c r="J91" s="580"/>
      <c r="K91" s="581"/>
    </row>
    <row r="92" spans="1:11" x14ac:dyDescent="0.2">
      <c r="B92" s="431"/>
      <c r="C92" s="432" t="s">
        <v>540</v>
      </c>
      <c r="D92" s="432" t="s">
        <v>541</v>
      </c>
      <c r="E92" s="432" t="s">
        <v>542</v>
      </c>
      <c r="F92" s="432" t="s">
        <v>543</v>
      </c>
      <c r="G92" s="433" t="s">
        <v>544</v>
      </c>
      <c r="H92" s="433" t="s">
        <v>545</v>
      </c>
      <c r="J92" s="580"/>
      <c r="K92" s="581"/>
    </row>
    <row r="93" spans="1:11" ht="13.5" thickBot="1" x14ac:dyDescent="0.25">
      <c r="B93" s="436"/>
      <c r="C93" s="437"/>
      <c r="D93" s="438"/>
      <c r="E93" s="439" t="s">
        <v>547</v>
      </c>
      <c r="F93" s="439" t="s">
        <v>548</v>
      </c>
      <c r="G93" s="440" t="s">
        <v>549</v>
      </c>
      <c r="H93" s="440" t="s">
        <v>550</v>
      </c>
      <c r="J93" s="434"/>
      <c r="K93" s="435"/>
    </row>
    <row r="94" spans="1:11" x14ac:dyDescent="0.2">
      <c r="B94" s="420" t="s">
        <v>552</v>
      </c>
      <c r="C94" s="441" t="s">
        <v>553</v>
      </c>
      <c r="D94" s="442">
        <f>+H90*1.5</f>
        <v>36713.478750000002</v>
      </c>
      <c r="E94" s="442">
        <f>+D94*1.1</f>
        <v>40384.826625000009</v>
      </c>
      <c r="F94" s="442">
        <f>+D94*1.15</f>
        <v>42220.500562499998</v>
      </c>
      <c r="G94" s="443">
        <f>+D94*1.2</f>
        <v>44056.174500000001</v>
      </c>
      <c r="H94" s="443">
        <f>+E94*1.3</f>
        <v>52500.274612500012</v>
      </c>
      <c r="J94" s="434"/>
      <c r="K94" s="435"/>
    </row>
    <row r="95" spans="1:11" ht="13.5" thickBot="1" x14ac:dyDescent="0.25">
      <c r="B95" s="420" t="s">
        <v>555</v>
      </c>
      <c r="C95" s="444">
        <f>+E81</f>
        <v>2.1357186080218922</v>
      </c>
      <c r="D95" s="442">
        <f>+D94*$C$95</f>
        <v>78409.659731591324</v>
      </c>
      <c r="E95" s="442">
        <f>+E94*$C$95</f>
        <v>86250.625704750462</v>
      </c>
      <c r="F95" s="442">
        <f>+F94*$C$95</f>
        <v>90171.10869133001</v>
      </c>
      <c r="G95" s="443">
        <f>+G94*$C$95</f>
        <v>94091.591677909586</v>
      </c>
      <c r="H95" s="443">
        <f>+H94*$C$95</f>
        <v>112125.81341617562</v>
      </c>
      <c r="J95" s="434"/>
      <c r="K95" s="435"/>
    </row>
    <row r="96" spans="1:11" ht="13.5" thickBot="1" x14ac:dyDescent="0.25">
      <c r="B96" s="445" t="s">
        <v>557</v>
      </c>
      <c r="C96" s="446"/>
      <c r="D96" s="447">
        <f>+D95/8</f>
        <v>9801.2074664489155</v>
      </c>
      <c r="E96" s="447">
        <f>+E95/8</f>
        <v>10781.328213093808</v>
      </c>
      <c r="F96" s="447">
        <f>+F95/8</f>
        <v>11271.388586416251</v>
      </c>
      <c r="G96" s="448">
        <f>+G95/8</f>
        <v>11761.448959738698</v>
      </c>
      <c r="H96" s="448">
        <f>+H95/8</f>
        <v>14015.726677021952</v>
      </c>
    </row>
    <row r="97" spans="1:8" x14ac:dyDescent="0.2">
      <c r="B97" s="420" t="s">
        <v>559</v>
      </c>
      <c r="C97" s="441" t="s">
        <v>560</v>
      </c>
      <c r="D97" s="442">
        <f>+H90*2.2</f>
        <v>53846.435500000007</v>
      </c>
      <c r="E97" s="442">
        <f>+D97*1.1</f>
        <v>59231.079050000015</v>
      </c>
      <c r="F97" s="442">
        <f>+D97*1.15</f>
        <v>61923.400825000004</v>
      </c>
      <c r="G97" s="443">
        <f>+D97*1.2</f>
        <v>64615.722600000008</v>
      </c>
      <c r="H97" s="443">
        <f>+E97*1.3</f>
        <v>77000.402765000021</v>
      </c>
    </row>
    <row r="98" spans="1:8" ht="13.5" thickBot="1" x14ac:dyDescent="0.25">
      <c r="B98" s="420" t="s">
        <v>555</v>
      </c>
      <c r="C98" s="444">
        <f>+E82</f>
        <v>2.0958119935590815</v>
      </c>
      <c r="D98" s="442">
        <f>+D97*$C$98</f>
        <v>112852.00533130551</v>
      </c>
      <c r="E98" s="442">
        <f>+E97*$C$98</f>
        <v>124137.20586443608</v>
      </c>
      <c r="F98" s="442">
        <f>+F97*$C$98</f>
        <v>129779.80613100133</v>
      </c>
      <c r="G98" s="443">
        <f>+G97*$C$98</f>
        <v>135422.40639756661</v>
      </c>
      <c r="H98" s="443">
        <f>+H97*$C$98</f>
        <v>161378.36762376691</v>
      </c>
    </row>
    <row r="99" spans="1:8" ht="13.5" thickBot="1" x14ac:dyDescent="0.25">
      <c r="B99" s="445" t="s">
        <v>562</v>
      </c>
      <c r="C99" s="446"/>
      <c r="D99" s="447">
        <f>+D98/8</f>
        <v>14106.500666413189</v>
      </c>
      <c r="E99" s="447">
        <f>+E98/8</f>
        <v>15517.15073305451</v>
      </c>
      <c r="F99" s="447">
        <f>+F98/8</f>
        <v>16222.475766375166</v>
      </c>
      <c r="G99" s="448">
        <f>+G98/8</f>
        <v>16927.800799695826</v>
      </c>
      <c r="H99" s="448">
        <f>+H98/8</f>
        <v>20172.295952970864</v>
      </c>
    </row>
    <row r="100" spans="1:8" x14ac:dyDescent="0.2">
      <c r="B100" s="420" t="s">
        <v>563</v>
      </c>
      <c r="C100" s="441"/>
      <c r="D100" s="442">
        <f t="shared" ref="D100:H101" si="4">+D95+D98</f>
        <v>191261.66506289685</v>
      </c>
      <c r="E100" s="442">
        <f t="shared" si="4"/>
        <v>210387.83156918653</v>
      </c>
      <c r="F100" s="442">
        <f t="shared" si="4"/>
        <v>219950.91482233134</v>
      </c>
      <c r="G100" s="443">
        <f t="shared" si="4"/>
        <v>229513.99807547621</v>
      </c>
      <c r="H100" s="443">
        <f t="shared" si="4"/>
        <v>273504.18103994254</v>
      </c>
    </row>
    <row r="101" spans="1:8" ht="13.5" thickBot="1" x14ac:dyDescent="0.25">
      <c r="B101" s="420" t="s">
        <v>564</v>
      </c>
      <c r="C101" s="441"/>
      <c r="D101" s="442">
        <f t="shared" si="4"/>
        <v>23907.708132862106</v>
      </c>
      <c r="E101" s="442">
        <f t="shared" si="4"/>
        <v>26298.478946148316</v>
      </c>
      <c r="F101" s="442">
        <f t="shared" si="4"/>
        <v>27493.864352791417</v>
      </c>
      <c r="G101" s="443">
        <f t="shared" si="4"/>
        <v>28689.249759434526</v>
      </c>
      <c r="H101" s="443">
        <f t="shared" si="4"/>
        <v>34188.022629992818</v>
      </c>
    </row>
    <row r="102" spans="1:8" ht="13.5" thickBot="1" x14ac:dyDescent="0.25">
      <c r="B102" s="449" t="s">
        <v>565</v>
      </c>
      <c r="C102" s="450" t="s">
        <v>566</v>
      </c>
      <c r="D102" s="451">
        <f>+D101*1.607</f>
        <v>38419.686969509406</v>
      </c>
      <c r="E102" s="452"/>
      <c r="F102" s="453"/>
      <c r="G102" s="452"/>
      <c r="H102" s="454"/>
    </row>
    <row r="103" spans="1:8" x14ac:dyDescent="0.2">
      <c r="A103" s="277" t="s">
        <v>568</v>
      </c>
      <c r="B103" s="455" t="s">
        <v>569</v>
      </c>
      <c r="C103" s="456"/>
      <c r="D103" s="456"/>
      <c r="E103" s="456"/>
      <c r="F103" s="456"/>
      <c r="G103" s="277"/>
    </row>
    <row r="104" spans="1:8" x14ac:dyDescent="0.2">
      <c r="B104" s="455" t="s">
        <v>589</v>
      </c>
      <c r="G104" s="442"/>
    </row>
    <row r="108" spans="1:8" x14ac:dyDescent="0.2">
      <c r="B108" s="457" t="s">
        <v>574</v>
      </c>
    </row>
    <row r="109" spans="1:8" ht="13.5" thickBot="1" x14ac:dyDescent="0.25"/>
    <row r="110" spans="1:8" ht="13.5" thickBot="1" x14ac:dyDescent="0.25">
      <c r="B110" s="819" t="s">
        <v>590</v>
      </c>
      <c r="C110" s="820"/>
      <c r="D110" s="820"/>
      <c r="E110" s="820"/>
      <c r="F110" s="820"/>
      <c r="G110" s="820"/>
      <c r="H110" s="821"/>
    </row>
    <row r="111" spans="1:8" ht="13.5" thickBot="1" x14ac:dyDescent="0.25">
      <c r="B111" s="427" t="s">
        <v>523</v>
      </c>
      <c r="C111" s="458" t="s">
        <v>526</v>
      </c>
      <c r="D111" s="459">
        <f>+D90</f>
        <v>734269.57499999995</v>
      </c>
      <c r="E111" s="458" t="s">
        <v>577</v>
      </c>
      <c r="F111" s="459">
        <f>+D111/30</f>
        <v>24475.6525</v>
      </c>
      <c r="G111" s="458" t="s">
        <v>578</v>
      </c>
      <c r="H111" s="460">
        <f>+F111/8</f>
        <v>3059.4565625</v>
      </c>
    </row>
    <row r="112" spans="1:8" x14ac:dyDescent="0.2">
      <c r="B112" s="431"/>
      <c r="C112" s="432"/>
      <c r="D112" s="432" t="s">
        <v>532</v>
      </c>
      <c r="E112" s="432" t="s">
        <v>533</v>
      </c>
      <c r="F112" s="432" t="s">
        <v>534</v>
      </c>
      <c r="G112" s="433" t="s">
        <v>535</v>
      </c>
      <c r="H112" s="433" t="s">
        <v>536</v>
      </c>
    </row>
    <row r="113" spans="2:9" x14ac:dyDescent="0.2">
      <c r="B113" s="431"/>
      <c r="C113" s="432" t="s">
        <v>540</v>
      </c>
      <c r="D113" s="432" t="s">
        <v>541</v>
      </c>
      <c r="E113" s="432" t="s">
        <v>542</v>
      </c>
      <c r="F113" s="432" t="s">
        <v>543</v>
      </c>
      <c r="G113" s="433" t="s">
        <v>544</v>
      </c>
      <c r="H113" s="433" t="s">
        <v>545</v>
      </c>
    </row>
    <row r="114" spans="2:9" ht="13.5" thickBot="1" x14ac:dyDescent="0.25">
      <c r="B114" s="436"/>
      <c r="C114" s="437"/>
      <c r="D114" s="438"/>
      <c r="E114" s="439" t="s">
        <v>547</v>
      </c>
      <c r="F114" s="439" t="s">
        <v>548</v>
      </c>
      <c r="G114" s="440" t="s">
        <v>549</v>
      </c>
      <c r="H114" s="440" t="s">
        <v>550</v>
      </c>
      <c r="I114" s="461"/>
    </row>
    <row r="115" spans="2:9" x14ac:dyDescent="0.2">
      <c r="B115" s="420" t="s">
        <v>579</v>
      </c>
      <c r="C115" s="441" t="s">
        <v>553</v>
      </c>
      <c r="D115" s="442">
        <f>+H111*1.5</f>
        <v>4589.1848437500003</v>
      </c>
      <c r="E115" s="442">
        <f>+D115*1.1</f>
        <v>5048.1033281250011</v>
      </c>
      <c r="F115" s="442">
        <f>+D115*1.15</f>
        <v>5277.5625703124997</v>
      </c>
      <c r="G115" s="443">
        <f>+D115*1.2</f>
        <v>5507.0218125000001</v>
      </c>
      <c r="H115" s="443">
        <f>+E115*1.3</f>
        <v>6562.5343265625015</v>
      </c>
      <c r="I115" s="461"/>
    </row>
    <row r="116" spans="2:9" ht="13.5" thickBot="1" x14ac:dyDescent="0.25">
      <c r="B116" s="424" t="s">
        <v>580</v>
      </c>
      <c r="C116" s="462">
        <f>E81</f>
        <v>2.1357186080218922</v>
      </c>
      <c r="D116" s="463">
        <f>+D115*$C$116</f>
        <v>9801.2074664489155</v>
      </c>
      <c r="E116" s="463">
        <f>+E115*$C$116</f>
        <v>10781.328213093808</v>
      </c>
      <c r="F116" s="463">
        <f>+F115*$C$116</f>
        <v>11271.388586416251</v>
      </c>
      <c r="G116" s="464">
        <f>+G115*$C$116</f>
        <v>11761.448959738698</v>
      </c>
      <c r="H116" s="465">
        <f>+H115*$C$116</f>
        <v>14015.726677021952</v>
      </c>
      <c r="I116" s="461"/>
    </row>
    <row r="117" spans="2:9" x14ac:dyDescent="0.2">
      <c r="B117" s="420" t="s">
        <v>581</v>
      </c>
      <c r="C117" s="441" t="s">
        <v>560</v>
      </c>
      <c r="D117" s="442">
        <f>+H111*2.2</f>
        <v>6730.8044375000009</v>
      </c>
      <c r="E117" s="442">
        <f>+D117*1.1</f>
        <v>7403.8848812500019</v>
      </c>
      <c r="F117" s="442">
        <f>+D117*1.15</f>
        <v>7740.4251031250005</v>
      </c>
      <c r="G117" s="443">
        <f>+D117*1.2</f>
        <v>8076.965325000001</v>
      </c>
      <c r="H117" s="443">
        <f>+E117*1.3</f>
        <v>9625.0503456250026</v>
      </c>
      <c r="I117" s="461"/>
    </row>
    <row r="118" spans="2:9" ht="13.5" thickBot="1" x14ac:dyDescent="0.25">
      <c r="B118" s="424" t="s">
        <v>580</v>
      </c>
      <c r="C118" s="462">
        <f>E82</f>
        <v>2.0958119935590815</v>
      </c>
      <c r="D118" s="463">
        <f>+D117*$C$118</f>
        <v>14106.500666413189</v>
      </c>
      <c r="E118" s="463">
        <f>+E117*$C$118</f>
        <v>15517.15073305451</v>
      </c>
      <c r="F118" s="463">
        <f>+F117*$C$118</f>
        <v>16222.475766375166</v>
      </c>
      <c r="G118" s="464">
        <f>+G117*$C$118</f>
        <v>16927.800799695826</v>
      </c>
      <c r="H118" s="464">
        <f>+H117*$C$118</f>
        <v>20172.295952970864</v>
      </c>
    </row>
    <row r="119" spans="2:9" ht="13.5" thickBot="1" x14ac:dyDescent="0.25">
      <c r="B119" s="424" t="s">
        <v>564</v>
      </c>
      <c r="C119" s="439"/>
      <c r="D119" s="463">
        <f>+D116+D118</f>
        <v>23907.708132862106</v>
      </c>
      <c r="E119" s="463">
        <f>+E116+E118</f>
        <v>26298.478946148316</v>
      </c>
      <c r="F119" s="463">
        <f>+F116+F118</f>
        <v>27493.864352791417</v>
      </c>
      <c r="G119" s="464">
        <f>+G116+G118</f>
        <v>28689.249759434526</v>
      </c>
      <c r="H119" s="464">
        <f>+H116+H118</f>
        <v>34188.022629992818</v>
      </c>
    </row>
  </sheetData>
  <mergeCells count="13">
    <mergeCell ref="B110:H110"/>
    <mergeCell ref="A13:I13"/>
    <mergeCell ref="A23:I23"/>
    <mergeCell ref="L26:N26"/>
    <mergeCell ref="O26:Q26"/>
    <mergeCell ref="L27:N27"/>
    <mergeCell ref="A65:I65"/>
    <mergeCell ref="A73:I73"/>
    <mergeCell ref="A74:E74"/>
    <mergeCell ref="A78:I78"/>
    <mergeCell ref="A83:I83"/>
    <mergeCell ref="B89:H89"/>
    <mergeCell ref="B87:H87"/>
  </mergeCells>
  <phoneticPr fontId="51" type="noConversion"/>
  <printOptions horizontalCentered="1" verticalCentered="1"/>
  <pageMargins left="0.74803149606299213" right="0.74803149606299213" top="0.98425196850393704" bottom="0.98425196850393704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3"/>
  <sheetViews>
    <sheetView workbookViewId="0">
      <selection activeCell="F5" sqref="F5"/>
    </sheetView>
  </sheetViews>
  <sheetFormatPr baseColWidth="10" defaultColWidth="11.42578125" defaultRowHeight="10.5" x14ac:dyDescent="0.15"/>
  <cols>
    <col min="1" max="1" width="7.140625" style="485" customWidth="1"/>
    <col min="2" max="2" width="33.28515625" style="486" customWidth="1"/>
    <col min="3" max="4" width="6.85546875" style="486" customWidth="1"/>
    <col min="5" max="5" width="17.42578125" style="486" customWidth="1"/>
    <col min="6" max="6" width="11.7109375" style="487" customWidth="1"/>
    <col min="7" max="7" width="10.85546875" style="486"/>
    <col min="8" max="8" width="5.42578125" style="487" hidden="1" customWidth="1"/>
    <col min="9" max="9" width="12.85546875" style="486" hidden="1" customWidth="1"/>
    <col min="10" max="10" width="0" style="486" hidden="1" customWidth="1"/>
    <col min="11" max="11" width="10.85546875" style="488"/>
    <col min="12" max="256" width="10.85546875" style="486"/>
    <col min="257" max="257" width="7.140625" style="486" customWidth="1"/>
    <col min="258" max="258" width="33.28515625" style="486" customWidth="1"/>
    <col min="259" max="260" width="6.85546875" style="486" customWidth="1"/>
    <col min="261" max="261" width="17.42578125" style="486" customWidth="1"/>
    <col min="262" max="262" width="11.7109375" style="486" customWidth="1"/>
    <col min="263" max="263" width="10.85546875" style="486"/>
    <col min="264" max="266" width="0" style="486" hidden="1" customWidth="1"/>
    <col min="267" max="512" width="10.85546875" style="486"/>
    <col min="513" max="513" width="7.140625" style="486" customWidth="1"/>
    <col min="514" max="514" width="33.28515625" style="486" customWidth="1"/>
    <col min="515" max="516" width="6.85546875" style="486" customWidth="1"/>
    <col min="517" max="517" width="17.42578125" style="486" customWidth="1"/>
    <col min="518" max="518" width="11.7109375" style="486" customWidth="1"/>
    <col min="519" max="519" width="10.85546875" style="486"/>
    <col min="520" max="522" width="0" style="486" hidden="1" customWidth="1"/>
    <col min="523" max="768" width="10.85546875" style="486"/>
    <col min="769" max="769" width="7.140625" style="486" customWidth="1"/>
    <col min="770" max="770" width="33.28515625" style="486" customWidth="1"/>
    <col min="771" max="772" width="6.85546875" style="486" customWidth="1"/>
    <col min="773" max="773" width="17.42578125" style="486" customWidth="1"/>
    <col min="774" max="774" width="11.7109375" style="486" customWidth="1"/>
    <col min="775" max="775" width="10.85546875" style="486"/>
    <col min="776" max="778" width="0" style="486" hidden="1" customWidth="1"/>
    <col min="779" max="1024" width="10.85546875" style="486"/>
    <col min="1025" max="1025" width="7.140625" style="486" customWidth="1"/>
    <col min="1026" max="1026" width="33.28515625" style="486" customWidth="1"/>
    <col min="1027" max="1028" width="6.85546875" style="486" customWidth="1"/>
    <col min="1029" max="1029" width="17.42578125" style="486" customWidth="1"/>
    <col min="1030" max="1030" width="11.7109375" style="486" customWidth="1"/>
    <col min="1031" max="1031" width="10.85546875" style="486"/>
    <col min="1032" max="1034" width="0" style="486" hidden="1" customWidth="1"/>
    <col min="1035" max="1280" width="10.85546875" style="486"/>
    <col min="1281" max="1281" width="7.140625" style="486" customWidth="1"/>
    <col min="1282" max="1282" width="33.28515625" style="486" customWidth="1"/>
    <col min="1283" max="1284" width="6.85546875" style="486" customWidth="1"/>
    <col min="1285" max="1285" width="17.42578125" style="486" customWidth="1"/>
    <col min="1286" max="1286" width="11.7109375" style="486" customWidth="1"/>
    <col min="1287" max="1287" width="10.85546875" style="486"/>
    <col min="1288" max="1290" width="0" style="486" hidden="1" customWidth="1"/>
    <col min="1291" max="1536" width="10.85546875" style="486"/>
    <col min="1537" max="1537" width="7.140625" style="486" customWidth="1"/>
    <col min="1538" max="1538" width="33.28515625" style="486" customWidth="1"/>
    <col min="1539" max="1540" width="6.85546875" style="486" customWidth="1"/>
    <col min="1541" max="1541" width="17.42578125" style="486" customWidth="1"/>
    <col min="1542" max="1542" width="11.7109375" style="486" customWidth="1"/>
    <col min="1543" max="1543" width="10.85546875" style="486"/>
    <col min="1544" max="1546" width="0" style="486" hidden="1" customWidth="1"/>
    <col min="1547" max="1792" width="10.85546875" style="486"/>
    <col min="1793" max="1793" width="7.140625" style="486" customWidth="1"/>
    <col min="1794" max="1794" width="33.28515625" style="486" customWidth="1"/>
    <col min="1795" max="1796" width="6.85546875" style="486" customWidth="1"/>
    <col min="1797" max="1797" width="17.42578125" style="486" customWidth="1"/>
    <col min="1798" max="1798" width="11.7109375" style="486" customWidth="1"/>
    <col min="1799" max="1799" width="10.85546875" style="486"/>
    <col min="1800" max="1802" width="0" style="486" hidden="1" customWidth="1"/>
    <col min="1803" max="2048" width="10.85546875" style="486"/>
    <col min="2049" max="2049" width="7.140625" style="486" customWidth="1"/>
    <col min="2050" max="2050" width="33.28515625" style="486" customWidth="1"/>
    <col min="2051" max="2052" width="6.85546875" style="486" customWidth="1"/>
    <col min="2053" max="2053" width="17.42578125" style="486" customWidth="1"/>
    <col min="2054" max="2054" width="11.7109375" style="486" customWidth="1"/>
    <col min="2055" max="2055" width="10.85546875" style="486"/>
    <col min="2056" max="2058" width="0" style="486" hidden="1" customWidth="1"/>
    <col min="2059" max="2304" width="10.85546875" style="486"/>
    <col min="2305" max="2305" width="7.140625" style="486" customWidth="1"/>
    <col min="2306" max="2306" width="33.28515625" style="486" customWidth="1"/>
    <col min="2307" max="2308" width="6.85546875" style="486" customWidth="1"/>
    <col min="2309" max="2309" width="17.42578125" style="486" customWidth="1"/>
    <col min="2310" max="2310" width="11.7109375" style="486" customWidth="1"/>
    <col min="2311" max="2311" width="10.85546875" style="486"/>
    <col min="2312" max="2314" width="0" style="486" hidden="1" customWidth="1"/>
    <col min="2315" max="2560" width="10.85546875" style="486"/>
    <col min="2561" max="2561" width="7.140625" style="486" customWidth="1"/>
    <col min="2562" max="2562" width="33.28515625" style="486" customWidth="1"/>
    <col min="2563" max="2564" width="6.85546875" style="486" customWidth="1"/>
    <col min="2565" max="2565" width="17.42578125" style="486" customWidth="1"/>
    <col min="2566" max="2566" width="11.7109375" style="486" customWidth="1"/>
    <col min="2567" max="2567" width="10.85546875" style="486"/>
    <col min="2568" max="2570" width="0" style="486" hidden="1" customWidth="1"/>
    <col min="2571" max="2816" width="10.85546875" style="486"/>
    <col min="2817" max="2817" width="7.140625" style="486" customWidth="1"/>
    <col min="2818" max="2818" width="33.28515625" style="486" customWidth="1"/>
    <col min="2819" max="2820" width="6.85546875" style="486" customWidth="1"/>
    <col min="2821" max="2821" width="17.42578125" style="486" customWidth="1"/>
    <col min="2822" max="2822" width="11.7109375" style="486" customWidth="1"/>
    <col min="2823" max="2823" width="10.85546875" style="486"/>
    <col min="2824" max="2826" width="0" style="486" hidden="1" customWidth="1"/>
    <col min="2827" max="3072" width="10.85546875" style="486"/>
    <col min="3073" max="3073" width="7.140625" style="486" customWidth="1"/>
    <col min="3074" max="3074" width="33.28515625" style="486" customWidth="1"/>
    <col min="3075" max="3076" width="6.85546875" style="486" customWidth="1"/>
    <col min="3077" max="3077" width="17.42578125" style="486" customWidth="1"/>
    <col min="3078" max="3078" width="11.7109375" style="486" customWidth="1"/>
    <col min="3079" max="3079" width="10.85546875" style="486"/>
    <col min="3080" max="3082" width="0" style="486" hidden="1" customWidth="1"/>
    <col min="3083" max="3328" width="10.85546875" style="486"/>
    <col min="3329" max="3329" width="7.140625" style="486" customWidth="1"/>
    <col min="3330" max="3330" width="33.28515625" style="486" customWidth="1"/>
    <col min="3331" max="3332" width="6.85546875" style="486" customWidth="1"/>
    <col min="3333" max="3333" width="17.42578125" style="486" customWidth="1"/>
    <col min="3334" max="3334" width="11.7109375" style="486" customWidth="1"/>
    <col min="3335" max="3335" width="10.85546875" style="486"/>
    <col min="3336" max="3338" width="0" style="486" hidden="1" customWidth="1"/>
    <col min="3339" max="3584" width="10.85546875" style="486"/>
    <col min="3585" max="3585" width="7.140625" style="486" customWidth="1"/>
    <col min="3586" max="3586" width="33.28515625" style="486" customWidth="1"/>
    <col min="3587" max="3588" width="6.85546875" style="486" customWidth="1"/>
    <col min="3589" max="3589" width="17.42578125" style="486" customWidth="1"/>
    <col min="3590" max="3590" width="11.7109375" style="486" customWidth="1"/>
    <col min="3591" max="3591" width="10.85546875" style="486"/>
    <col min="3592" max="3594" width="0" style="486" hidden="1" customWidth="1"/>
    <col min="3595" max="3840" width="10.85546875" style="486"/>
    <col min="3841" max="3841" width="7.140625" style="486" customWidth="1"/>
    <col min="3842" max="3842" width="33.28515625" style="486" customWidth="1"/>
    <col min="3843" max="3844" width="6.85546875" style="486" customWidth="1"/>
    <col min="3845" max="3845" width="17.42578125" style="486" customWidth="1"/>
    <col min="3846" max="3846" width="11.7109375" style="486" customWidth="1"/>
    <col min="3847" max="3847" width="10.85546875" style="486"/>
    <col min="3848" max="3850" width="0" style="486" hidden="1" customWidth="1"/>
    <col min="3851" max="4096" width="10.85546875" style="486"/>
    <col min="4097" max="4097" width="7.140625" style="486" customWidth="1"/>
    <col min="4098" max="4098" width="33.28515625" style="486" customWidth="1"/>
    <col min="4099" max="4100" width="6.85546875" style="486" customWidth="1"/>
    <col min="4101" max="4101" width="17.42578125" style="486" customWidth="1"/>
    <col min="4102" max="4102" width="11.7109375" style="486" customWidth="1"/>
    <col min="4103" max="4103" width="10.85546875" style="486"/>
    <col min="4104" max="4106" width="0" style="486" hidden="1" customWidth="1"/>
    <col min="4107" max="4352" width="10.85546875" style="486"/>
    <col min="4353" max="4353" width="7.140625" style="486" customWidth="1"/>
    <col min="4354" max="4354" width="33.28515625" style="486" customWidth="1"/>
    <col min="4355" max="4356" width="6.85546875" style="486" customWidth="1"/>
    <col min="4357" max="4357" width="17.42578125" style="486" customWidth="1"/>
    <col min="4358" max="4358" width="11.7109375" style="486" customWidth="1"/>
    <col min="4359" max="4359" width="10.85546875" style="486"/>
    <col min="4360" max="4362" width="0" style="486" hidden="1" customWidth="1"/>
    <col min="4363" max="4608" width="10.85546875" style="486"/>
    <col min="4609" max="4609" width="7.140625" style="486" customWidth="1"/>
    <col min="4610" max="4610" width="33.28515625" style="486" customWidth="1"/>
    <col min="4611" max="4612" width="6.85546875" style="486" customWidth="1"/>
    <col min="4613" max="4613" width="17.42578125" style="486" customWidth="1"/>
    <col min="4614" max="4614" width="11.7109375" style="486" customWidth="1"/>
    <col min="4615" max="4615" width="10.85546875" style="486"/>
    <col min="4616" max="4618" width="0" style="486" hidden="1" customWidth="1"/>
    <col min="4619" max="4864" width="10.85546875" style="486"/>
    <col min="4865" max="4865" width="7.140625" style="486" customWidth="1"/>
    <col min="4866" max="4866" width="33.28515625" style="486" customWidth="1"/>
    <col min="4867" max="4868" width="6.85546875" style="486" customWidth="1"/>
    <col min="4869" max="4869" width="17.42578125" style="486" customWidth="1"/>
    <col min="4870" max="4870" width="11.7109375" style="486" customWidth="1"/>
    <col min="4871" max="4871" width="10.85546875" style="486"/>
    <col min="4872" max="4874" width="0" style="486" hidden="1" customWidth="1"/>
    <col min="4875" max="5120" width="10.85546875" style="486"/>
    <col min="5121" max="5121" width="7.140625" style="486" customWidth="1"/>
    <col min="5122" max="5122" width="33.28515625" style="486" customWidth="1"/>
    <col min="5123" max="5124" width="6.85546875" style="486" customWidth="1"/>
    <col min="5125" max="5125" width="17.42578125" style="486" customWidth="1"/>
    <col min="5126" max="5126" width="11.7109375" style="486" customWidth="1"/>
    <col min="5127" max="5127" width="10.85546875" style="486"/>
    <col min="5128" max="5130" width="0" style="486" hidden="1" customWidth="1"/>
    <col min="5131" max="5376" width="10.85546875" style="486"/>
    <col min="5377" max="5377" width="7.140625" style="486" customWidth="1"/>
    <col min="5378" max="5378" width="33.28515625" style="486" customWidth="1"/>
    <col min="5379" max="5380" width="6.85546875" style="486" customWidth="1"/>
    <col min="5381" max="5381" width="17.42578125" style="486" customWidth="1"/>
    <col min="5382" max="5382" width="11.7109375" style="486" customWidth="1"/>
    <col min="5383" max="5383" width="10.85546875" style="486"/>
    <col min="5384" max="5386" width="0" style="486" hidden="1" customWidth="1"/>
    <col min="5387" max="5632" width="10.85546875" style="486"/>
    <col min="5633" max="5633" width="7.140625" style="486" customWidth="1"/>
    <col min="5634" max="5634" width="33.28515625" style="486" customWidth="1"/>
    <col min="5635" max="5636" width="6.85546875" style="486" customWidth="1"/>
    <col min="5637" max="5637" width="17.42578125" style="486" customWidth="1"/>
    <col min="5638" max="5638" width="11.7109375" style="486" customWidth="1"/>
    <col min="5639" max="5639" width="10.85546875" style="486"/>
    <col min="5640" max="5642" width="0" style="486" hidden="1" customWidth="1"/>
    <col min="5643" max="5888" width="10.85546875" style="486"/>
    <col min="5889" max="5889" width="7.140625" style="486" customWidth="1"/>
    <col min="5890" max="5890" width="33.28515625" style="486" customWidth="1"/>
    <col min="5891" max="5892" width="6.85546875" style="486" customWidth="1"/>
    <col min="5893" max="5893" width="17.42578125" style="486" customWidth="1"/>
    <col min="5894" max="5894" width="11.7109375" style="486" customWidth="1"/>
    <col min="5895" max="5895" width="10.85546875" style="486"/>
    <col min="5896" max="5898" width="0" style="486" hidden="1" customWidth="1"/>
    <col min="5899" max="6144" width="10.85546875" style="486"/>
    <col min="6145" max="6145" width="7.140625" style="486" customWidth="1"/>
    <col min="6146" max="6146" width="33.28515625" style="486" customWidth="1"/>
    <col min="6147" max="6148" width="6.85546875" style="486" customWidth="1"/>
    <col min="6149" max="6149" width="17.42578125" style="486" customWidth="1"/>
    <col min="6150" max="6150" width="11.7109375" style="486" customWidth="1"/>
    <col min="6151" max="6151" width="10.85546875" style="486"/>
    <col min="6152" max="6154" width="0" style="486" hidden="1" customWidth="1"/>
    <col min="6155" max="6400" width="10.85546875" style="486"/>
    <col min="6401" max="6401" width="7.140625" style="486" customWidth="1"/>
    <col min="6402" max="6402" width="33.28515625" style="486" customWidth="1"/>
    <col min="6403" max="6404" width="6.85546875" style="486" customWidth="1"/>
    <col min="6405" max="6405" width="17.42578125" style="486" customWidth="1"/>
    <col min="6406" max="6406" width="11.7109375" style="486" customWidth="1"/>
    <col min="6407" max="6407" width="10.85546875" style="486"/>
    <col min="6408" max="6410" width="0" style="486" hidden="1" customWidth="1"/>
    <col min="6411" max="6656" width="10.85546875" style="486"/>
    <col min="6657" max="6657" width="7.140625" style="486" customWidth="1"/>
    <col min="6658" max="6658" width="33.28515625" style="486" customWidth="1"/>
    <col min="6659" max="6660" width="6.85546875" style="486" customWidth="1"/>
    <col min="6661" max="6661" width="17.42578125" style="486" customWidth="1"/>
    <col min="6662" max="6662" width="11.7109375" style="486" customWidth="1"/>
    <col min="6663" max="6663" width="10.85546875" style="486"/>
    <col min="6664" max="6666" width="0" style="486" hidden="1" customWidth="1"/>
    <col min="6667" max="6912" width="10.85546875" style="486"/>
    <col min="6913" max="6913" width="7.140625" style="486" customWidth="1"/>
    <col min="6914" max="6914" width="33.28515625" style="486" customWidth="1"/>
    <col min="6915" max="6916" width="6.85546875" style="486" customWidth="1"/>
    <col min="6917" max="6917" width="17.42578125" style="486" customWidth="1"/>
    <col min="6918" max="6918" width="11.7109375" style="486" customWidth="1"/>
    <col min="6919" max="6919" width="10.85546875" style="486"/>
    <col min="6920" max="6922" width="0" style="486" hidden="1" customWidth="1"/>
    <col min="6923" max="7168" width="10.85546875" style="486"/>
    <col min="7169" max="7169" width="7.140625" style="486" customWidth="1"/>
    <col min="7170" max="7170" width="33.28515625" style="486" customWidth="1"/>
    <col min="7171" max="7172" width="6.85546875" style="486" customWidth="1"/>
    <col min="7173" max="7173" width="17.42578125" style="486" customWidth="1"/>
    <col min="7174" max="7174" width="11.7109375" style="486" customWidth="1"/>
    <col min="7175" max="7175" width="10.85546875" style="486"/>
    <col min="7176" max="7178" width="0" style="486" hidden="1" customWidth="1"/>
    <col min="7179" max="7424" width="10.85546875" style="486"/>
    <col min="7425" max="7425" width="7.140625" style="486" customWidth="1"/>
    <col min="7426" max="7426" width="33.28515625" style="486" customWidth="1"/>
    <col min="7427" max="7428" width="6.85546875" style="486" customWidth="1"/>
    <col min="7429" max="7429" width="17.42578125" style="486" customWidth="1"/>
    <col min="7430" max="7430" width="11.7109375" style="486" customWidth="1"/>
    <col min="7431" max="7431" width="10.85546875" style="486"/>
    <col min="7432" max="7434" width="0" style="486" hidden="1" customWidth="1"/>
    <col min="7435" max="7680" width="10.85546875" style="486"/>
    <col min="7681" max="7681" width="7.140625" style="486" customWidth="1"/>
    <col min="7682" max="7682" width="33.28515625" style="486" customWidth="1"/>
    <col min="7683" max="7684" width="6.85546875" style="486" customWidth="1"/>
    <col min="7685" max="7685" width="17.42578125" style="486" customWidth="1"/>
    <col min="7686" max="7686" width="11.7109375" style="486" customWidth="1"/>
    <col min="7687" max="7687" width="10.85546875" style="486"/>
    <col min="7688" max="7690" width="0" style="486" hidden="1" customWidth="1"/>
    <col min="7691" max="7936" width="10.85546875" style="486"/>
    <col min="7937" max="7937" width="7.140625" style="486" customWidth="1"/>
    <col min="7938" max="7938" width="33.28515625" style="486" customWidth="1"/>
    <col min="7939" max="7940" width="6.85546875" style="486" customWidth="1"/>
    <col min="7941" max="7941" width="17.42578125" style="486" customWidth="1"/>
    <col min="7942" max="7942" width="11.7109375" style="486" customWidth="1"/>
    <col min="7943" max="7943" width="10.85546875" style="486"/>
    <col min="7944" max="7946" width="0" style="486" hidden="1" customWidth="1"/>
    <col min="7947" max="8192" width="10.85546875" style="486"/>
    <col min="8193" max="8193" width="7.140625" style="486" customWidth="1"/>
    <col min="8194" max="8194" width="33.28515625" style="486" customWidth="1"/>
    <col min="8195" max="8196" width="6.85546875" style="486" customWidth="1"/>
    <col min="8197" max="8197" width="17.42578125" style="486" customWidth="1"/>
    <col min="8198" max="8198" width="11.7109375" style="486" customWidth="1"/>
    <col min="8199" max="8199" width="10.85546875" style="486"/>
    <col min="8200" max="8202" width="0" style="486" hidden="1" customWidth="1"/>
    <col min="8203" max="8448" width="10.85546875" style="486"/>
    <col min="8449" max="8449" width="7.140625" style="486" customWidth="1"/>
    <col min="8450" max="8450" width="33.28515625" style="486" customWidth="1"/>
    <col min="8451" max="8452" width="6.85546875" style="486" customWidth="1"/>
    <col min="8453" max="8453" width="17.42578125" style="486" customWidth="1"/>
    <col min="8454" max="8454" width="11.7109375" style="486" customWidth="1"/>
    <col min="8455" max="8455" width="10.85546875" style="486"/>
    <col min="8456" max="8458" width="0" style="486" hidden="1" customWidth="1"/>
    <col min="8459" max="8704" width="10.85546875" style="486"/>
    <col min="8705" max="8705" width="7.140625" style="486" customWidth="1"/>
    <col min="8706" max="8706" width="33.28515625" style="486" customWidth="1"/>
    <col min="8707" max="8708" width="6.85546875" style="486" customWidth="1"/>
    <col min="8709" max="8709" width="17.42578125" style="486" customWidth="1"/>
    <col min="8710" max="8710" width="11.7109375" style="486" customWidth="1"/>
    <col min="8711" max="8711" width="10.85546875" style="486"/>
    <col min="8712" max="8714" width="0" style="486" hidden="1" customWidth="1"/>
    <col min="8715" max="8960" width="10.85546875" style="486"/>
    <col min="8961" max="8961" width="7.140625" style="486" customWidth="1"/>
    <col min="8962" max="8962" width="33.28515625" style="486" customWidth="1"/>
    <col min="8963" max="8964" width="6.85546875" style="486" customWidth="1"/>
    <col min="8965" max="8965" width="17.42578125" style="486" customWidth="1"/>
    <col min="8966" max="8966" width="11.7109375" style="486" customWidth="1"/>
    <col min="8967" max="8967" width="10.85546875" style="486"/>
    <col min="8968" max="8970" width="0" style="486" hidden="1" customWidth="1"/>
    <col min="8971" max="9216" width="10.85546875" style="486"/>
    <col min="9217" max="9217" width="7.140625" style="486" customWidth="1"/>
    <col min="9218" max="9218" width="33.28515625" style="486" customWidth="1"/>
    <col min="9219" max="9220" width="6.85546875" style="486" customWidth="1"/>
    <col min="9221" max="9221" width="17.42578125" style="486" customWidth="1"/>
    <col min="9222" max="9222" width="11.7109375" style="486" customWidth="1"/>
    <col min="9223" max="9223" width="10.85546875" style="486"/>
    <col min="9224" max="9226" width="0" style="486" hidden="1" customWidth="1"/>
    <col min="9227" max="9472" width="10.85546875" style="486"/>
    <col min="9473" max="9473" width="7.140625" style="486" customWidth="1"/>
    <col min="9474" max="9474" width="33.28515625" style="486" customWidth="1"/>
    <col min="9475" max="9476" width="6.85546875" style="486" customWidth="1"/>
    <col min="9477" max="9477" width="17.42578125" style="486" customWidth="1"/>
    <col min="9478" max="9478" width="11.7109375" style="486" customWidth="1"/>
    <col min="9479" max="9479" width="10.85546875" style="486"/>
    <col min="9480" max="9482" width="0" style="486" hidden="1" customWidth="1"/>
    <col min="9483" max="9728" width="10.85546875" style="486"/>
    <col min="9729" max="9729" width="7.140625" style="486" customWidth="1"/>
    <col min="9730" max="9730" width="33.28515625" style="486" customWidth="1"/>
    <col min="9731" max="9732" width="6.85546875" style="486" customWidth="1"/>
    <col min="9733" max="9733" width="17.42578125" style="486" customWidth="1"/>
    <col min="9734" max="9734" width="11.7109375" style="486" customWidth="1"/>
    <col min="9735" max="9735" width="10.85546875" style="486"/>
    <col min="9736" max="9738" width="0" style="486" hidden="1" customWidth="1"/>
    <col min="9739" max="9984" width="10.85546875" style="486"/>
    <col min="9985" max="9985" width="7.140625" style="486" customWidth="1"/>
    <col min="9986" max="9986" width="33.28515625" style="486" customWidth="1"/>
    <col min="9987" max="9988" width="6.85546875" style="486" customWidth="1"/>
    <col min="9989" max="9989" width="17.42578125" style="486" customWidth="1"/>
    <col min="9990" max="9990" width="11.7109375" style="486" customWidth="1"/>
    <col min="9991" max="9991" width="10.85546875" style="486"/>
    <col min="9992" max="9994" width="0" style="486" hidden="1" customWidth="1"/>
    <col min="9995" max="10240" width="10.85546875" style="486"/>
    <col min="10241" max="10241" width="7.140625" style="486" customWidth="1"/>
    <col min="10242" max="10242" width="33.28515625" style="486" customWidth="1"/>
    <col min="10243" max="10244" width="6.85546875" style="486" customWidth="1"/>
    <col min="10245" max="10245" width="17.42578125" style="486" customWidth="1"/>
    <col min="10246" max="10246" width="11.7109375" style="486" customWidth="1"/>
    <col min="10247" max="10247" width="10.85546875" style="486"/>
    <col min="10248" max="10250" width="0" style="486" hidden="1" customWidth="1"/>
    <col min="10251" max="10496" width="10.85546875" style="486"/>
    <col min="10497" max="10497" width="7.140625" style="486" customWidth="1"/>
    <col min="10498" max="10498" width="33.28515625" style="486" customWidth="1"/>
    <col min="10499" max="10500" width="6.85546875" style="486" customWidth="1"/>
    <col min="10501" max="10501" width="17.42578125" style="486" customWidth="1"/>
    <col min="10502" max="10502" width="11.7109375" style="486" customWidth="1"/>
    <col min="10503" max="10503" width="10.85546875" style="486"/>
    <col min="10504" max="10506" width="0" style="486" hidden="1" customWidth="1"/>
    <col min="10507" max="10752" width="10.85546875" style="486"/>
    <col min="10753" max="10753" width="7.140625" style="486" customWidth="1"/>
    <col min="10754" max="10754" width="33.28515625" style="486" customWidth="1"/>
    <col min="10755" max="10756" width="6.85546875" style="486" customWidth="1"/>
    <col min="10757" max="10757" width="17.42578125" style="486" customWidth="1"/>
    <col min="10758" max="10758" width="11.7109375" style="486" customWidth="1"/>
    <col min="10759" max="10759" width="10.85546875" style="486"/>
    <col min="10760" max="10762" width="0" style="486" hidden="1" customWidth="1"/>
    <col min="10763" max="11008" width="10.85546875" style="486"/>
    <col min="11009" max="11009" width="7.140625" style="486" customWidth="1"/>
    <col min="11010" max="11010" width="33.28515625" style="486" customWidth="1"/>
    <col min="11011" max="11012" width="6.85546875" style="486" customWidth="1"/>
    <col min="11013" max="11013" width="17.42578125" style="486" customWidth="1"/>
    <col min="11014" max="11014" width="11.7109375" style="486" customWidth="1"/>
    <col min="11015" max="11015" width="10.85546875" style="486"/>
    <col min="11016" max="11018" width="0" style="486" hidden="1" customWidth="1"/>
    <col min="11019" max="11264" width="10.85546875" style="486"/>
    <col min="11265" max="11265" width="7.140625" style="486" customWidth="1"/>
    <col min="11266" max="11266" width="33.28515625" style="486" customWidth="1"/>
    <col min="11267" max="11268" width="6.85546875" style="486" customWidth="1"/>
    <col min="11269" max="11269" width="17.42578125" style="486" customWidth="1"/>
    <col min="11270" max="11270" width="11.7109375" style="486" customWidth="1"/>
    <col min="11271" max="11271" width="10.85546875" style="486"/>
    <col min="11272" max="11274" width="0" style="486" hidden="1" customWidth="1"/>
    <col min="11275" max="11520" width="10.85546875" style="486"/>
    <col min="11521" max="11521" width="7.140625" style="486" customWidth="1"/>
    <col min="11522" max="11522" width="33.28515625" style="486" customWidth="1"/>
    <col min="11523" max="11524" width="6.85546875" style="486" customWidth="1"/>
    <col min="11525" max="11525" width="17.42578125" style="486" customWidth="1"/>
    <col min="11526" max="11526" width="11.7109375" style="486" customWidth="1"/>
    <col min="11527" max="11527" width="10.85546875" style="486"/>
    <col min="11528" max="11530" width="0" style="486" hidden="1" customWidth="1"/>
    <col min="11531" max="11776" width="10.85546875" style="486"/>
    <col min="11777" max="11777" width="7.140625" style="486" customWidth="1"/>
    <col min="11778" max="11778" width="33.28515625" style="486" customWidth="1"/>
    <col min="11779" max="11780" width="6.85546875" style="486" customWidth="1"/>
    <col min="11781" max="11781" width="17.42578125" style="486" customWidth="1"/>
    <col min="11782" max="11782" width="11.7109375" style="486" customWidth="1"/>
    <col min="11783" max="11783" width="10.85546875" style="486"/>
    <col min="11784" max="11786" width="0" style="486" hidden="1" customWidth="1"/>
    <col min="11787" max="12032" width="10.85546875" style="486"/>
    <col min="12033" max="12033" width="7.140625" style="486" customWidth="1"/>
    <col min="12034" max="12034" width="33.28515625" style="486" customWidth="1"/>
    <col min="12035" max="12036" width="6.85546875" style="486" customWidth="1"/>
    <col min="12037" max="12037" width="17.42578125" style="486" customWidth="1"/>
    <col min="12038" max="12038" width="11.7109375" style="486" customWidth="1"/>
    <col min="12039" max="12039" width="10.85546875" style="486"/>
    <col min="12040" max="12042" width="0" style="486" hidden="1" customWidth="1"/>
    <col min="12043" max="12288" width="10.85546875" style="486"/>
    <col min="12289" max="12289" width="7.140625" style="486" customWidth="1"/>
    <col min="12290" max="12290" width="33.28515625" style="486" customWidth="1"/>
    <col min="12291" max="12292" width="6.85546875" style="486" customWidth="1"/>
    <col min="12293" max="12293" width="17.42578125" style="486" customWidth="1"/>
    <col min="12294" max="12294" width="11.7109375" style="486" customWidth="1"/>
    <col min="12295" max="12295" width="10.85546875" style="486"/>
    <col min="12296" max="12298" width="0" style="486" hidden="1" customWidth="1"/>
    <col min="12299" max="12544" width="10.85546875" style="486"/>
    <col min="12545" max="12545" width="7.140625" style="486" customWidth="1"/>
    <col min="12546" max="12546" width="33.28515625" style="486" customWidth="1"/>
    <col min="12547" max="12548" width="6.85546875" style="486" customWidth="1"/>
    <col min="12549" max="12549" width="17.42578125" style="486" customWidth="1"/>
    <col min="12550" max="12550" width="11.7109375" style="486" customWidth="1"/>
    <col min="12551" max="12551" width="10.85546875" style="486"/>
    <col min="12552" max="12554" width="0" style="486" hidden="1" customWidth="1"/>
    <col min="12555" max="12800" width="10.85546875" style="486"/>
    <col min="12801" max="12801" width="7.140625" style="486" customWidth="1"/>
    <col min="12802" max="12802" width="33.28515625" style="486" customWidth="1"/>
    <col min="12803" max="12804" width="6.85546875" style="486" customWidth="1"/>
    <col min="12805" max="12805" width="17.42578125" style="486" customWidth="1"/>
    <col min="12806" max="12806" width="11.7109375" style="486" customWidth="1"/>
    <col min="12807" max="12807" width="10.85546875" style="486"/>
    <col min="12808" max="12810" width="0" style="486" hidden="1" customWidth="1"/>
    <col min="12811" max="13056" width="10.85546875" style="486"/>
    <col min="13057" max="13057" width="7.140625" style="486" customWidth="1"/>
    <col min="13058" max="13058" width="33.28515625" style="486" customWidth="1"/>
    <col min="13059" max="13060" width="6.85546875" style="486" customWidth="1"/>
    <col min="13061" max="13061" width="17.42578125" style="486" customWidth="1"/>
    <col min="13062" max="13062" width="11.7109375" style="486" customWidth="1"/>
    <col min="13063" max="13063" width="10.85546875" style="486"/>
    <col min="13064" max="13066" width="0" style="486" hidden="1" customWidth="1"/>
    <col min="13067" max="13312" width="10.85546875" style="486"/>
    <col min="13313" max="13313" width="7.140625" style="486" customWidth="1"/>
    <col min="13314" max="13314" width="33.28515625" style="486" customWidth="1"/>
    <col min="13315" max="13316" width="6.85546875" style="486" customWidth="1"/>
    <col min="13317" max="13317" width="17.42578125" style="486" customWidth="1"/>
    <col min="13318" max="13318" width="11.7109375" style="486" customWidth="1"/>
    <col min="13319" max="13319" width="10.85546875" style="486"/>
    <col min="13320" max="13322" width="0" style="486" hidden="1" customWidth="1"/>
    <col min="13323" max="13568" width="10.85546875" style="486"/>
    <col min="13569" max="13569" width="7.140625" style="486" customWidth="1"/>
    <col min="13570" max="13570" width="33.28515625" style="486" customWidth="1"/>
    <col min="13571" max="13572" width="6.85546875" style="486" customWidth="1"/>
    <col min="13573" max="13573" width="17.42578125" style="486" customWidth="1"/>
    <col min="13574" max="13574" width="11.7109375" style="486" customWidth="1"/>
    <col min="13575" max="13575" width="10.85546875" style="486"/>
    <col min="13576" max="13578" width="0" style="486" hidden="1" customWidth="1"/>
    <col min="13579" max="13824" width="10.85546875" style="486"/>
    <col min="13825" max="13825" width="7.140625" style="486" customWidth="1"/>
    <col min="13826" max="13826" width="33.28515625" style="486" customWidth="1"/>
    <col min="13827" max="13828" width="6.85546875" style="486" customWidth="1"/>
    <col min="13829" max="13829" width="17.42578125" style="486" customWidth="1"/>
    <col min="13830" max="13830" width="11.7109375" style="486" customWidth="1"/>
    <col min="13831" max="13831" width="10.85546875" style="486"/>
    <col min="13832" max="13834" width="0" style="486" hidden="1" customWidth="1"/>
    <col min="13835" max="14080" width="10.85546875" style="486"/>
    <col min="14081" max="14081" width="7.140625" style="486" customWidth="1"/>
    <col min="14082" max="14082" width="33.28515625" style="486" customWidth="1"/>
    <col min="14083" max="14084" width="6.85546875" style="486" customWidth="1"/>
    <col min="14085" max="14085" width="17.42578125" style="486" customWidth="1"/>
    <col min="14086" max="14086" width="11.7109375" style="486" customWidth="1"/>
    <col min="14087" max="14087" width="10.85546875" style="486"/>
    <col min="14088" max="14090" width="0" style="486" hidden="1" customWidth="1"/>
    <col min="14091" max="14336" width="10.85546875" style="486"/>
    <col min="14337" max="14337" width="7.140625" style="486" customWidth="1"/>
    <col min="14338" max="14338" width="33.28515625" style="486" customWidth="1"/>
    <col min="14339" max="14340" width="6.85546875" style="486" customWidth="1"/>
    <col min="14341" max="14341" width="17.42578125" style="486" customWidth="1"/>
    <col min="14342" max="14342" width="11.7109375" style="486" customWidth="1"/>
    <col min="14343" max="14343" width="10.85546875" style="486"/>
    <col min="14344" max="14346" width="0" style="486" hidden="1" customWidth="1"/>
    <col min="14347" max="14592" width="10.85546875" style="486"/>
    <col min="14593" max="14593" width="7.140625" style="486" customWidth="1"/>
    <col min="14594" max="14594" width="33.28515625" style="486" customWidth="1"/>
    <col min="14595" max="14596" width="6.85546875" style="486" customWidth="1"/>
    <col min="14597" max="14597" width="17.42578125" style="486" customWidth="1"/>
    <col min="14598" max="14598" width="11.7109375" style="486" customWidth="1"/>
    <col min="14599" max="14599" width="10.85546875" style="486"/>
    <col min="14600" max="14602" width="0" style="486" hidden="1" customWidth="1"/>
    <col min="14603" max="14848" width="10.85546875" style="486"/>
    <col min="14849" max="14849" width="7.140625" style="486" customWidth="1"/>
    <col min="14850" max="14850" width="33.28515625" style="486" customWidth="1"/>
    <col min="14851" max="14852" width="6.85546875" style="486" customWidth="1"/>
    <col min="14853" max="14853" width="17.42578125" style="486" customWidth="1"/>
    <col min="14854" max="14854" width="11.7109375" style="486" customWidth="1"/>
    <col min="14855" max="14855" width="10.85546875" style="486"/>
    <col min="14856" max="14858" width="0" style="486" hidden="1" customWidth="1"/>
    <col min="14859" max="15104" width="10.85546875" style="486"/>
    <col min="15105" max="15105" width="7.140625" style="486" customWidth="1"/>
    <col min="15106" max="15106" width="33.28515625" style="486" customWidth="1"/>
    <col min="15107" max="15108" width="6.85546875" style="486" customWidth="1"/>
    <col min="15109" max="15109" width="17.42578125" style="486" customWidth="1"/>
    <col min="15110" max="15110" width="11.7109375" style="486" customWidth="1"/>
    <col min="15111" max="15111" width="10.85546875" style="486"/>
    <col min="15112" max="15114" width="0" style="486" hidden="1" customWidth="1"/>
    <col min="15115" max="15360" width="10.85546875" style="486"/>
    <col min="15361" max="15361" width="7.140625" style="486" customWidth="1"/>
    <col min="15362" max="15362" width="33.28515625" style="486" customWidth="1"/>
    <col min="15363" max="15364" width="6.85546875" style="486" customWidth="1"/>
    <col min="15365" max="15365" width="17.42578125" style="486" customWidth="1"/>
    <col min="15366" max="15366" width="11.7109375" style="486" customWidth="1"/>
    <col min="15367" max="15367" width="10.85546875" style="486"/>
    <col min="15368" max="15370" width="0" style="486" hidden="1" customWidth="1"/>
    <col min="15371" max="15616" width="10.85546875" style="486"/>
    <col min="15617" max="15617" width="7.140625" style="486" customWidth="1"/>
    <col min="15618" max="15618" width="33.28515625" style="486" customWidth="1"/>
    <col min="15619" max="15620" width="6.85546875" style="486" customWidth="1"/>
    <col min="15621" max="15621" width="17.42578125" style="486" customWidth="1"/>
    <col min="15622" max="15622" width="11.7109375" style="486" customWidth="1"/>
    <col min="15623" max="15623" width="10.85546875" style="486"/>
    <col min="15624" max="15626" width="0" style="486" hidden="1" customWidth="1"/>
    <col min="15627" max="15872" width="10.85546875" style="486"/>
    <col min="15873" max="15873" width="7.140625" style="486" customWidth="1"/>
    <col min="15874" max="15874" width="33.28515625" style="486" customWidth="1"/>
    <col min="15875" max="15876" width="6.85546875" style="486" customWidth="1"/>
    <col min="15877" max="15877" width="17.42578125" style="486" customWidth="1"/>
    <col min="15878" max="15878" width="11.7109375" style="486" customWidth="1"/>
    <col min="15879" max="15879" width="10.85546875" style="486"/>
    <col min="15880" max="15882" width="0" style="486" hidden="1" customWidth="1"/>
    <col min="15883" max="16128" width="10.85546875" style="486"/>
    <col min="16129" max="16129" width="7.140625" style="486" customWidth="1"/>
    <col min="16130" max="16130" width="33.28515625" style="486" customWidth="1"/>
    <col min="16131" max="16132" width="6.85546875" style="486" customWidth="1"/>
    <col min="16133" max="16133" width="17.42578125" style="486" customWidth="1"/>
    <col min="16134" max="16134" width="11.7109375" style="486" customWidth="1"/>
    <col min="16135" max="16135" width="10.85546875" style="486"/>
    <col min="16136" max="16138" width="0" style="486" hidden="1" customWidth="1"/>
    <col min="16139" max="16384" width="10.85546875" style="486"/>
  </cols>
  <sheetData>
    <row r="1" spans="1:15" s="466" customFormat="1" ht="21.75" customHeight="1" thickBot="1" x14ac:dyDescent="0.2">
      <c r="A1" s="832" t="s">
        <v>591</v>
      </c>
      <c r="B1" s="833"/>
      <c r="C1" s="833"/>
      <c r="D1" s="833"/>
      <c r="E1" s="833"/>
      <c r="F1" s="833"/>
      <c r="G1" s="834"/>
      <c r="I1" s="467"/>
      <c r="J1" s="468"/>
      <c r="K1" s="469"/>
    </row>
    <row r="2" spans="1:15" s="466" customFormat="1" ht="11.25" x14ac:dyDescent="0.15">
      <c r="A2" s="470"/>
      <c r="C2" s="471"/>
      <c r="D2" s="471"/>
      <c r="E2" s="471"/>
      <c r="F2" s="472" t="s">
        <v>424</v>
      </c>
      <c r="G2" s="473" t="s">
        <v>427</v>
      </c>
      <c r="I2" s="467"/>
      <c r="J2" s="468"/>
      <c r="K2" s="469"/>
    </row>
    <row r="3" spans="1:15" s="466" customFormat="1" ht="12" thickBot="1" x14ac:dyDescent="0.2">
      <c r="A3" s="470"/>
      <c r="C3" s="471"/>
      <c r="D3" s="471"/>
      <c r="E3" s="471"/>
      <c r="F3" s="474" t="s">
        <v>592</v>
      </c>
      <c r="G3" s="475" t="s">
        <v>593</v>
      </c>
      <c r="I3" s="467"/>
      <c r="J3" s="468"/>
      <c r="K3" s="469"/>
    </row>
    <row r="4" spans="1:15" s="466" customFormat="1" ht="12.75" customHeight="1" x14ac:dyDescent="0.15">
      <c r="A4" s="470"/>
      <c r="B4" s="835" t="s">
        <v>594</v>
      </c>
      <c r="C4" s="835"/>
      <c r="D4" s="476"/>
      <c r="E4" s="477" t="s">
        <v>595</v>
      </c>
      <c r="F4" s="587">
        <f>Cuadrillas!P62</f>
        <v>734269.57499999995</v>
      </c>
      <c r="G4" s="479">
        <f>+F4*$F$7</f>
        <v>1305895.0760332192</v>
      </c>
      <c r="I4" s="467"/>
      <c r="J4" s="468"/>
      <c r="K4" s="469"/>
      <c r="L4" s="480">
        <f>F4*1.53</f>
        <v>1123432.4497499999</v>
      </c>
    </row>
    <row r="5" spans="1:15" s="466" customFormat="1" ht="12.75" customHeight="1" x14ac:dyDescent="0.15">
      <c r="A5" s="470"/>
      <c r="B5" s="835" t="s">
        <v>596</v>
      </c>
      <c r="C5" s="835"/>
      <c r="D5" s="476"/>
      <c r="E5" s="477" t="s">
        <v>595</v>
      </c>
      <c r="F5" s="478">
        <f>+F4/30</f>
        <v>24475.6525</v>
      </c>
      <c r="G5" s="479">
        <f>+F5*$F$7</f>
        <v>43529.835867773974</v>
      </c>
      <c r="I5" s="467"/>
      <c r="J5" s="468"/>
      <c r="K5" s="469"/>
    </row>
    <row r="6" spans="1:15" s="466" customFormat="1" ht="12.75" customHeight="1" x14ac:dyDescent="0.15">
      <c r="A6" s="470"/>
      <c r="B6" s="835" t="s">
        <v>597</v>
      </c>
      <c r="C6" s="835"/>
      <c r="D6" s="476"/>
      <c r="E6" s="477" t="s">
        <v>595</v>
      </c>
      <c r="F6" s="479">
        <f>+F5/8</f>
        <v>3059.4565625</v>
      </c>
      <c r="G6" s="479">
        <f>+F6*$F$7</f>
        <v>5441.2294834717468</v>
      </c>
      <c r="I6" s="467"/>
      <c r="J6" s="468"/>
      <c r="K6" s="469"/>
    </row>
    <row r="7" spans="1:15" s="466" customFormat="1" ht="12.75" customHeight="1" x14ac:dyDescent="0.15">
      <c r="A7" s="470"/>
      <c r="B7" s="835" t="s">
        <v>598</v>
      </c>
      <c r="C7" s="835"/>
      <c r="D7" s="476"/>
      <c r="E7" s="477" t="s">
        <v>595</v>
      </c>
      <c r="F7" s="481">
        <f>+Revista!E38</f>
        <v>1.7784954197962231</v>
      </c>
      <c r="G7" s="482"/>
      <c r="I7" s="467"/>
      <c r="J7" s="468"/>
      <c r="K7" s="469"/>
    </row>
    <row r="8" spans="1:15" s="466" customFormat="1" ht="11.25" x14ac:dyDescent="0.15">
      <c r="A8" s="470"/>
      <c r="C8" s="476"/>
      <c r="D8" s="476"/>
      <c r="E8" s="476"/>
      <c r="F8" s="477"/>
      <c r="G8" s="483"/>
      <c r="H8" s="483"/>
      <c r="I8" s="483"/>
      <c r="J8" s="484"/>
      <c r="K8" s="469"/>
    </row>
    <row r="9" spans="1:15" ht="11.25" thickBot="1" x14ac:dyDescent="0.2"/>
    <row r="10" spans="1:15" ht="12" thickBot="1" x14ac:dyDescent="0.2">
      <c r="A10" s="489" t="s">
        <v>599</v>
      </c>
      <c r="B10" s="489" t="s">
        <v>600</v>
      </c>
      <c r="C10" s="490" t="s">
        <v>601</v>
      </c>
      <c r="D10" s="490" t="s">
        <v>602</v>
      </c>
      <c r="E10" s="490" t="s">
        <v>603</v>
      </c>
      <c r="F10" s="489" t="s">
        <v>604</v>
      </c>
      <c r="G10" s="489" t="s">
        <v>605</v>
      </c>
      <c r="H10" s="486"/>
      <c r="I10" s="491">
        <v>1999</v>
      </c>
      <c r="J10" s="492" t="s">
        <v>531</v>
      </c>
    </row>
    <row r="11" spans="1:15" x14ac:dyDescent="0.15">
      <c r="G11" s="487"/>
      <c r="H11" s="486"/>
      <c r="J11" s="488"/>
    </row>
    <row r="12" spans="1:15" x14ac:dyDescent="0.15">
      <c r="A12" s="493"/>
      <c r="B12" s="494"/>
      <c r="C12" s="494"/>
      <c r="D12" s="494"/>
      <c r="E12" s="494"/>
      <c r="F12" s="495"/>
      <c r="G12" s="495"/>
      <c r="H12" s="486"/>
      <c r="J12" s="488"/>
    </row>
    <row r="13" spans="1:15" ht="11.25" x14ac:dyDescent="0.15">
      <c r="A13" s="496" t="s">
        <v>606</v>
      </c>
      <c r="B13" s="494"/>
      <c r="C13" s="494"/>
      <c r="D13" s="494"/>
      <c r="E13" s="494"/>
      <c r="F13" s="495"/>
      <c r="G13" s="495"/>
      <c r="H13" s="486"/>
      <c r="J13" s="488"/>
    </row>
    <row r="14" spans="1:15" x14ac:dyDescent="0.15">
      <c r="A14" s="493"/>
      <c r="B14" s="494"/>
      <c r="C14" s="494"/>
      <c r="D14" s="494"/>
      <c r="E14" s="494"/>
      <c r="F14" s="495"/>
      <c r="G14" s="495"/>
      <c r="H14" s="486"/>
      <c r="J14" s="488"/>
    </row>
    <row r="15" spans="1:15" ht="11.25" x14ac:dyDescent="0.15">
      <c r="A15" s="497">
        <v>1464</v>
      </c>
      <c r="B15" s="498" t="s">
        <v>607</v>
      </c>
      <c r="C15" s="499" t="s">
        <v>608</v>
      </c>
      <c r="D15" s="499" t="s">
        <v>427</v>
      </c>
      <c r="E15" s="498">
        <v>2.5</v>
      </c>
      <c r="F15" s="497">
        <f>+$G$4*E15</f>
        <v>3264737.6900830483</v>
      </c>
      <c r="G15" s="497">
        <v>92</v>
      </c>
      <c r="H15" s="500"/>
      <c r="I15" s="501">
        <v>1031056</v>
      </c>
      <c r="J15" s="488">
        <f t="shared" ref="J15:J65" si="0">+F15/I15</f>
        <v>3.1664019122948202</v>
      </c>
      <c r="O15" s="502"/>
    </row>
    <row r="16" spans="1:15" ht="11.25" x14ac:dyDescent="0.15">
      <c r="A16" s="497">
        <v>1534</v>
      </c>
      <c r="B16" s="498" t="s">
        <v>607</v>
      </c>
      <c r="C16" s="499" t="s">
        <v>608</v>
      </c>
      <c r="D16" s="499" t="s">
        <v>427</v>
      </c>
      <c r="E16" s="498">
        <v>2.6</v>
      </c>
      <c r="F16" s="497">
        <f>+$G$4*E16</f>
        <v>3395327.19768637</v>
      </c>
      <c r="G16" s="497">
        <v>92</v>
      </c>
      <c r="H16" s="500"/>
      <c r="I16" s="501">
        <v>1050884</v>
      </c>
      <c r="J16" s="488">
        <f t="shared" si="0"/>
        <v>3.2309248191868654</v>
      </c>
      <c r="O16" s="502"/>
    </row>
    <row r="17" spans="1:15" ht="11.25" x14ac:dyDescent="0.15">
      <c r="A17" s="497">
        <v>2007</v>
      </c>
      <c r="B17" s="498" t="s">
        <v>609</v>
      </c>
      <c r="C17" s="499" t="s">
        <v>610</v>
      </c>
      <c r="D17" s="499" t="s">
        <v>427</v>
      </c>
      <c r="E17" s="498" t="s">
        <v>611</v>
      </c>
      <c r="F17" s="497">
        <f>+Cuadrillas!D52</f>
        <v>9801.2074664489155</v>
      </c>
      <c r="G17" s="497">
        <v>220</v>
      </c>
      <c r="H17" s="500"/>
      <c r="I17" s="501">
        <v>3032</v>
      </c>
      <c r="J17" s="488">
        <f t="shared" si="0"/>
        <v>3.2325882145280063</v>
      </c>
      <c r="O17" s="502"/>
    </row>
    <row r="18" spans="1:15" ht="11.25" x14ac:dyDescent="0.15">
      <c r="A18" s="497">
        <v>2008</v>
      </c>
      <c r="B18" s="498" t="s">
        <v>612</v>
      </c>
      <c r="C18" s="499" t="s">
        <v>610</v>
      </c>
      <c r="D18" s="499" t="s">
        <v>427</v>
      </c>
      <c r="E18" s="498" t="s">
        <v>611</v>
      </c>
      <c r="F18" s="497">
        <f>+Cuadrillas!D54</f>
        <v>14106.500666413189</v>
      </c>
      <c r="G18" s="497">
        <v>220</v>
      </c>
      <c r="H18" s="500"/>
      <c r="I18" s="501">
        <v>4372</v>
      </c>
      <c r="J18" s="488">
        <f t="shared" si="0"/>
        <v>3.2265555046690735</v>
      </c>
      <c r="O18" s="502"/>
    </row>
    <row r="19" spans="1:15" ht="11.25" x14ac:dyDescent="0.15">
      <c r="A19" s="497">
        <v>2020</v>
      </c>
      <c r="B19" s="498" t="s">
        <v>613</v>
      </c>
      <c r="C19" s="499" t="s">
        <v>608</v>
      </c>
      <c r="D19" s="499" t="s">
        <v>427</v>
      </c>
      <c r="E19" s="498">
        <v>5.4</v>
      </c>
      <c r="F19" s="497">
        <f>+$G$4*E19</f>
        <v>7051833.4105793843</v>
      </c>
      <c r="G19" s="497">
        <v>220</v>
      </c>
      <c r="H19" s="500"/>
      <c r="I19" s="501">
        <v>2213833</v>
      </c>
      <c r="J19" s="488">
        <f t="shared" si="0"/>
        <v>3.1853502096045112</v>
      </c>
      <c r="O19" s="502"/>
    </row>
    <row r="20" spans="1:15" ht="11.25" x14ac:dyDescent="0.15">
      <c r="A20" s="497">
        <v>2021</v>
      </c>
      <c r="B20" s="498" t="s">
        <v>614</v>
      </c>
      <c r="C20" s="499" t="s">
        <v>608</v>
      </c>
      <c r="D20" s="499" t="s">
        <v>427</v>
      </c>
      <c r="E20" s="498">
        <v>3.7</v>
      </c>
      <c r="F20" s="497">
        <f>+$G$4*E20</f>
        <v>4831811.7813229114</v>
      </c>
      <c r="G20" s="497">
        <v>220</v>
      </c>
      <c r="H20" s="500"/>
      <c r="I20" s="501">
        <v>1531091</v>
      </c>
      <c r="J20" s="488">
        <f t="shared" si="0"/>
        <v>3.1557966060298908</v>
      </c>
      <c r="O20" s="502"/>
    </row>
    <row r="21" spans="1:15" ht="11.25" x14ac:dyDescent="0.15">
      <c r="A21" s="497">
        <v>2022</v>
      </c>
      <c r="B21" s="498" t="s">
        <v>615</v>
      </c>
      <c r="C21" s="499" t="s">
        <v>608</v>
      </c>
      <c r="D21" s="499" t="s">
        <v>427</v>
      </c>
      <c r="E21" s="498">
        <v>2.9</v>
      </c>
      <c r="F21" s="497">
        <f>+E21*$G$4</f>
        <v>3787095.7204963355</v>
      </c>
      <c r="G21" s="497">
        <v>220</v>
      </c>
      <c r="H21" s="500"/>
      <c r="I21" s="501">
        <v>1182300</v>
      </c>
      <c r="J21" s="488">
        <f t="shared" si="0"/>
        <v>3.2031597060782673</v>
      </c>
      <c r="O21" s="502"/>
    </row>
    <row r="22" spans="1:15" ht="11.25" x14ac:dyDescent="0.15">
      <c r="A22" s="497">
        <v>2023</v>
      </c>
      <c r="B22" s="498" t="s">
        <v>616</v>
      </c>
      <c r="C22" s="499" t="s">
        <v>608</v>
      </c>
      <c r="D22" s="499" t="s">
        <v>424</v>
      </c>
      <c r="E22" s="498">
        <v>2.2000000000000002</v>
      </c>
      <c r="F22" s="497">
        <f>+E22*G4</f>
        <v>2872969.1672730823</v>
      </c>
      <c r="G22" s="497">
        <v>220</v>
      </c>
      <c r="H22" s="500"/>
      <c r="I22" s="501">
        <v>851274</v>
      </c>
      <c r="J22" s="488">
        <f t="shared" si="0"/>
        <v>3.3749053386724865</v>
      </c>
      <c r="O22" s="502"/>
    </row>
    <row r="23" spans="1:15" ht="11.25" x14ac:dyDescent="0.15">
      <c r="A23" s="497">
        <v>2024</v>
      </c>
      <c r="B23" s="498" t="s">
        <v>617</v>
      </c>
      <c r="C23" s="499" t="s">
        <v>608</v>
      </c>
      <c r="D23" s="499" t="s">
        <v>427</v>
      </c>
      <c r="E23" s="498">
        <v>1.5</v>
      </c>
      <c r="F23" s="497">
        <f>+E23*$G$4</f>
        <v>1958842.6140498288</v>
      </c>
      <c r="G23" s="497">
        <v>220</v>
      </c>
      <c r="H23" s="500"/>
      <c r="I23" s="501">
        <v>590133</v>
      </c>
      <c r="J23" s="488">
        <f t="shared" si="0"/>
        <v>3.3193239728160071</v>
      </c>
      <c r="O23" s="502"/>
    </row>
    <row r="24" spans="1:15" ht="11.25" x14ac:dyDescent="0.15">
      <c r="A24" s="497">
        <v>2025</v>
      </c>
      <c r="B24" s="498" t="s">
        <v>618</v>
      </c>
      <c r="C24" s="499" t="s">
        <v>608</v>
      </c>
      <c r="D24" s="499" t="s">
        <v>427</v>
      </c>
      <c r="E24" s="498">
        <v>2.2000000000000002</v>
      </c>
      <c r="F24" s="497">
        <f>+E24*$G$4</f>
        <v>2872969.1672730823</v>
      </c>
      <c r="G24" s="497">
        <v>220</v>
      </c>
      <c r="H24" s="500"/>
      <c r="I24" s="501">
        <v>924676</v>
      </c>
      <c r="J24" s="488">
        <f t="shared" si="0"/>
        <v>3.1070009033143311</v>
      </c>
      <c r="O24" s="502"/>
    </row>
    <row r="25" spans="1:15" ht="11.25" x14ac:dyDescent="0.15">
      <c r="A25" s="497">
        <v>2026</v>
      </c>
      <c r="B25" s="498" t="s">
        <v>619</v>
      </c>
      <c r="C25" s="499" t="s">
        <v>608</v>
      </c>
      <c r="D25" s="499" t="s">
        <v>427</v>
      </c>
      <c r="E25" s="498">
        <v>1.9</v>
      </c>
      <c r="F25" s="497">
        <f>+E25*$G$4</f>
        <v>2481200.6444631163</v>
      </c>
      <c r="G25" s="497">
        <v>220</v>
      </c>
      <c r="H25" s="500"/>
      <c r="I25" s="501">
        <v>773886</v>
      </c>
      <c r="J25" s="488">
        <f t="shared" si="0"/>
        <v>3.206157811955658</v>
      </c>
      <c r="O25" s="502"/>
    </row>
    <row r="26" spans="1:15" ht="11.25" x14ac:dyDescent="0.15">
      <c r="A26" s="497">
        <v>2934</v>
      </c>
      <c r="B26" s="498" t="s">
        <v>620</v>
      </c>
      <c r="C26" s="499" t="s">
        <v>621</v>
      </c>
      <c r="D26" s="499"/>
      <c r="E26" s="498"/>
      <c r="F26" s="497">
        <f>3*F6</f>
        <v>9178.3696875000005</v>
      </c>
      <c r="G26" s="497">
        <v>220</v>
      </c>
      <c r="H26" s="500"/>
      <c r="I26" s="501">
        <v>2425</v>
      </c>
      <c r="J26" s="488">
        <f t="shared" si="0"/>
        <v>3.7848947164948457</v>
      </c>
      <c r="O26" s="502"/>
    </row>
    <row r="27" spans="1:15" ht="11.25" x14ac:dyDescent="0.15">
      <c r="A27" s="497">
        <v>3559</v>
      </c>
      <c r="B27" s="498" t="s">
        <v>622</v>
      </c>
      <c r="C27" s="499" t="s">
        <v>608</v>
      </c>
      <c r="D27" s="499" t="s">
        <v>424</v>
      </c>
      <c r="E27" s="498">
        <v>3</v>
      </c>
      <c r="F27" s="497">
        <f>+E27*$F$4</f>
        <v>2202808.7249999996</v>
      </c>
      <c r="G27" s="497">
        <v>123</v>
      </c>
      <c r="H27" s="500"/>
      <c r="I27" s="501">
        <v>751749</v>
      </c>
      <c r="J27" s="488">
        <f t="shared" si="0"/>
        <v>2.9302449687329144</v>
      </c>
      <c r="O27" s="502"/>
    </row>
    <row r="28" spans="1:15" ht="11.25" x14ac:dyDescent="0.15">
      <c r="A28" s="497">
        <v>3567</v>
      </c>
      <c r="B28" s="498" t="s">
        <v>623</v>
      </c>
      <c r="C28" s="499" t="s">
        <v>608</v>
      </c>
      <c r="D28" s="499" t="s">
        <v>424</v>
      </c>
      <c r="E28" s="498">
        <v>3.3</v>
      </c>
      <c r="F28" s="497">
        <f>+E28*$F$4</f>
        <v>2423089.5974999997</v>
      </c>
      <c r="G28" s="497">
        <v>123</v>
      </c>
      <c r="H28" s="500"/>
      <c r="I28" s="501">
        <v>788872</v>
      </c>
      <c r="J28" s="488">
        <f t="shared" si="0"/>
        <v>3.0715877829356342</v>
      </c>
      <c r="O28" s="502"/>
    </row>
    <row r="29" spans="1:15" ht="11.25" x14ac:dyDescent="0.15">
      <c r="A29" s="497">
        <v>3568</v>
      </c>
      <c r="B29" s="498" t="s">
        <v>624</v>
      </c>
      <c r="C29" s="499" t="s">
        <v>608</v>
      </c>
      <c r="D29" s="499" t="s">
        <v>424</v>
      </c>
      <c r="E29" s="498">
        <v>3.7</v>
      </c>
      <c r="F29" s="497">
        <f>+E29*$F$4</f>
        <v>2716797.4274999998</v>
      </c>
      <c r="G29" s="497">
        <v>123</v>
      </c>
      <c r="H29" s="500"/>
      <c r="I29" s="501">
        <v>889802</v>
      </c>
      <c r="J29" s="488">
        <f t="shared" si="0"/>
        <v>3.0532606439410115</v>
      </c>
      <c r="O29" s="502"/>
    </row>
    <row r="30" spans="1:15" ht="11.25" x14ac:dyDescent="0.15">
      <c r="A30" s="497">
        <v>3571</v>
      </c>
      <c r="B30" s="498" t="s">
        <v>625</v>
      </c>
      <c r="C30" s="499" t="s">
        <v>608</v>
      </c>
      <c r="D30" s="499" t="s">
        <v>424</v>
      </c>
      <c r="E30" s="498">
        <v>2.2999999999999998</v>
      </c>
      <c r="F30" s="497">
        <f>+E30*$F$4</f>
        <v>1688820.0224999997</v>
      </c>
      <c r="G30" s="497">
        <v>123</v>
      </c>
      <c r="H30" s="500"/>
      <c r="I30" s="501">
        <v>553371</v>
      </c>
      <c r="J30" s="488">
        <f t="shared" si="0"/>
        <v>3.0518766297836346</v>
      </c>
      <c r="O30" s="502"/>
    </row>
    <row r="31" spans="1:15" ht="11.25" x14ac:dyDescent="0.15">
      <c r="A31" s="497">
        <v>3575</v>
      </c>
      <c r="B31" s="498" t="s">
        <v>626</v>
      </c>
      <c r="C31" s="499" t="s">
        <v>608</v>
      </c>
      <c r="D31" s="499" t="s">
        <v>424</v>
      </c>
      <c r="E31" s="498">
        <v>2.2999999999999998</v>
      </c>
      <c r="F31" s="497">
        <f>+E31*$F$4</f>
        <v>1688820.0224999997</v>
      </c>
      <c r="G31" s="497">
        <v>123</v>
      </c>
      <c r="H31" s="500"/>
      <c r="I31" s="501">
        <v>541769</v>
      </c>
      <c r="J31" s="488">
        <f t="shared" si="0"/>
        <v>3.1172326628138558</v>
      </c>
      <c r="O31" s="502"/>
    </row>
    <row r="32" spans="1:15" ht="11.25" x14ac:dyDescent="0.15">
      <c r="A32" s="497">
        <v>3593</v>
      </c>
      <c r="B32" s="498" t="s">
        <v>627</v>
      </c>
      <c r="C32" s="499" t="s">
        <v>608</v>
      </c>
      <c r="D32" s="499" t="s">
        <v>424</v>
      </c>
      <c r="E32" s="498">
        <v>3.3</v>
      </c>
      <c r="F32" s="497">
        <f>+$F$4*E32</f>
        <v>2423089.5974999997</v>
      </c>
      <c r="G32" s="497">
        <v>123</v>
      </c>
      <c r="H32" s="500"/>
      <c r="I32" s="501">
        <v>790032</v>
      </c>
      <c r="J32" s="488">
        <f t="shared" si="0"/>
        <v>3.0670777860896772</v>
      </c>
      <c r="O32" s="502"/>
    </row>
    <row r="33" spans="1:15" ht="11.25" x14ac:dyDescent="0.15">
      <c r="A33" s="497">
        <v>3595</v>
      </c>
      <c r="B33" s="498" t="s">
        <v>628</v>
      </c>
      <c r="C33" s="499" t="s">
        <v>608</v>
      </c>
      <c r="D33" s="499" t="s">
        <v>424</v>
      </c>
      <c r="E33" s="498">
        <v>2.7</v>
      </c>
      <c r="F33" s="497">
        <f>+$F$4*E33</f>
        <v>1982527.8525</v>
      </c>
      <c r="G33" s="497">
        <v>123</v>
      </c>
      <c r="H33" s="500"/>
      <c r="I33" s="501">
        <v>649959</v>
      </c>
      <c r="J33" s="488">
        <f t="shared" si="0"/>
        <v>3.0502352494541962</v>
      </c>
      <c r="O33" s="502"/>
    </row>
    <row r="34" spans="1:15" ht="11.25" x14ac:dyDescent="0.15">
      <c r="A34" s="497">
        <v>3599</v>
      </c>
      <c r="B34" s="498" t="s">
        <v>629</v>
      </c>
      <c r="C34" s="499" t="s">
        <v>608</v>
      </c>
      <c r="D34" s="499" t="s">
        <v>424</v>
      </c>
      <c r="E34" s="498">
        <v>1.7</v>
      </c>
      <c r="F34" s="497">
        <f>+E34*$F$4</f>
        <v>1248258.2774999999</v>
      </c>
      <c r="G34" s="497">
        <v>123</v>
      </c>
      <c r="H34" s="500"/>
      <c r="I34" s="501">
        <v>400236</v>
      </c>
      <c r="J34" s="488">
        <f t="shared" si="0"/>
        <v>3.1188055984469161</v>
      </c>
      <c r="O34" s="502"/>
    </row>
    <row r="35" spans="1:15" ht="11.25" x14ac:dyDescent="0.15">
      <c r="A35" s="497">
        <v>3641</v>
      </c>
      <c r="B35" s="498" t="s">
        <v>630</v>
      </c>
      <c r="C35" s="499" t="s">
        <v>608</v>
      </c>
      <c r="D35" s="499" t="s">
        <v>424</v>
      </c>
      <c r="E35" s="498">
        <v>3.5</v>
      </c>
      <c r="F35" s="497">
        <f>+E35*$F$4</f>
        <v>2569943.5124999997</v>
      </c>
      <c r="G35" s="497">
        <v>123</v>
      </c>
      <c r="H35" s="500"/>
      <c r="I35" s="501">
        <v>829476</v>
      </c>
      <c r="J35" s="488">
        <f t="shared" si="0"/>
        <v>3.0982735033925031</v>
      </c>
      <c r="O35" s="502"/>
    </row>
    <row r="36" spans="1:15" ht="11.25" x14ac:dyDescent="0.15">
      <c r="A36" s="497">
        <v>3990</v>
      </c>
      <c r="B36" s="498" t="s">
        <v>631</v>
      </c>
      <c r="C36" s="499" t="s">
        <v>632</v>
      </c>
      <c r="D36" s="499" t="s">
        <v>424</v>
      </c>
      <c r="E36" s="498" t="s">
        <v>611</v>
      </c>
      <c r="F36" s="497">
        <f>+Cuadrillas!D36</f>
        <v>112852.00533130551</v>
      </c>
      <c r="G36" s="497">
        <v>220</v>
      </c>
      <c r="H36" s="500"/>
      <c r="I36" s="501">
        <v>32336</v>
      </c>
      <c r="J36" s="488">
        <f t="shared" si="0"/>
        <v>3.4899803726900518</v>
      </c>
      <c r="O36" s="502"/>
    </row>
    <row r="37" spans="1:15" ht="11.25" x14ac:dyDescent="0.15">
      <c r="A37" s="497">
        <v>3991</v>
      </c>
      <c r="B37" s="498" t="s">
        <v>633</v>
      </c>
      <c r="C37" s="499" t="s">
        <v>632</v>
      </c>
      <c r="D37" s="499" t="s">
        <v>424</v>
      </c>
      <c r="E37" s="498" t="s">
        <v>611</v>
      </c>
      <c r="F37" s="497">
        <f>+Cuadrillas!D33</f>
        <v>78409.659731591324</v>
      </c>
      <c r="G37" s="497">
        <v>220</v>
      </c>
      <c r="H37" s="500"/>
      <c r="I37" s="501">
        <v>16168</v>
      </c>
      <c r="J37" s="488">
        <f t="shared" si="0"/>
        <v>4.849682071473981</v>
      </c>
      <c r="O37" s="502"/>
    </row>
    <row r="38" spans="1:15" ht="11.25" x14ac:dyDescent="0.15">
      <c r="A38" s="497">
        <v>4102</v>
      </c>
      <c r="B38" s="498" t="s">
        <v>634</v>
      </c>
      <c r="C38" s="499" t="s">
        <v>632</v>
      </c>
      <c r="D38" s="499" t="s">
        <v>427</v>
      </c>
      <c r="E38" s="498">
        <v>5.4</v>
      </c>
      <c r="F38" s="497">
        <f>+E38*$G$5</f>
        <v>235061.11368597948</v>
      </c>
      <c r="G38" s="497">
        <v>220</v>
      </c>
      <c r="H38" s="500"/>
      <c r="I38" s="501">
        <v>105092</v>
      </c>
      <c r="J38" s="488">
        <f t="shared" si="0"/>
        <v>2.2367174826435834</v>
      </c>
      <c r="O38" s="502"/>
    </row>
    <row r="39" spans="1:15" ht="11.25" x14ac:dyDescent="0.15">
      <c r="A39" s="497">
        <v>4104</v>
      </c>
      <c r="B39" s="498" t="s">
        <v>635</v>
      </c>
      <c r="C39" s="499" t="s">
        <v>632</v>
      </c>
      <c r="D39" s="499" t="s">
        <v>427</v>
      </c>
      <c r="E39" s="498">
        <v>3.8</v>
      </c>
      <c r="F39" s="497">
        <f>+E39*$G$5</f>
        <v>165413.37629754111</v>
      </c>
      <c r="G39" s="497">
        <v>220</v>
      </c>
      <c r="H39" s="500"/>
      <c r="I39" s="501">
        <v>61438</v>
      </c>
      <c r="J39" s="488">
        <f t="shared" si="0"/>
        <v>2.6923626468560355</v>
      </c>
      <c r="O39" s="502"/>
    </row>
    <row r="40" spans="1:15" ht="11.25" x14ac:dyDescent="0.15">
      <c r="A40" s="497">
        <v>4107</v>
      </c>
      <c r="B40" s="498" t="s">
        <v>636</v>
      </c>
      <c r="C40" s="499" t="s">
        <v>632</v>
      </c>
      <c r="D40" s="499" t="s">
        <v>427</v>
      </c>
      <c r="E40" s="498" t="s">
        <v>611</v>
      </c>
      <c r="F40" s="497">
        <f>+Cuadrillas!D36</f>
        <v>112852.00533130551</v>
      </c>
      <c r="G40" s="497">
        <v>220</v>
      </c>
      <c r="H40" s="500"/>
      <c r="I40" s="501">
        <v>40450</v>
      </c>
      <c r="J40" s="488">
        <f t="shared" si="0"/>
        <v>2.7899136052238691</v>
      </c>
      <c r="O40" s="502"/>
    </row>
    <row r="41" spans="1:15" ht="11.25" x14ac:dyDescent="0.15">
      <c r="A41" s="497">
        <v>4108</v>
      </c>
      <c r="B41" s="498" t="s">
        <v>637</v>
      </c>
      <c r="C41" s="499" t="s">
        <v>632</v>
      </c>
      <c r="D41" s="499"/>
      <c r="E41" s="498">
        <v>4.5</v>
      </c>
      <c r="F41" s="497">
        <f>+E41*G5</f>
        <v>195884.26140498288</v>
      </c>
      <c r="G41" s="497">
        <v>220</v>
      </c>
      <c r="H41" s="500"/>
      <c r="I41" s="501">
        <v>61438</v>
      </c>
      <c r="J41" s="488">
        <f t="shared" si="0"/>
        <v>3.1883241870663577</v>
      </c>
      <c r="O41" s="502"/>
    </row>
    <row r="42" spans="1:15" ht="11.25" x14ac:dyDescent="0.15">
      <c r="A42" s="497">
        <v>4109</v>
      </c>
      <c r="B42" s="498" t="s">
        <v>638</v>
      </c>
      <c r="C42" s="499" t="s">
        <v>632</v>
      </c>
      <c r="D42" s="499" t="s">
        <v>424</v>
      </c>
      <c r="E42" s="498" t="s">
        <v>611</v>
      </c>
      <c r="F42" s="497">
        <f>+Cuadrillas!H33</f>
        <v>112125.81341617562</v>
      </c>
      <c r="G42" s="497">
        <v>220</v>
      </c>
      <c r="H42" s="500"/>
      <c r="I42" s="501">
        <v>32336</v>
      </c>
      <c r="J42" s="488">
        <f t="shared" si="0"/>
        <v>3.4675226811038971</v>
      </c>
      <c r="O42" s="502"/>
    </row>
    <row r="43" spans="1:15" ht="11.25" x14ac:dyDescent="0.15">
      <c r="A43" s="497">
        <v>4110</v>
      </c>
      <c r="B43" s="498" t="s">
        <v>639</v>
      </c>
      <c r="C43" s="499" t="s">
        <v>632</v>
      </c>
      <c r="D43" s="499" t="s">
        <v>424</v>
      </c>
      <c r="E43" s="498" t="s">
        <v>611</v>
      </c>
      <c r="F43" s="497">
        <f>+Cuadrillas!H36</f>
        <v>161378.36762376691</v>
      </c>
      <c r="G43" s="497">
        <v>220</v>
      </c>
      <c r="H43" s="500"/>
      <c r="I43" s="501">
        <v>61438</v>
      </c>
      <c r="J43" s="488">
        <f t="shared" si="0"/>
        <v>2.6266865396622108</v>
      </c>
      <c r="O43" s="502"/>
    </row>
    <row r="44" spans="1:15" ht="11.25" x14ac:dyDescent="0.15">
      <c r="A44" s="497">
        <v>4111</v>
      </c>
      <c r="B44" s="498" t="s">
        <v>640</v>
      </c>
      <c r="C44" s="499" t="s">
        <v>632</v>
      </c>
      <c r="D44" s="499" t="s">
        <v>427</v>
      </c>
      <c r="E44" s="498"/>
      <c r="F44" s="497">
        <f>+Cuadrillas!E33</f>
        <v>86250.625704750462</v>
      </c>
      <c r="G44" s="497">
        <v>220</v>
      </c>
      <c r="H44" s="500"/>
      <c r="I44" s="501">
        <v>16168</v>
      </c>
      <c r="J44" s="488">
        <f t="shared" si="0"/>
        <v>5.3346502786213792</v>
      </c>
      <c r="O44" s="502"/>
    </row>
    <row r="45" spans="1:15" ht="11.25" x14ac:dyDescent="0.15">
      <c r="A45" s="497">
        <v>4112</v>
      </c>
      <c r="B45" s="498" t="s">
        <v>641</v>
      </c>
      <c r="C45" s="499" t="s">
        <v>632</v>
      </c>
      <c r="D45" s="499" t="s">
        <v>424</v>
      </c>
      <c r="E45" s="498" t="s">
        <v>611</v>
      </c>
      <c r="F45" s="497">
        <f>+Cuadrillas!G33</f>
        <v>94091.591677909586</v>
      </c>
      <c r="G45" s="497">
        <v>220</v>
      </c>
      <c r="H45" s="500"/>
      <c r="I45" s="501">
        <v>32336</v>
      </c>
      <c r="J45" s="488">
        <f t="shared" si="0"/>
        <v>2.9098092428843887</v>
      </c>
      <c r="O45" s="502"/>
    </row>
    <row r="46" spans="1:15" ht="11.25" x14ac:dyDescent="0.15">
      <c r="A46" s="497">
        <v>4115</v>
      </c>
      <c r="B46" s="498" t="s">
        <v>642</v>
      </c>
      <c r="C46" s="499" t="s">
        <v>632</v>
      </c>
      <c r="D46" s="499" t="s">
        <v>424</v>
      </c>
      <c r="E46" s="498" t="s">
        <v>611</v>
      </c>
      <c r="F46" s="497">
        <f>+Cuadrillas!E36</f>
        <v>124137.20586443608</v>
      </c>
      <c r="G46" s="497">
        <v>220</v>
      </c>
      <c r="H46" s="500"/>
      <c r="I46" s="501">
        <v>51737</v>
      </c>
      <c r="J46" s="488">
        <f t="shared" si="0"/>
        <v>2.3993893318985653</v>
      </c>
      <c r="O46" s="502"/>
    </row>
    <row r="47" spans="1:15" ht="11.25" x14ac:dyDescent="0.15">
      <c r="A47" s="497">
        <v>4116</v>
      </c>
      <c r="B47" s="498" t="s">
        <v>643</v>
      </c>
      <c r="C47" s="499" t="s">
        <v>632</v>
      </c>
      <c r="D47" s="499" t="s">
        <v>424</v>
      </c>
      <c r="E47" s="498" t="s">
        <v>611</v>
      </c>
      <c r="F47" s="497">
        <f>+Cuadrillas!E36</f>
        <v>124137.20586443608</v>
      </c>
      <c r="G47" s="497">
        <v>220</v>
      </c>
      <c r="H47" s="500"/>
      <c r="I47" s="501">
        <v>51737</v>
      </c>
      <c r="J47" s="488">
        <f t="shared" si="0"/>
        <v>2.3993893318985653</v>
      </c>
      <c r="O47" s="502"/>
    </row>
    <row r="48" spans="1:15" ht="11.25" x14ac:dyDescent="0.15">
      <c r="A48" s="497">
        <v>5646</v>
      </c>
      <c r="B48" s="498" t="s">
        <v>644</v>
      </c>
      <c r="C48" s="499" t="s">
        <v>608</v>
      </c>
      <c r="D48" s="499"/>
      <c r="E48" s="498" t="s">
        <v>645</v>
      </c>
      <c r="F48" s="497">
        <v>7427000</v>
      </c>
      <c r="G48" s="497">
        <v>123</v>
      </c>
      <c r="H48" s="500"/>
      <c r="I48" s="501">
        <v>4149702</v>
      </c>
      <c r="J48" s="488">
        <f t="shared" si="0"/>
        <v>1.7897670724307433</v>
      </c>
      <c r="O48" s="502"/>
    </row>
    <row r="49" spans="1:15" ht="11.25" x14ac:dyDescent="0.15">
      <c r="A49" s="497">
        <v>5836</v>
      </c>
      <c r="B49" s="498" t="s">
        <v>646</v>
      </c>
      <c r="C49" s="499" t="s">
        <v>608</v>
      </c>
      <c r="D49" s="499"/>
      <c r="E49" s="498" t="s">
        <v>645</v>
      </c>
      <c r="F49" s="497">
        <v>5661000</v>
      </c>
      <c r="G49" s="497">
        <v>123</v>
      </c>
      <c r="H49" s="500"/>
      <c r="I49" s="501">
        <v>3162451</v>
      </c>
      <c r="J49" s="488">
        <f t="shared" si="0"/>
        <v>1.7900672611212001</v>
      </c>
      <c r="O49" s="502"/>
    </row>
    <row r="50" spans="1:15" ht="11.25" x14ac:dyDescent="0.15">
      <c r="A50" s="497">
        <v>5837</v>
      </c>
      <c r="B50" s="498" t="s">
        <v>647</v>
      </c>
      <c r="C50" s="499" t="s">
        <v>608</v>
      </c>
      <c r="D50" s="499"/>
      <c r="E50" s="498" t="s">
        <v>645</v>
      </c>
      <c r="F50" s="497">
        <v>4777000</v>
      </c>
      <c r="G50" s="497">
        <v>123</v>
      </c>
      <c r="H50" s="500"/>
      <c r="I50" s="501">
        <v>2668246</v>
      </c>
      <c r="J50" s="488">
        <f t="shared" si="0"/>
        <v>1.7903146861271413</v>
      </c>
      <c r="O50" s="502"/>
    </row>
    <row r="51" spans="1:15" ht="11.25" x14ac:dyDescent="0.15">
      <c r="A51" s="497">
        <v>5839</v>
      </c>
      <c r="B51" s="498" t="s">
        <v>648</v>
      </c>
      <c r="C51" s="499" t="s">
        <v>608</v>
      </c>
      <c r="D51" s="499"/>
      <c r="E51" s="498" t="s">
        <v>645</v>
      </c>
      <c r="F51" s="497">
        <v>4067000</v>
      </c>
      <c r="G51" s="497">
        <v>123</v>
      </c>
      <c r="H51" s="500"/>
      <c r="I51" s="501">
        <v>2227649</v>
      </c>
      <c r="J51" s="488">
        <f t="shared" si="0"/>
        <v>1.8256915699017215</v>
      </c>
      <c r="O51" s="502"/>
    </row>
    <row r="52" spans="1:15" ht="11.25" x14ac:dyDescent="0.15">
      <c r="A52" s="497">
        <v>5849</v>
      </c>
      <c r="B52" s="498" t="s">
        <v>649</v>
      </c>
      <c r="C52" s="499" t="s">
        <v>608</v>
      </c>
      <c r="D52" s="499"/>
      <c r="E52" s="498" t="s">
        <v>645</v>
      </c>
      <c r="F52" s="497">
        <v>3668000</v>
      </c>
      <c r="G52" s="497">
        <v>123</v>
      </c>
      <c r="H52" s="500"/>
      <c r="I52" s="501">
        <v>2049909</v>
      </c>
      <c r="J52" s="488">
        <f t="shared" si="0"/>
        <v>1.7893477222647445</v>
      </c>
      <c r="O52" s="502"/>
    </row>
    <row r="53" spans="1:15" ht="11.25" x14ac:dyDescent="0.15">
      <c r="A53" s="497">
        <v>5898</v>
      </c>
      <c r="B53" s="498" t="s">
        <v>650</v>
      </c>
      <c r="C53" s="499" t="s">
        <v>608</v>
      </c>
      <c r="D53" s="499"/>
      <c r="E53" s="498" t="s">
        <v>645</v>
      </c>
      <c r="F53" s="497">
        <v>3272000</v>
      </c>
      <c r="G53" s="497">
        <v>123</v>
      </c>
      <c r="H53" s="500"/>
      <c r="I53" s="501">
        <v>1828328</v>
      </c>
      <c r="J53" s="488">
        <f t="shared" si="0"/>
        <v>1.7896132422628763</v>
      </c>
      <c r="O53" s="502"/>
    </row>
    <row r="54" spans="1:15" ht="11.25" x14ac:dyDescent="0.15">
      <c r="A54" s="497">
        <v>5969</v>
      </c>
      <c r="B54" s="498" t="s">
        <v>651</v>
      </c>
      <c r="C54" s="499" t="s">
        <v>608</v>
      </c>
      <c r="D54" s="499"/>
      <c r="E54" s="498" t="s">
        <v>645</v>
      </c>
      <c r="F54" s="497">
        <v>2473000</v>
      </c>
      <c r="G54" s="497">
        <v>123</v>
      </c>
      <c r="H54" s="500"/>
      <c r="I54" s="501">
        <v>1382847</v>
      </c>
      <c r="J54" s="488">
        <f t="shared" si="0"/>
        <v>1.7883395632343997</v>
      </c>
      <c r="O54" s="502"/>
    </row>
    <row r="55" spans="1:15" ht="11.25" x14ac:dyDescent="0.15">
      <c r="A55" s="497">
        <v>5990</v>
      </c>
      <c r="B55" s="498" t="s">
        <v>652</v>
      </c>
      <c r="C55" s="499" t="s">
        <v>608</v>
      </c>
      <c r="D55" s="499"/>
      <c r="E55" s="498" t="s">
        <v>645</v>
      </c>
      <c r="F55" s="497">
        <v>2334000</v>
      </c>
      <c r="G55" s="497">
        <v>123</v>
      </c>
      <c r="H55" s="500"/>
      <c r="I55" s="501">
        <v>1303960</v>
      </c>
      <c r="J55" s="488">
        <f>+F55/I55</f>
        <v>1.7899322065094021</v>
      </c>
      <c r="O55" s="502"/>
    </row>
    <row r="56" spans="1:15" ht="11.25" x14ac:dyDescent="0.15">
      <c r="A56" s="497">
        <v>5986</v>
      </c>
      <c r="B56" s="498" t="s">
        <v>653</v>
      </c>
      <c r="C56" s="499" t="s">
        <v>610</v>
      </c>
      <c r="D56" s="499" t="s">
        <v>427</v>
      </c>
      <c r="E56" s="498" t="s">
        <v>611</v>
      </c>
      <c r="F56" s="497">
        <f>+Cuadrillas!E52</f>
        <v>10781.328213093808</v>
      </c>
      <c r="G56" s="497">
        <v>220</v>
      </c>
      <c r="H56" s="500"/>
      <c r="I56" s="501">
        <v>3336</v>
      </c>
      <c r="J56" s="488">
        <f t="shared" si="0"/>
        <v>3.2318130135173284</v>
      </c>
      <c r="O56" s="502"/>
    </row>
    <row r="57" spans="1:15" ht="11.25" x14ac:dyDescent="0.15">
      <c r="A57" s="497">
        <v>5987</v>
      </c>
      <c r="B57" s="498" t="s">
        <v>654</v>
      </c>
      <c r="C57" s="499" t="s">
        <v>610</v>
      </c>
      <c r="D57" s="499" t="s">
        <v>427</v>
      </c>
      <c r="E57" s="498" t="s">
        <v>611</v>
      </c>
      <c r="F57" s="497">
        <f>+Cuadrillas!E54</f>
        <v>15517.15073305451</v>
      </c>
      <c r="G57" s="497">
        <v>220</v>
      </c>
      <c r="H57" s="500"/>
      <c r="I57" s="501">
        <v>4810</v>
      </c>
      <c r="J57" s="488">
        <f t="shared" si="0"/>
        <v>3.2260188634208959</v>
      </c>
      <c r="O57" s="502"/>
    </row>
    <row r="58" spans="1:15" ht="11.25" x14ac:dyDescent="0.15">
      <c r="A58" s="497">
        <v>5988</v>
      </c>
      <c r="B58" s="498" t="s">
        <v>655</v>
      </c>
      <c r="C58" s="499" t="s">
        <v>656</v>
      </c>
      <c r="D58" s="499" t="s">
        <v>424</v>
      </c>
      <c r="E58" s="498" t="s">
        <v>611</v>
      </c>
      <c r="F58" s="497">
        <f>+Cuadrillas!E55</f>
        <v>26298.478946148316</v>
      </c>
      <c r="G58" s="497">
        <v>220</v>
      </c>
      <c r="H58" s="500"/>
      <c r="I58" s="501">
        <v>8145</v>
      </c>
      <c r="J58" s="488">
        <f t="shared" si="0"/>
        <v>3.2287880842416596</v>
      </c>
      <c r="O58" s="502"/>
    </row>
    <row r="59" spans="1:15" ht="11.25" x14ac:dyDescent="0.15">
      <c r="A59" s="497">
        <v>5989</v>
      </c>
      <c r="B59" s="498" t="s">
        <v>657</v>
      </c>
      <c r="C59" s="499" t="s">
        <v>656</v>
      </c>
      <c r="D59" s="499" t="s">
        <v>424</v>
      </c>
      <c r="E59" s="498" t="s">
        <v>611</v>
      </c>
      <c r="F59" s="497">
        <f>+Cuadrillas!E55+Cuadrillas!E52</f>
        <v>37079.807159242126</v>
      </c>
      <c r="G59" s="497">
        <v>220</v>
      </c>
      <c r="H59" s="500"/>
      <c r="I59" s="501">
        <v>11550</v>
      </c>
      <c r="J59" s="488">
        <f t="shared" si="0"/>
        <v>3.2103729142200974</v>
      </c>
      <c r="O59" s="502"/>
    </row>
    <row r="60" spans="1:15" ht="11.25" x14ac:dyDescent="0.15">
      <c r="A60" s="497">
        <v>5991</v>
      </c>
      <c r="B60" s="498" t="s">
        <v>658</v>
      </c>
      <c r="C60" s="499" t="s">
        <v>608</v>
      </c>
      <c r="D60" s="499" t="s">
        <v>424</v>
      </c>
      <c r="E60" s="498">
        <v>3.2</v>
      </c>
      <c r="F60" s="497">
        <f>+E60*$F$4</f>
        <v>2349662.64</v>
      </c>
      <c r="G60" s="497">
        <v>220</v>
      </c>
      <c r="H60" s="500"/>
      <c r="I60" s="501">
        <v>756672</v>
      </c>
      <c r="J60" s="488">
        <f t="shared" si="0"/>
        <v>3.1052591347373766</v>
      </c>
      <c r="O60" s="502"/>
    </row>
    <row r="61" spans="1:15" ht="11.25" x14ac:dyDescent="0.15">
      <c r="A61" s="497">
        <v>5992</v>
      </c>
      <c r="B61" s="498" t="s">
        <v>659</v>
      </c>
      <c r="C61" s="499" t="s">
        <v>17</v>
      </c>
      <c r="D61" s="499" t="s">
        <v>424</v>
      </c>
      <c r="E61" s="498" t="s">
        <v>611</v>
      </c>
      <c r="F61" s="497">
        <f>+Cuadrillas!F40</f>
        <v>38419.686969509406</v>
      </c>
      <c r="G61" s="497">
        <v>220</v>
      </c>
      <c r="H61" s="500"/>
      <c r="I61" s="501">
        <v>11899</v>
      </c>
      <c r="J61" s="488">
        <f t="shared" si="0"/>
        <v>3.2288164526018495</v>
      </c>
      <c r="O61" s="502"/>
    </row>
    <row r="62" spans="1:15" ht="11.25" x14ac:dyDescent="0.15">
      <c r="A62" s="497">
        <v>5995</v>
      </c>
      <c r="B62" s="498" t="s">
        <v>660</v>
      </c>
      <c r="C62" s="499" t="s">
        <v>656</v>
      </c>
      <c r="D62" s="499" t="s">
        <v>424</v>
      </c>
      <c r="E62" s="498" t="s">
        <v>611</v>
      </c>
      <c r="F62" s="497">
        <f>+Cuadrillas!D55</f>
        <v>23907.708132862106</v>
      </c>
      <c r="G62" s="497">
        <v>220</v>
      </c>
      <c r="H62" s="500"/>
      <c r="I62" s="501">
        <v>7405</v>
      </c>
      <c r="J62" s="488">
        <f t="shared" si="0"/>
        <v>3.2285898896505207</v>
      </c>
      <c r="O62" s="502"/>
    </row>
    <row r="63" spans="1:15" ht="11.25" x14ac:dyDescent="0.15">
      <c r="A63" s="497">
        <v>5996</v>
      </c>
      <c r="B63" s="498" t="s">
        <v>661</v>
      </c>
      <c r="C63" s="499" t="s">
        <v>656</v>
      </c>
      <c r="D63" s="499" t="s">
        <v>424</v>
      </c>
      <c r="E63" s="498" t="s">
        <v>611</v>
      </c>
      <c r="F63" s="497">
        <f>+Cuadrillas!E55</f>
        <v>26298.478946148316</v>
      </c>
      <c r="G63" s="497">
        <v>220</v>
      </c>
      <c r="H63" s="500"/>
      <c r="I63" s="501">
        <v>8145</v>
      </c>
      <c r="J63" s="488">
        <f t="shared" si="0"/>
        <v>3.2287880842416596</v>
      </c>
      <c r="O63" s="502"/>
    </row>
    <row r="64" spans="1:15" ht="11.25" x14ac:dyDescent="0.15">
      <c r="A64" s="497">
        <v>5997</v>
      </c>
      <c r="B64" s="498" t="s">
        <v>662</v>
      </c>
      <c r="C64" s="499" t="s">
        <v>656</v>
      </c>
      <c r="D64" s="499" t="s">
        <v>424</v>
      </c>
      <c r="E64" s="498" t="s">
        <v>611</v>
      </c>
      <c r="F64" s="497">
        <f>+Cuadrillas!F55</f>
        <v>27493.864352791417</v>
      </c>
      <c r="G64" s="497">
        <v>220</v>
      </c>
      <c r="H64" s="500"/>
      <c r="I64" s="501">
        <v>8515</v>
      </c>
      <c r="J64" s="488">
        <f t="shared" si="0"/>
        <v>3.2288742633930028</v>
      </c>
      <c r="O64" s="502"/>
    </row>
    <row r="65" spans="1:15" ht="11.25" x14ac:dyDescent="0.15">
      <c r="A65" s="497">
        <v>5998</v>
      </c>
      <c r="B65" s="498" t="s">
        <v>663</v>
      </c>
      <c r="C65" s="499" t="s">
        <v>656</v>
      </c>
      <c r="D65" s="499" t="s">
        <v>424</v>
      </c>
      <c r="E65" s="498" t="s">
        <v>611</v>
      </c>
      <c r="F65" s="497">
        <f>+Cuadrillas!G55</f>
        <v>28689.249759434526</v>
      </c>
      <c r="G65" s="497">
        <v>220</v>
      </c>
      <c r="H65" s="500"/>
      <c r="I65" s="501">
        <v>8886</v>
      </c>
      <c r="J65" s="488">
        <f t="shared" si="0"/>
        <v>3.2285898896505207</v>
      </c>
      <c r="O65" s="502"/>
    </row>
    <row r="66" spans="1:15" ht="12.75" x14ac:dyDescent="0.2">
      <c r="A66" s="497">
        <v>5977</v>
      </c>
      <c r="B66" s="498" t="s">
        <v>664</v>
      </c>
      <c r="C66" s="499" t="s">
        <v>656</v>
      </c>
      <c r="D66" s="499" t="s">
        <v>424</v>
      </c>
      <c r="E66" s="498" t="s">
        <v>611</v>
      </c>
      <c r="F66" s="497">
        <f>+Cuadrillas!H55</f>
        <v>34188.022629992818</v>
      </c>
      <c r="G66" s="497">
        <v>220</v>
      </c>
      <c r="H66" s="503"/>
      <c r="I66" s="504"/>
      <c r="J66" s="488"/>
    </row>
    <row r="67" spans="1:15" ht="12.75" x14ac:dyDescent="0.2">
      <c r="A67" s="493"/>
      <c r="B67" s="494"/>
      <c r="C67" s="494"/>
      <c r="D67" s="494"/>
      <c r="E67" s="494"/>
      <c r="F67" s="495"/>
      <c r="G67" s="495"/>
      <c r="H67" s="503"/>
      <c r="I67" s="504"/>
      <c r="J67" s="488"/>
    </row>
    <row r="68" spans="1:15" ht="12.75" x14ac:dyDescent="0.2">
      <c r="A68" s="493"/>
      <c r="B68" s="494"/>
      <c r="C68" s="494"/>
      <c r="D68" s="494"/>
      <c r="E68" s="494"/>
      <c r="F68" s="495"/>
      <c r="G68" s="495"/>
      <c r="H68" s="503"/>
      <c r="I68" s="504"/>
      <c r="J68" s="488"/>
    </row>
    <row r="69" spans="1:15" ht="12.75" x14ac:dyDescent="0.2">
      <c r="A69" s="493"/>
      <c r="B69" s="494"/>
      <c r="C69" s="494"/>
      <c r="D69" s="494"/>
      <c r="E69" s="494"/>
      <c r="F69" s="495"/>
      <c r="G69" s="495"/>
      <c r="H69" s="503"/>
      <c r="I69" s="504"/>
      <c r="J69" s="488"/>
    </row>
    <row r="70" spans="1:15" ht="12.75" x14ac:dyDescent="0.2">
      <c r="A70" s="493"/>
      <c r="B70" s="494"/>
      <c r="C70" s="494"/>
      <c r="D70" s="494"/>
      <c r="E70" s="494"/>
      <c r="F70" s="495"/>
      <c r="G70" s="495"/>
      <c r="H70" s="503"/>
      <c r="I70" s="504"/>
      <c r="J70" s="488"/>
    </row>
    <row r="71" spans="1:15" ht="12.75" x14ac:dyDescent="0.2">
      <c r="G71" s="487"/>
      <c r="H71" s="503"/>
      <c r="I71" s="504"/>
      <c r="J71" s="488"/>
    </row>
    <row r="72" spans="1:15" ht="12.75" x14ac:dyDescent="0.2">
      <c r="G72" s="487"/>
      <c r="H72" s="503"/>
      <c r="I72" s="504"/>
      <c r="J72" s="488"/>
    </row>
    <row r="73" spans="1:15" ht="12.75" x14ac:dyDescent="0.2">
      <c r="G73" s="487"/>
      <c r="H73" s="503"/>
      <c r="I73" s="504"/>
      <c r="J73" s="488"/>
    </row>
    <row r="74" spans="1:15" ht="12.75" x14ac:dyDescent="0.2">
      <c r="G74" s="487"/>
      <c r="H74" s="503"/>
      <c r="I74" s="504"/>
      <c r="J74" s="488"/>
    </row>
    <row r="75" spans="1:15" ht="12.75" x14ac:dyDescent="0.2">
      <c r="G75" s="487"/>
      <c r="H75" s="503"/>
      <c r="I75" s="504"/>
      <c r="J75" s="488"/>
    </row>
    <row r="76" spans="1:15" ht="12.75" x14ac:dyDescent="0.2">
      <c r="G76" s="487"/>
      <c r="H76" s="503"/>
      <c r="I76" s="504"/>
      <c r="J76" s="488"/>
    </row>
    <row r="77" spans="1:15" ht="12.75" x14ac:dyDescent="0.2">
      <c r="I77" s="503"/>
      <c r="J77" s="504"/>
    </row>
    <row r="78" spans="1:15" ht="12.75" x14ac:dyDescent="0.2">
      <c r="I78" s="503"/>
      <c r="J78" s="504"/>
    </row>
    <row r="79" spans="1:15" ht="12.75" x14ac:dyDescent="0.2">
      <c r="I79" s="503"/>
      <c r="J79" s="504"/>
    </row>
    <row r="80" spans="1:15" ht="12.75" x14ac:dyDescent="0.2">
      <c r="I80" s="503"/>
      <c r="J80" s="504"/>
    </row>
    <row r="81" spans="9:10" ht="12.75" x14ac:dyDescent="0.2">
      <c r="I81" s="503"/>
      <c r="J81" s="504"/>
    </row>
    <row r="82" spans="9:10" ht="12.75" x14ac:dyDescent="0.2">
      <c r="I82" s="503"/>
      <c r="J82" s="504"/>
    </row>
    <row r="83" spans="9:10" ht="12.75" x14ac:dyDescent="0.2">
      <c r="I83" s="503"/>
      <c r="J83" s="504"/>
    </row>
  </sheetData>
  <mergeCells count="5">
    <mergeCell ref="A1:G1"/>
    <mergeCell ref="B4:C4"/>
    <mergeCell ref="B5:C5"/>
    <mergeCell ref="B6:C6"/>
    <mergeCell ref="B7:C7"/>
  </mergeCells>
  <printOptions gridLines="1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15"/>
  <sheetViews>
    <sheetView view="pageBreakPreview" topLeftCell="A13" zoomScaleNormal="70" zoomScaleSheetLayoutView="100" zoomScalePageLayoutView="70" workbookViewId="0">
      <selection activeCell="B33" sqref="B33"/>
    </sheetView>
  </sheetViews>
  <sheetFormatPr baseColWidth="10" defaultColWidth="11.42578125" defaultRowHeight="15" x14ac:dyDescent="0.25"/>
  <cols>
    <col min="1" max="1" width="23" style="538" customWidth="1"/>
    <col min="2" max="2" width="39.140625" customWidth="1"/>
    <col min="3" max="3" width="23" customWidth="1"/>
  </cols>
  <sheetData>
    <row r="1" spans="1:3" ht="15.75" thickBot="1" x14ac:dyDescent="0.3"/>
    <row r="2" spans="1:3" ht="15.75" thickTop="1" x14ac:dyDescent="0.25">
      <c r="A2" s="543"/>
      <c r="B2" s="544"/>
      <c r="C2" s="545"/>
    </row>
    <row r="3" spans="1:3" x14ac:dyDescent="0.25">
      <c r="A3" s="546"/>
      <c r="B3" s="539"/>
      <c r="C3" s="547"/>
    </row>
    <row r="4" spans="1:3" x14ac:dyDescent="0.25">
      <c r="A4" s="546"/>
      <c r="B4" s="539"/>
      <c r="C4" s="547"/>
    </row>
    <row r="5" spans="1:3" x14ac:dyDescent="0.25">
      <c r="A5" s="546"/>
      <c r="B5" s="539"/>
      <c r="C5" s="547"/>
    </row>
    <row r="6" spans="1:3" x14ac:dyDescent="0.25">
      <c r="A6" s="546"/>
      <c r="B6" s="539"/>
      <c r="C6" s="547"/>
    </row>
    <row r="7" spans="1:3" x14ac:dyDescent="0.25">
      <c r="A7" s="548" t="s">
        <v>665</v>
      </c>
      <c r="B7" s="540" t="s">
        <v>1</v>
      </c>
      <c r="C7" s="547"/>
    </row>
    <row r="8" spans="1:3" x14ac:dyDescent="0.25">
      <c r="A8" s="548" t="s">
        <v>666</v>
      </c>
      <c r="B8" s="554" t="s">
        <v>667</v>
      </c>
      <c r="C8" s="547"/>
    </row>
    <row r="9" spans="1:3" x14ac:dyDescent="0.25">
      <c r="A9" s="548" t="s">
        <v>668</v>
      </c>
      <c r="B9" s="540" t="s">
        <v>669</v>
      </c>
      <c r="C9" s="547"/>
    </row>
    <row r="10" spans="1:3" x14ac:dyDescent="0.25">
      <c r="A10" s="548" t="s">
        <v>670</v>
      </c>
      <c r="B10" s="588" t="s">
        <v>671</v>
      </c>
      <c r="C10" s="547"/>
    </row>
    <row r="11" spans="1:3" ht="15.75" thickBot="1" x14ac:dyDescent="0.3">
      <c r="A11" s="549"/>
      <c r="B11" s="541"/>
      <c r="C11" s="550"/>
    </row>
    <row r="12" spans="1:3" ht="21.75" thickBot="1" x14ac:dyDescent="0.3">
      <c r="A12" s="838" t="s">
        <v>672</v>
      </c>
      <c r="B12" s="839"/>
      <c r="C12" s="840"/>
    </row>
    <row r="13" spans="1:3" ht="15.75" thickBot="1" x14ac:dyDescent="0.3">
      <c r="A13" s="546"/>
      <c r="B13" s="539"/>
      <c r="C13" s="547"/>
    </row>
    <row r="14" spans="1:3" s="4" customFormat="1" ht="30" customHeight="1" thickTop="1" thickBot="1" x14ac:dyDescent="0.3">
      <c r="A14" s="559" t="s">
        <v>3</v>
      </c>
      <c r="B14" s="560" t="s">
        <v>673</v>
      </c>
      <c r="C14" s="560" t="s">
        <v>5</v>
      </c>
    </row>
    <row r="15" spans="1:3" s="5" customFormat="1" x14ac:dyDescent="0.25">
      <c r="A15" s="841" t="s">
        <v>674</v>
      </c>
      <c r="B15" s="842"/>
      <c r="C15" s="561"/>
    </row>
    <row r="16" spans="1:3" s="5" customFormat="1" x14ac:dyDescent="0.25">
      <c r="A16" s="562">
        <v>1</v>
      </c>
      <c r="B16" s="6" t="s">
        <v>675</v>
      </c>
      <c r="C16" s="563" t="s">
        <v>676</v>
      </c>
    </row>
    <row r="17" spans="1:3" s="5" customFormat="1" x14ac:dyDescent="0.25">
      <c r="A17" s="562">
        <v>2</v>
      </c>
      <c r="B17" s="6" t="s">
        <v>677</v>
      </c>
      <c r="C17" s="563" t="s">
        <v>676</v>
      </c>
    </row>
    <row r="18" spans="1:3" s="5" customFormat="1" x14ac:dyDescent="0.25">
      <c r="A18" s="562">
        <v>3</v>
      </c>
      <c r="B18" s="6" t="s">
        <v>678</v>
      </c>
      <c r="C18" s="563" t="s">
        <v>676</v>
      </c>
    </row>
    <row r="19" spans="1:3" s="5" customFormat="1" x14ac:dyDescent="0.25">
      <c r="A19" s="562">
        <v>4</v>
      </c>
      <c r="B19" s="6" t="s">
        <v>679</v>
      </c>
      <c r="C19" s="563" t="s">
        <v>676</v>
      </c>
    </row>
    <row r="20" spans="1:3" s="5" customFormat="1" x14ac:dyDescent="0.25">
      <c r="A20" s="562">
        <v>5</v>
      </c>
      <c r="B20" s="6" t="s">
        <v>680</v>
      </c>
      <c r="C20" s="563" t="s">
        <v>676</v>
      </c>
    </row>
    <row r="21" spans="1:3" s="5" customFormat="1" x14ac:dyDescent="0.25">
      <c r="A21" s="562">
        <v>6</v>
      </c>
      <c r="B21" s="6" t="s">
        <v>681</v>
      </c>
      <c r="C21" s="563" t="s">
        <v>676</v>
      </c>
    </row>
    <row r="22" spans="1:3" s="5" customFormat="1" x14ac:dyDescent="0.25">
      <c r="A22" s="562">
        <v>7</v>
      </c>
      <c r="B22" s="6" t="s">
        <v>682</v>
      </c>
      <c r="C22" s="563" t="s">
        <v>676</v>
      </c>
    </row>
    <row r="23" spans="1:3" s="5" customFormat="1" x14ac:dyDescent="0.25">
      <c r="A23" s="562">
        <v>8</v>
      </c>
      <c r="B23" s="6" t="s">
        <v>683</v>
      </c>
      <c r="C23" s="563" t="s">
        <v>676</v>
      </c>
    </row>
    <row r="24" spans="1:3" s="5" customFormat="1" x14ac:dyDescent="0.25">
      <c r="A24" s="562">
        <v>9</v>
      </c>
      <c r="B24" s="6" t="s">
        <v>684</v>
      </c>
      <c r="C24" s="563" t="s">
        <v>676</v>
      </c>
    </row>
    <row r="25" spans="1:3" s="5" customFormat="1" x14ac:dyDescent="0.25">
      <c r="A25" s="562">
        <v>10</v>
      </c>
      <c r="B25" s="6" t="s">
        <v>685</v>
      </c>
      <c r="C25" s="563" t="s">
        <v>676</v>
      </c>
    </row>
    <row r="26" spans="1:3" s="5" customFormat="1" x14ac:dyDescent="0.25">
      <c r="A26" s="562">
        <v>11</v>
      </c>
      <c r="B26" s="6" t="s">
        <v>686</v>
      </c>
      <c r="C26" s="563" t="s">
        <v>687</v>
      </c>
    </row>
    <row r="27" spans="1:3" s="5" customFormat="1" x14ac:dyDescent="0.25">
      <c r="A27" s="562">
        <v>12</v>
      </c>
      <c r="B27" s="6" t="s">
        <v>124</v>
      </c>
      <c r="C27" s="563" t="s">
        <v>125</v>
      </c>
    </row>
    <row r="28" spans="1:3" s="4" customFormat="1" x14ac:dyDescent="0.25">
      <c r="A28" s="836" t="s">
        <v>11</v>
      </c>
      <c r="B28" s="837"/>
      <c r="C28" s="564"/>
    </row>
    <row r="29" spans="1:3" x14ac:dyDescent="0.25">
      <c r="A29" s="562" t="s">
        <v>13</v>
      </c>
      <c r="B29" s="6" t="s">
        <v>14</v>
      </c>
      <c r="C29" s="563" t="s">
        <v>688</v>
      </c>
    </row>
    <row r="30" spans="1:3" x14ac:dyDescent="0.25">
      <c r="A30" s="562" t="s">
        <v>286</v>
      </c>
      <c r="B30" s="6" t="s">
        <v>14</v>
      </c>
      <c r="C30" s="563" t="s">
        <v>687</v>
      </c>
    </row>
    <row r="31" spans="1:3" x14ac:dyDescent="0.25">
      <c r="A31" s="562" t="s">
        <v>689</v>
      </c>
      <c r="B31" s="7" t="s">
        <v>690</v>
      </c>
      <c r="C31" s="565" t="s">
        <v>691</v>
      </c>
    </row>
    <row r="32" spans="1:3" x14ac:dyDescent="0.25">
      <c r="A32" s="566" t="s">
        <v>289</v>
      </c>
      <c r="B32" s="6" t="s">
        <v>290</v>
      </c>
      <c r="C32" s="563" t="s">
        <v>687</v>
      </c>
    </row>
    <row r="33" spans="1:3" x14ac:dyDescent="0.25">
      <c r="A33" s="566" t="s">
        <v>16</v>
      </c>
      <c r="B33" s="6" t="s">
        <v>692</v>
      </c>
      <c r="C33" s="563" t="s">
        <v>687</v>
      </c>
    </row>
    <row r="34" spans="1:3" ht="14.1" customHeight="1" x14ac:dyDescent="0.25">
      <c r="A34" s="836" t="s">
        <v>693</v>
      </c>
      <c r="B34" s="837"/>
      <c r="C34" s="567"/>
    </row>
    <row r="35" spans="1:3" x14ac:dyDescent="0.25">
      <c r="A35" s="562" t="s">
        <v>21</v>
      </c>
      <c r="B35" s="6" t="s">
        <v>376</v>
      </c>
      <c r="C35" s="563" t="s">
        <v>676</v>
      </c>
    </row>
    <row r="36" spans="1:3" x14ac:dyDescent="0.25">
      <c r="A36" s="562" t="s">
        <v>24</v>
      </c>
      <c r="B36" s="6" t="s">
        <v>25</v>
      </c>
      <c r="C36" s="563" t="s">
        <v>676</v>
      </c>
    </row>
    <row r="37" spans="1:3" x14ac:dyDescent="0.25">
      <c r="A37" s="562" t="s">
        <v>27</v>
      </c>
      <c r="B37" s="6" t="s">
        <v>294</v>
      </c>
      <c r="C37" s="563" t="s">
        <v>676</v>
      </c>
    </row>
    <row r="38" spans="1:3" x14ac:dyDescent="0.25">
      <c r="A38" s="562" t="s">
        <v>28</v>
      </c>
      <c r="B38" s="6" t="s">
        <v>694</v>
      </c>
      <c r="C38" s="563" t="s">
        <v>676</v>
      </c>
    </row>
    <row r="39" spans="1:3" ht="25.5" x14ac:dyDescent="0.25">
      <c r="A39" s="562" t="s">
        <v>29</v>
      </c>
      <c r="B39" s="6" t="s">
        <v>30</v>
      </c>
      <c r="C39" s="563" t="s">
        <v>676</v>
      </c>
    </row>
    <row r="40" spans="1:3" x14ac:dyDescent="0.25">
      <c r="A40" s="562" t="s">
        <v>31</v>
      </c>
      <c r="B40" s="6" t="s">
        <v>695</v>
      </c>
      <c r="C40" s="563" t="s">
        <v>676</v>
      </c>
    </row>
    <row r="41" spans="1:3" x14ac:dyDescent="0.25">
      <c r="A41" s="562" t="s">
        <v>32</v>
      </c>
      <c r="B41" s="6" t="s">
        <v>696</v>
      </c>
      <c r="C41" s="563" t="s">
        <v>676</v>
      </c>
    </row>
    <row r="42" spans="1:3" x14ac:dyDescent="0.25">
      <c r="A42" s="562" t="s">
        <v>33</v>
      </c>
      <c r="B42" s="6" t="s">
        <v>34</v>
      </c>
      <c r="C42" s="563" t="s">
        <v>676</v>
      </c>
    </row>
    <row r="43" spans="1:3" ht="25.5" x14ac:dyDescent="0.25">
      <c r="A43" s="562" t="s">
        <v>36</v>
      </c>
      <c r="B43" s="6" t="s">
        <v>37</v>
      </c>
      <c r="C43" s="563" t="s">
        <v>697</v>
      </c>
    </row>
    <row r="44" spans="1:3" x14ac:dyDescent="0.25">
      <c r="A44" s="562" t="s">
        <v>39</v>
      </c>
      <c r="B44" s="6" t="s">
        <v>40</v>
      </c>
      <c r="C44" s="563" t="s">
        <v>676</v>
      </c>
    </row>
    <row r="45" spans="1:3" x14ac:dyDescent="0.25">
      <c r="A45" s="562" t="s">
        <v>41</v>
      </c>
      <c r="B45" s="1" t="s">
        <v>698</v>
      </c>
      <c r="C45" s="563" t="s">
        <v>687</v>
      </c>
    </row>
    <row r="46" spans="1:3" x14ac:dyDescent="0.25">
      <c r="A46" s="562" t="s">
        <v>43</v>
      </c>
      <c r="B46" s="1" t="s">
        <v>699</v>
      </c>
      <c r="C46" s="563" t="s">
        <v>700</v>
      </c>
    </row>
    <row r="47" spans="1:3" ht="27" thickBot="1" x14ac:dyDescent="0.3">
      <c r="A47" s="568" t="s">
        <v>701</v>
      </c>
      <c r="B47" s="2" t="s">
        <v>702</v>
      </c>
      <c r="C47" s="577" t="s">
        <v>688</v>
      </c>
    </row>
    <row r="48" spans="1:3" ht="29.25" customHeight="1" x14ac:dyDescent="0.25">
      <c r="A48" s="568" t="s">
        <v>703</v>
      </c>
      <c r="B48" s="2" t="s">
        <v>704</v>
      </c>
      <c r="C48" s="563" t="s">
        <v>697</v>
      </c>
    </row>
    <row r="49" spans="1:3" ht="14.1" customHeight="1" x14ac:dyDescent="0.25">
      <c r="A49" s="836" t="s">
        <v>705</v>
      </c>
      <c r="B49" s="837"/>
      <c r="C49" s="567"/>
    </row>
    <row r="50" spans="1:3" x14ac:dyDescent="0.25">
      <c r="A50" s="562" t="s">
        <v>48</v>
      </c>
      <c r="B50" s="6" t="s">
        <v>49</v>
      </c>
      <c r="C50" s="563" t="s">
        <v>676</v>
      </c>
    </row>
    <row r="51" spans="1:3" x14ac:dyDescent="0.25">
      <c r="A51" s="562" t="s">
        <v>51</v>
      </c>
      <c r="B51" s="8" t="s">
        <v>52</v>
      </c>
      <c r="C51" s="563" t="s">
        <v>676</v>
      </c>
    </row>
    <row r="52" spans="1:3" x14ac:dyDescent="0.25">
      <c r="A52" s="562" t="s">
        <v>54</v>
      </c>
      <c r="B52" s="8" t="s">
        <v>55</v>
      </c>
      <c r="C52" s="563" t="s">
        <v>676</v>
      </c>
    </row>
    <row r="53" spans="1:3" x14ac:dyDescent="0.25">
      <c r="A53" s="562" t="s">
        <v>57</v>
      </c>
      <c r="B53" s="6" t="s">
        <v>58</v>
      </c>
      <c r="C53" s="563" t="s">
        <v>676</v>
      </c>
    </row>
    <row r="54" spans="1:3" x14ac:dyDescent="0.25">
      <c r="A54" s="562" t="s">
        <v>62</v>
      </c>
      <c r="B54" s="6" t="s">
        <v>63</v>
      </c>
      <c r="C54" s="563" t="s">
        <v>676</v>
      </c>
    </row>
    <row r="55" spans="1:3" x14ac:dyDescent="0.25">
      <c r="A55" s="566" t="s">
        <v>299</v>
      </c>
      <c r="B55" s="9" t="s">
        <v>300</v>
      </c>
      <c r="C55" s="563" t="s">
        <v>676</v>
      </c>
    </row>
    <row r="56" spans="1:3" ht="24.75" customHeight="1" x14ac:dyDescent="0.25">
      <c r="A56" s="566" t="s">
        <v>302</v>
      </c>
      <c r="B56" s="9" t="s">
        <v>303</v>
      </c>
      <c r="C56" s="563" t="s">
        <v>687</v>
      </c>
    </row>
    <row r="57" spans="1:3" ht="27.75" customHeight="1" x14ac:dyDescent="0.25">
      <c r="A57" s="566" t="s">
        <v>305</v>
      </c>
      <c r="B57" s="9" t="s">
        <v>306</v>
      </c>
      <c r="C57" s="563" t="s">
        <v>687</v>
      </c>
    </row>
    <row r="58" spans="1:3" x14ac:dyDescent="0.25">
      <c r="A58" s="566" t="s">
        <v>308</v>
      </c>
      <c r="B58" s="9" t="s">
        <v>309</v>
      </c>
      <c r="C58" s="563" t="s">
        <v>687</v>
      </c>
    </row>
    <row r="59" spans="1:3" ht="25.5" x14ac:dyDescent="0.25">
      <c r="A59" s="566" t="s">
        <v>311</v>
      </c>
      <c r="B59" s="6" t="s">
        <v>312</v>
      </c>
      <c r="C59" s="563" t="s">
        <v>687</v>
      </c>
    </row>
    <row r="60" spans="1:3" ht="31.5" customHeight="1" thickBot="1" x14ac:dyDescent="0.3">
      <c r="A60" s="566" t="s">
        <v>327</v>
      </c>
      <c r="B60" s="9" t="s">
        <v>328</v>
      </c>
      <c r="C60" s="577" t="s">
        <v>688</v>
      </c>
    </row>
    <row r="61" spans="1:3" ht="27.75" customHeight="1" x14ac:dyDescent="0.25">
      <c r="A61" s="566" t="s">
        <v>362</v>
      </c>
      <c r="B61" s="9" t="s">
        <v>363</v>
      </c>
      <c r="C61" s="563" t="s">
        <v>676</v>
      </c>
    </row>
    <row r="62" spans="1:3" ht="26.25" x14ac:dyDescent="0.25">
      <c r="A62" s="566" t="s">
        <v>365</v>
      </c>
      <c r="B62" s="9" t="s">
        <v>366</v>
      </c>
      <c r="C62" s="563" t="s">
        <v>676</v>
      </c>
    </row>
    <row r="63" spans="1:3" ht="27.75" customHeight="1" x14ac:dyDescent="0.25">
      <c r="A63" s="566" t="s">
        <v>368</v>
      </c>
      <c r="B63" s="9" t="s">
        <v>369</v>
      </c>
      <c r="C63" s="563" t="s">
        <v>687</v>
      </c>
    </row>
    <row r="64" spans="1:3" ht="26.25" x14ac:dyDescent="0.25">
      <c r="A64" s="566" t="s">
        <v>317</v>
      </c>
      <c r="B64" s="9" t="s">
        <v>318</v>
      </c>
      <c r="C64" s="563" t="s">
        <v>687</v>
      </c>
    </row>
    <row r="65" spans="1:4" x14ac:dyDescent="0.25">
      <c r="A65" s="836" t="s">
        <v>706</v>
      </c>
      <c r="B65" s="837"/>
      <c r="C65" s="567"/>
    </row>
    <row r="66" spans="1:4" ht="26.25" thickBot="1" x14ac:dyDescent="0.3">
      <c r="A66" s="566" t="s">
        <v>67</v>
      </c>
      <c r="B66" s="6" t="s">
        <v>325</v>
      </c>
      <c r="C66" s="577" t="s">
        <v>688</v>
      </c>
    </row>
    <row r="67" spans="1:4" ht="15.75" thickBot="1" x14ac:dyDescent="0.3">
      <c r="A67" s="571" t="s">
        <v>76</v>
      </c>
      <c r="B67" s="6" t="s">
        <v>77</v>
      </c>
      <c r="C67" s="577" t="s">
        <v>688</v>
      </c>
    </row>
    <row r="68" spans="1:4" x14ac:dyDescent="0.25">
      <c r="A68" s="562" t="s">
        <v>81</v>
      </c>
      <c r="B68" s="6" t="s">
        <v>82</v>
      </c>
      <c r="C68" s="563" t="s">
        <v>697</v>
      </c>
    </row>
    <row r="69" spans="1:4" x14ac:dyDescent="0.25">
      <c r="A69" s="562" t="s">
        <v>84</v>
      </c>
      <c r="B69" s="6" t="s">
        <v>85</v>
      </c>
      <c r="C69" s="563" t="s">
        <v>697</v>
      </c>
    </row>
    <row r="70" spans="1:4" ht="15.75" thickBot="1" x14ac:dyDescent="0.3">
      <c r="A70" s="562" t="s">
        <v>87</v>
      </c>
      <c r="B70" s="8" t="s">
        <v>707</v>
      </c>
      <c r="C70" s="577" t="s">
        <v>688</v>
      </c>
    </row>
    <row r="71" spans="1:4" ht="25.5" x14ac:dyDescent="0.25">
      <c r="A71" s="562" t="s">
        <v>90</v>
      </c>
      <c r="B71" s="1" t="s">
        <v>91</v>
      </c>
      <c r="C71" s="563" t="s">
        <v>697</v>
      </c>
    </row>
    <row r="72" spans="1:4" ht="25.5" x14ac:dyDescent="0.25">
      <c r="A72" s="566" t="s">
        <v>232</v>
      </c>
      <c r="B72" s="6" t="s">
        <v>708</v>
      </c>
      <c r="C72" s="563" t="s">
        <v>688</v>
      </c>
    </row>
    <row r="73" spans="1:4" x14ac:dyDescent="0.25">
      <c r="A73" s="566" t="s">
        <v>73</v>
      </c>
      <c r="B73" s="6" t="s">
        <v>709</v>
      </c>
      <c r="C73" s="563" t="s">
        <v>697</v>
      </c>
      <c r="D73" s="542"/>
    </row>
    <row r="74" spans="1:4" x14ac:dyDescent="0.25">
      <c r="A74" s="836" t="s">
        <v>710</v>
      </c>
      <c r="B74" s="837"/>
      <c r="C74" s="567"/>
    </row>
    <row r="75" spans="1:4" ht="25.5" x14ac:dyDescent="0.25">
      <c r="A75" s="566" t="s">
        <v>95</v>
      </c>
      <c r="B75" s="10" t="s">
        <v>96</v>
      </c>
      <c r="C75" s="563" t="s">
        <v>697</v>
      </c>
    </row>
    <row r="76" spans="1:4" ht="25.5" x14ac:dyDescent="0.25">
      <c r="A76" s="562" t="s">
        <v>98</v>
      </c>
      <c r="B76" s="6" t="s">
        <v>711</v>
      </c>
      <c r="C76" s="563" t="s">
        <v>697</v>
      </c>
    </row>
    <row r="77" spans="1:4" ht="25.5" x14ac:dyDescent="0.25">
      <c r="A77" s="562" t="s">
        <v>100</v>
      </c>
      <c r="B77" s="6" t="s">
        <v>712</v>
      </c>
      <c r="C77" s="563" t="s">
        <v>697</v>
      </c>
    </row>
    <row r="78" spans="1:4" ht="25.5" x14ac:dyDescent="0.25">
      <c r="A78" s="562" t="s">
        <v>102</v>
      </c>
      <c r="B78" s="6" t="s">
        <v>713</v>
      </c>
      <c r="C78" s="563" t="s">
        <v>697</v>
      </c>
    </row>
    <row r="79" spans="1:4" ht="25.5" x14ac:dyDescent="0.25">
      <c r="A79" s="562" t="s">
        <v>714</v>
      </c>
      <c r="B79" s="6" t="s">
        <v>715</v>
      </c>
      <c r="C79" s="563" t="s">
        <v>697</v>
      </c>
    </row>
    <row r="80" spans="1:4" x14ac:dyDescent="0.25">
      <c r="A80" s="562" t="s">
        <v>104</v>
      </c>
      <c r="B80" s="6" t="s">
        <v>716</v>
      </c>
      <c r="C80" s="563" t="s">
        <v>697</v>
      </c>
    </row>
    <row r="81" spans="1:3" x14ac:dyDescent="0.25">
      <c r="A81" s="562" t="s">
        <v>106</v>
      </c>
      <c r="B81" s="6" t="s">
        <v>107</v>
      </c>
      <c r="C81" s="563" t="s">
        <v>676</v>
      </c>
    </row>
    <row r="82" spans="1:3" ht="14.1" customHeight="1" x14ac:dyDescent="0.25">
      <c r="A82" s="836" t="s">
        <v>717</v>
      </c>
      <c r="B82" s="837"/>
      <c r="C82" s="567"/>
    </row>
    <row r="83" spans="1:3" ht="15.75" thickBot="1" x14ac:dyDescent="0.3">
      <c r="A83" s="562" t="s">
        <v>110</v>
      </c>
      <c r="B83" s="6" t="s">
        <v>111</v>
      </c>
      <c r="C83" s="577" t="s">
        <v>688</v>
      </c>
    </row>
    <row r="84" spans="1:3" ht="38.25" x14ac:dyDescent="0.25">
      <c r="A84" s="562" t="s">
        <v>113</v>
      </c>
      <c r="B84" s="6" t="s">
        <v>114</v>
      </c>
      <c r="C84" s="563" t="s">
        <v>688</v>
      </c>
    </row>
    <row r="85" spans="1:3" x14ac:dyDescent="0.25">
      <c r="A85" s="562" t="s">
        <v>116</v>
      </c>
      <c r="B85" s="6" t="s">
        <v>117</v>
      </c>
      <c r="C85" s="563" t="s">
        <v>687</v>
      </c>
    </row>
    <row r="86" spans="1:3" ht="25.5" x14ac:dyDescent="0.25">
      <c r="A86" s="562" t="s">
        <v>119</v>
      </c>
      <c r="B86" s="6" t="s">
        <v>120</v>
      </c>
      <c r="C86" s="563" t="s">
        <v>687</v>
      </c>
    </row>
    <row r="87" spans="1:3" x14ac:dyDescent="0.25">
      <c r="A87" s="562" t="s">
        <v>718</v>
      </c>
      <c r="B87" s="1" t="s">
        <v>719</v>
      </c>
      <c r="C87" s="563" t="s">
        <v>687</v>
      </c>
    </row>
    <row r="88" spans="1:3" x14ac:dyDescent="0.25">
      <c r="A88" s="562" t="s">
        <v>720</v>
      </c>
      <c r="B88" s="1" t="s">
        <v>721</v>
      </c>
      <c r="C88" s="563" t="s">
        <v>722</v>
      </c>
    </row>
    <row r="89" spans="1:3" x14ac:dyDescent="0.25">
      <c r="A89" s="562" t="s">
        <v>723</v>
      </c>
      <c r="B89" s="1" t="s">
        <v>724</v>
      </c>
      <c r="C89" s="563" t="s">
        <v>722</v>
      </c>
    </row>
    <row r="90" spans="1:3" ht="14.1" customHeight="1" x14ac:dyDescent="0.25">
      <c r="A90" s="836" t="s">
        <v>725</v>
      </c>
      <c r="B90" s="837"/>
      <c r="C90" s="567"/>
    </row>
    <row r="91" spans="1:3" ht="27" thickBot="1" x14ac:dyDescent="0.3">
      <c r="A91" s="562" t="s">
        <v>133</v>
      </c>
      <c r="B91" s="11" t="s">
        <v>134</v>
      </c>
      <c r="C91" s="577" t="s">
        <v>688</v>
      </c>
    </row>
    <row r="92" spans="1:3" ht="27" thickBot="1" x14ac:dyDescent="0.3">
      <c r="A92" s="562" t="s">
        <v>136</v>
      </c>
      <c r="B92" s="11" t="s">
        <v>137</v>
      </c>
      <c r="C92" s="577" t="s">
        <v>688</v>
      </c>
    </row>
    <row r="93" spans="1:3" ht="27" thickBot="1" x14ac:dyDescent="0.3">
      <c r="A93" s="562" t="s">
        <v>139</v>
      </c>
      <c r="B93" s="11" t="s">
        <v>726</v>
      </c>
      <c r="C93" s="577" t="s">
        <v>688</v>
      </c>
    </row>
    <row r="94" spans="1:3" ht="27" thickBot="1" x14ac:dyDescent="0.3">
      <c r="A94" s="562" t="s">
        <v>141</v>
      </c>
      <c r="B94" s="11" t="s">
        <v>142</v>
      </c>
      <c r="C94" s="577" t="s">
        <v>688</v>
      </c>
    </row>
    <row r="95" spans="1:3" ht="27" thickBot="1" x14ac:dyDescent="0.3">
      <c r="A95" s="562" t="s">
        <v>727</v>
      </c>
      <c r="B95" s="11" t="s">
        <v>728</v>
      </c>
      <c r="C95" s="577" t="s">
        <v>688</v>
      </c>
    </row>
    <row r="96" spans="1:3" ht="27" thickBot="1" x14ac:dyDescent="0.3">
      <c r="A96" s="562" t="s">
        <v>144</v>
      </c>
      <c r="B96" s="11" t="s">
        <v>729</v>
      </c>
      <c r="C96" s="577" t="s">
        <v>688</v>
      </c>
    </row>
    <row r="97" spans="1:3" ht="27" thickBot="1" x14ac:dyDescent="0.3">
      <c r="A97" s="562" t="s">
        <v>730</v>
      </c>
      <c r="B97" s="11" t="s">
        <v>731</v>
      </c>
      <c r="C97" s="577" t="s">
        <v>688</v>
      </c>
    </row>
    <row r="98" spans="1:3" ht="27" thickBot="1" x14ac:dyDescent="0.3">
      <c r="A98" s="562" t="s">
        <v>732</v>
      </c>
      <c r="B98" s="11" t="s">
        <v>733</v>
      </c>
      <c r="C98" s="577" t="s">
        <v>688</v>
      </c>
    </row>
    <row r="99" spans="1:3" x14ac:dyDescent="0.25">
      <c r="A99" s="562" t="s">
        <v>148</v>
      </c>
      <c r="B99" s="11" t="s">
        <v>734</v>
      </c>
      <c r="C99" s="563" t="s">
        <v>697</v>
      </c>
    </row>
    <row r="100" spans="1:3" x14ac:dyDescent="0.25">
      <c r="A100" s="562" t="s">
        <v>735</v>
      </c>
      <c r="B100" s="11" t="s">
        <v>736</v>
      </c>
      <c r="C100" s="563" t="s">
        <v>697</v>
      </c>
    </row>
    <row r="101" spans="1:3" x14ac:dyDescent="0.25">
      <c r="A101" s="562" t="s">
        <v>737</v>
      </c>
      <c r="B101" s="11" t="s">
        <v>738</v>
      </c>
      <c r="C101" s="563" t="s">
        <v>697</v>
      </c>
    </row>
    <row r="102" spans="1:3" ht="27" thickBot="1" x14ac:dyDescent="0.3">
      <c r="A102" s="566" t="s">
        <v>229</v>
      </c>
      <c r="B102" s="12" t="s">
        <v>230</v>
      </c>
      <c r="C102" s="577" t="s">
        <v>688</v>
      </c>
    </row>
    <row r="103" spans="1:3" x14ac:dyDescent="0.25">
      <c r="A103" s="566"/>
      <c r="B103" s="12"/>
      <c r="C103" s="572"/>
    </row>
    <row r="104" spans="1:3" x14ac:dyDescent="0.25">
      <c r="A104" s="836" t="s">
        <v>739</v>
      </c>
      <c r="B104" s="837"/>
      <c r="C104" s="567"/>
    </row>
    <row r="105" spans="1:3" ht="26.25" x14ac:dyDescent="0.25">
      <c r="A105" s="566" t="s">
        <v>335</v>
      </c>
      <c r="B105" s="9" t="s">
        <v>336</v>
      </c>
      <c r="C105" s="563" t="s">
        <v>697</v>
      </c>
    </row>
    <row r="106" spans="1:3" ht="39" x14ac:dyDescent="0.25">
      <c r="A106" s="566" t="s">
        <v>340</v>
      </c>
      <c r="B106" s="9" t="s">
        <v>341</v>
      </c>
      <c r="C106" s="563" t="s">
        <v>697</v>
      </c>
    </row>
    <row r="107" spans="1:3" ht="26.25" x14ac:dyDescent="0.25">
      <c r="A107" s="566" t="s">
        <v>343</v>
      </c>
      <c r="B107" s="9" t="s">
        <v>344</v>
      </c>
      <c r="C107" s="563" t="s">
        <v>697</v>
      </c>
    </row>
    <row r="108" spans="1:3" hidden="1" x14ac:dyDescent="0.25">
      <c r="A108" s="566" t="s">
        <v>740</v>
      </c>
      <c r="B108" s="3" t="s">
        <v>741</v>
      </c>
      <c r="C108" s="569" t="s">
        <v>17</v>
      </c>
    </row>
    <row r="109" spans="1:3" hidden="1" x14ac:dyDescent="0.25">
      <c r="A109" s="566" t="s">
        <v>742</v>
      </c>
      <c r="B109" s="3" t="s">
        <v>743</v>
      </c>
      <c r="C109" s="569" t="s">
        <v>17</v>
      </c>
    </row>
    <row r="110" spans="1:3" hidden="1" x14ac:dyDescent="0.25">
      <c r="A110" s="566" t="s">
        <v>744</v>
      </c>
      <c r="B110" s="3" t="s">
        <v>745</v>
      </c>
      <c r="C110" s="569" t="s">
        <v>22</v>
      </c>
    </row>
    <row r="111" spans="1:3" hidden="1" x14ac:dyDescent="0.25">
      <c r="A111" s="566" t="s">
        <v>746</v>
      </c>
      <c r="B111" s="3" t="s">
        <v>747</v>
      </c>
      <c r="C111" s="569" t="s">
        <v>17</v>
      </c>
    </row>
    <row r="112" spans="1:3" hidden="1" x14ac:dyDescent="0.25">
      <c r="A112" s="566" t="s">
        <v>748</v>
      </c>
      <c r="B112" s="3" t="s">
        <v>749</v>
      </c>
      <c r="C112" s="569" t="s">
        <v>15</v>
      </c>
    </row>
    <row r="113" spans="1:3" hidden="1" x14ac:dyDescent="0.25">
      <c r="A113" s="566" t="s">
        <v>750</v>
      </c>
      <c r="B113" s="3" t="s">
        <v>751</v>
      </c>
      <c r="C113" s="569" t="s">
        <v>17</v>
      </c>
    </row>
    <row r="114" spans="1:3" hidden="1" x14ac:dyDescent="0.25">
      <c r="A114" s="566" t="s">
        <v>752</v>
      </c>
      <c r="B114" s="3" t="s">
        <v>753</v>
      </c>
      <c r="C114" s="569" t="s">
        <v>17</v>
      </c>
    </row>
    <row r="115" spans="1:3" hidden="1" x14ac:dyDescent="0.25">
      <c r="A115" s="566" t="s">
        <v>754</v>
      </c>
      <c r="B115" s="3" t="s">
        <v>755</v>
      </c>
      <c r="C115" s="569" t="s">
        <v>17</v>
      </c>
    </row>
    <row r="116" spans="1:3" ht="14.1" customHeight="1" x14ac:dyDescent="0.25">
      <c r="A116" s="836" t="s">
        <v>756</v>
      </c>
      <c r="B116" s="837"/>
      <c r="C116" s="567"/>
    </row>
    <row r="117" spans="1:3" ht="26.25" x14ac:dyDescent="0.25">
      <c r="A117" s="566" t="s">
        <v>154</v>
      </c>
      <c r="B117" s="9" t="s">
        <v>155</v>
      </c>
      <c r="C117" s="563" t="s">
        <v>676</v>
      </c>
    </row>
    <row r="118" spans="1:3" ht="38.25" x14ac:dyDescent="0.25">
      <c r="A118" s="566" t="s">
        <v>157</v>
      </c>
      <c r="B118" s="13" t="s">
        <v>158</v>
      </c>
      <c r="C118" s="563" t="s">
        <v>676</v>
      </c>
    </row>
    <row r="119" spans="1:3" ht="15.75" thickBot="1" x14ac:dyDescent="0.3">
      <c r="A119" s="566" t="s">
        <v>160</v>
      </c>
      <c r="B119" s="12" t="s">
        <v>161</v>
      </c>
      <c r="C119" s="577" t="s">
        <v>688</v>
      </c>
    </row>
    <row r="120" spans="1:3" ht="15.75" thickBot="1" x14ac:dyDescent="0.3">
      <c r="A120" s="566" t="s">
        <v>163</v>
      </c>
      <c r="B120" s="12" t="s">
        <v>164</v>
      </c>
      <c r="C120" s="577" t="s">
        <v>688</v>
      </c>
    </row>
    <row r="121" spans="1:3" x14ac:dyDescent="0.25">
      <c r="A121" s="566" t="s">
        <v>166</v>
      </c>
      <c r="B121" s="12" t="s">
        <v>757</v>
      </c>
      <c r="C121" s="563" t="s">
        <v>697</v>
      </c>
    </row>
    <row r="122" spans="1:3" x14ac:dyDescent="0.25">
      <c r="A122" s="566" t="s">
        <v>169</v>
      </c>
      <c r="B122" s="9" t="s">
        <v>170</v>
      </c>
      <c r="C122" s="563" t="s">
        <v>687</v>
      </c>
    </row>
    <row r="123" spans="1:3" ht="26.25" x14ac:dyDescent="0.25">
      <c r="A123" s="566" t="s">
        <v>172</v>
      </c>
      <c r="B123" s="9" t="s">
        <v>173</v>
      </c>
      <c r="C123" s="563" t="s">
        <v>687</v>
      </c>
    </row>
    <row r="124" spans="1:3" x14ac:dyDescent="0.25">
      <c r="A124" s="566" t="s">
        <v>175</v>
      </c>
      <c r="B124" s="9" t="s">
        <v>176</v>
      </c>
      <c r="C124" s="563" t="s">
        <v>687</v>
      </c>
    </row>
    <row r="125" spans="1:3" x14ac:dyDescent="0.25">
      <c r="A125" s="566" t="s">
        <v>178</v>
      </c>
      <c r="B125" s="12" t="s">
        <v>179</v>
      </c>
      <c r="C125" s="563" t="s">
        <v>687</v>
      </c>
    </row>
    <row r="126" spans="1:3" x14ac:dyDescent="0.25">
      <c r="A126" s="566" t="s">
        <v>181</v>
      </c>
      <c r="B126" s="12" t="s">
        <v>182</v>
      </c>
      <c r="C126" s="563" t="s">
        <v>687</v>
      </c>
    </row>
    <row r="127" spans="1:3" x14ac:dyDescent="0.25">
      <c r="A127" s="566" t="s">
        <v>184</v>
      </c>
      <c r="B127" s="12" t="s">
        <v>185</v>
      </c>
      <c r="C127" s="563" t="s">
        <v>697</v>
      </c>
    </row>
    <row r="128" spans="1:3" x14ac:dyDescent="0.25">
      <c r="A128" s="566" t="s">
        <v>187</v>
      </c>
      <c r="B128" s="12" t="s">
        <v>188</v>
      </c>
      <c r="C128" s="563" t="s">
        <v>697</v>
      </c>
    </row>
    <row r="129" spans="1:3" x14ac:dyDescent="0.25">
      <c r="A129" s="566" t="s">
        <v>190</v>
      </c>
      <c r="B129" s="9" t="s">
        <v>191</v>
      </c>
      <c r="C129" s="570" t="s">
        <v>688</v>
      </c>
    </row>
    <row r="130" spans="1:3" x14ac:dyDescent="0.25">
      <c r="A130" s="566" t="s">
        <v>193</v>
      </c>
      <c r="B130" s="12" t="s">
        <v>194</v>
      </c>
      <c r="C130" s="563" t="s">
        <v>697</v>
      </c>
    </row>
    <row r="131" spans="1:3" x14ac:dyDescent="0.25">
      <c r="A131" s="566" t="s">
        <v>196</v>
      </c>
      <c r="B131" s="12" t="s">
        <v>197</v>
      </c>
      <c r="C131" s="563" t="s">
        <v>697</v>
      </c>
    </row>
    <row r="132" spans="1:3" x14ac:dyDescent="0.25">
      <c r="A132" s="566" t="s">
        <v>199</v>
      </c>
      <c r="B132" s="12" t="s">
        <v>200</v>
      </c>
      <c r="C132" s="563" t="s">
        <v>697</v>
      </c>
    </row>
    <row r="133" spans="1:3" ht="26.25" x14ac:dyDescent="0.25">
      <c r="A133" s="566" t="s">
        <v>204</v>
      </c>
      <c r="B133" s="12" t="s">
        <v>758</v>
      </c>
      <c r="C133" s="563" t="s">
        <v>697</v>
      </c>
    </row>
    <row r="134" spans="1:3" ht="26.25" x14ac:dyDescent="0.25">
      <c r="A134" s="566" t="s">
        <v>207</v>
      </c>
      <c r="B134" s="12" t="s">
        <v>759</v>
      </c>
      <c r="C134" s="563" t="s">
        <v>697</v>
      </c>
    </row>
    <row r="135" spans="1:3" x14ac:dyDescent="0.25">
      <c r="A135" s="566" t="s">
        <v>212</v>
      </c>
      <c r="B135" s="12" t="s">
        <v>760</v>
      </c>
      <c r="C135" s="563" t="s">
        <v>697</v>
      </c>
    </row>
    <row r="136" spans="1:3" x14ac:dyDescent="0.25">
      <c r="A136" s="566" t="s">
        <v>215</v>
      </c>
      <c r="B136" s="12" t="s">
        <v>761</v>
      </c>
      <c r="C136" s="563" t="s">
        <v>687</v>
      </c>
    </row>
    <row r="137" spans="1:3" x14ac:dyDescent="0.25">
      <c r="A137" s="566" t="s">
        <v>218</v>
      </c>
      <c r="B137" s="12" t="s">
        <v>219</v>
      </c>
      <c r="C137" s="563" t="s">
        <v>687</v>
      </c>
    </row>
    <row r="138" spans="1:3" x14ac:dyDescent="0.25">
      <c r="A138" s="566" t="s">
        <v>762</v>
      </c>
      <c r="B138" s="12" t="s">
        <v>763</v>
      </c>
      <c r="C138" s="573" t="s">
        <v>358</v>
      </c>
    </row>
    <row r="139" spans="1:3" x14ac:dyDescent="0.25">
      <c r="A139" s="566" t="s">
        <v>764</v>
      </c>
      <c r="B139" s="12" t="s">
        <v>765</v>
      </c>
      <c r="C139" s="573" t="s">
        <v>358</v>
      </c>
    </row>
    <row r="140" spans="1:3" ht="39" x14ac:dyDescent="0.25">
      <c r="A140" s="566" t="s">
        <v>221</v>
      </c>
      <c r="B140" s="12" t="s">
        <v>222</v>
      </c>
      <c r="C140" s="563" t="s">
        <v>697</v>
      </c>
    </row>
    <row r="141" spans="1:3" ht="26.25" x14ac:dyDescent="0.25">
      <c r="A141" s="566" t="s">
        <v>766</v>
      </c>
      <c r="B141" s="12" t="s">
        <v>767</v>
      </c>
      <c r="C141" s="563" t="s">
        <v>697</v>
      </c>
    </row>
    <row r="142" spans="1:3" ht="26.25" x14ac:dyDescent="0.25">
      <c r="A142" s="566" t="s">
        <v>768</v>
      </c>
      <c r="B142" s="12" t="s">
        <v>769</v>
      </c>
      <c r="C142" s="563" t="s">
        <v>697</v>
      </c>
    </row>
    <row r="143" spans="1:3" ht="26.25" x14ac:dyDescent="0.25">
      <c r="A143" s="566" t="s">
        <v>224</v>
      </c>
      <c r="B143" s="12" t="s">
        <v>770</v>
      </c>
      <c r="C143" s="563" t="s">
        <v>697</v>
      </c>
    </row>
    <row r="144" spans="1:3" x14ac:dyDescent="0.25">
      <c r="A144" s="566" t="s">
        <v>226</v>
      </c>
      <c r="B144" s="12" t="s">
        <v>227</v>
      </c>
      <c r="C144" s="563" t="s">
        <v>697</v>
      </c>
    </row>
    <row r="145" spans="1:3" x14ac:dyDescent="0.25">
      <c r="A145" s="566" t="s">
        <v>771</v>
      </c>
      <c r="B145" s="12" t="s">
        <v>772</v>
      </c>
      <c r="C145" s="572" t="s">
        <v>688</v>
      </c>
    </row>
    <row r="146" spans="1:3" x14ac:dyDescent="0.25">
      <c r="A146" s="566" t="s">
        <v>235</v>
      </c>
      <c r="B146" s="12" t="s">
        <v>236</v>
      </c>
      <c r="C146" s="572" t="s">
        <v>688</v>
      </c>
    </row>
    <row r="147" spans="1:3" x14ac:dyDescent="0.25">
      <c r="A147" s="566" t="s">
        <v>238</v>
      </c>
      <c r="B147" s="12" t="s">
        <v>239</v>
      </c>
      <c r="C147" s="572" t="s">
        <v>688</v>
      </c>
    </row>
    <row r="148" spans="1:3" x14ac:dyDescent="0.25">
      <c r="A148" s="566" t="s">
        <v>241</v>
      </c>
      <c r="B148" s="12" t="s">
        <v>242</v>
      </c>
      <c r="C148" s="563" t="s">
        <v>697</v>
      </c>
    </row>
    <row r="149" spans="1:3" x14ac:dyDescent="0.25">
      <c r="A149" s="566" t="s">
        <v>244</v>
      </c>
      <c r="B149" s="12" t="s">
        <v>245</v>
      </c>
      <c r="C149" s="563" t="s">
        <v>697</v>
      </c>
    </row>
    <row r="150" spans="1:3" x14ac:dyDescent="0.25">
      <c r="A150" s="566" t="s">
        <v>247</v>
      </c>
      <c r="B150" s="12" t="s">
        <v>248</v>
      </c>
      <c r="C150" s="563" t="s">
        <v>697</v>
      </c>
    </row>
    <row r="151" spans="1:3" ht="30" customHeight="1" x14ac:dyDescent="0.25">
      <c r="A151" s="566" t="s">
        <v>250</v>
      </c>
      <c r="B151" s="12" t="s">
        <v>251</v>
      </c>
      <c r="C151" s="563" t="s">
        <v>697</v>
      </c>
    </row>
    <row r="152" spans="1:3" x14ac:dyDescent="0.25">
      <c r="A152" s="566" t="s">
        <v>253</v>
      </c>
      <c r="B152" s="12" t="s">
        <v>254</v>
      </c>
      <c r="C152" s="563" t="s">
        <v>697</v>
      </c>
    </row>
    <row r="153" spans="1:3" x14ac:dyDescent="0.25">
      <c r="A153" s="566" t="s">
        <v>256</v>
      </c>
      <c r="B153" s="12" t="s">
        <v>257</v>
      </c>
      <c r="C153" s="563" t="s">
        <v>697</v>
      </c>
    </row>
    <row r="154" spans="1:3" ht="26.25" x14ac:dyDescent="0.25">
      <c r="A154" s="566" t="s">
        <v>259</v>
      </c>
      <c r="B154" s="12" t="s">
        <v>773</v>
      </c>
      <c r="C154" s="563" t="s">
        <v>697</v>
      </c>
    </row>
    <row r="155" spans="1:3" x14ac:dyDescent="0.25">
      <c r="A155" s="566" t="s">
        <v>262</v>
      </c>
      <c r="B155" s="12" t="s">
        <v>263</v>
      </c>
      <c r="C155" s="563" t="s">
        <v>697</v>
      </c>
    </row>
    <row r="156" spans="1:3" x14ac:dyDescent="0.25">
      <c r="A156" s="566" t="s">
        <v>265</v>
      </c>
      <c r="B156" s="12" t="s">
        <v>266</v>
      </c>
      <c r="C156" s="563" t="s">
        <v>697</v>
      </c>
    </row>
    <row r="157" spans="1:3" x14ac:dyDescent="0.25">
      <c r="A157" s="566" t="s">
        <v>268</v>
      </c>
      <c r="B157" s="12" t="s">
        <v>269</v>
      </c>
      <c r="C157" s="563" t="s">
        <v>697</v>
      </c>
    </row>
    <row r="158" spans="1:3" x14ac:dyDescent="0.25">
      <c r="A158" s="566" t="s">
        <v>271</v>
      </c>
      <c r="B158" s="12" t="s">
        <v>272</v>
      </c>
      <c r="C158" s="563" t="s">
        <v>697</v>
      </c>
    </row>
    <row r="159" spans="1:3" x14ac:dyDescent="0.25">
      <c r="A159" s="566" t="s">
        <v>274</v>
      </c>
      <c r="B159" s="12" t="s">
        <v>275</v>
      </c>
      <c r="C159" s="572" t="s">
        <v>688</v>
      </c>
    </row>
    <row r="160" spans="1:3" x14ac:dyDescent="0.25">
      <c r="A160" s="566" t="s">
        <v>277</v>
      </c>
      <c r="B160" s="12" t="s">
        <v>774</v>
      </c>
      <c r="C160" s="563" t="s">
        <v>697</v>
      </c>
    </row>
    <row r="161" spans="1:3" x14ac:dyDescent="0.25">
      <c r="A161" s="566" t="s">
        <v>280</v>
      </c>
      <c r="B161" s="12" t="s">
        <v>281</v>
      </c>
      <c r="C161" s="563" t="s">
        <v>697</v>
      </c>
    </row>
    <row r="162" spans="1:3" x14ac:dyDescent="0.25">
      <c r="A162" s="836" t="s">
        <v>351</v>
      </c>
      <c r="B162" s="837"/>
      <c r="C162" s="567"/>
    </row>
    <row r="163" spans="1:3" ht="27" thickBot="1" x14ac:dyDescent="0.3">
      <c r="A163" s="566" t="s">
        <v>353</v>
      </c>
      <c r="B163" s="9" t="s">
        <v>354</v>
      </c>
      <c r="C163" s="577" t="s">
        <v>688</v>
      </c>
    </row>
    <row r="164" spans="1:3" ht="25.5" x14ac:dyDescent="0.25">
      <c r="A164" s="566" t="s">
        <v>356</v>
      </c>
      <c r="B164" s="6" t="s">
        <v>775</v>
      </c>
      <c r="C164" s="563" t="s">
        <v>687</v>
      </c>
    </row>
    <row r="165" spans="1:3" x14ac:dyDescent="0.25">
      <c r="A165" s="836" t="s">
        <v>776</v>
      </c>
      <c r="B165" s="837"/>
      <c r="C165" s="567"/>
    </row>
    <row r="166" spans="1:3" ht="45" x14ac:dyDescent="0.25">
      <c r="A166" s="562" t="s">
        <v>777</v>
      </c>
      <c r="B166" s="14" t="s">
        <v>778</v>
      </c>
      <c r="C166" s="563" t="s">
        <v>697</v>
      </c>
    </row>
    <row r="167" spans="1:3" x14ac:dyDescent="0.25">
      <c r="A167" s="566" t="s">
        <v>779</v>
      </c>
      <c r="B167" s="15" t="s">
        <v>780</v>
      </c>
      <c r="C167" s="563" t="s">
        <v>697</v>
      </c>
    </row>
    <row r="168" spans="1:3" x14ac:dyDescent="0.25">
      <c r="A168" s="566" t="s">
        <v>781</v>
      </c>
      <c r="B168" s="15" t="s">
        <v>782</v>
      </c>
      <c r="C168" s="563" t="s">
        <v>697</v>
      </c>
    </row>
    <row r="169" spans="1:3" x14ac:dyDescent="0.25">
      <c r="A169" s="566" t="s">
        <v>783</v>
      </c>
      <c r="B169" s="15" t="s">
        <v>784</v>
      </c>
      <c r="C169" s="563" t="s">
        <v>697</v>
      </c>
    </row>
    <row r="170" spans="1:3" x14ac:dyDescent="0.25">
      <c r="A170" s="566" t="s">
        <v>785</v>
      </c>
      <c r="B170" s="15" t="s">
        <v>786</v>
      </c>
      <c r="C170" s="563" t="s">
        <v>697</v>
      </c>
    </row>
    <row r="171" spans="1:3" x14ac:dyDescent="0.25">
      <c r="A171" s="566" t="s">
        <v>787</v>
      </c>
      <c r="B171" s="15" t="s">
        <v>788</v>
      </c>
      <c r="C171" s="563" t="s">
        <v>697</v>
      </c>
    </row>
    <row r="172" spans="1:3" x14ac:dyDescent="0.25">
      <c r="A172" s="566" t="s">
        <v>789</v>
      </c>
      <c r="B172" s="15" t="s">
        <v>790</v>
      </c>
      <c r="C172" s="563" t="s">
        <v>697</v>
      </c>
    </row>
    <row r="173" spans="1:3" x14ac:dyDescent="0.25">
      <c r="A173" s="566" t="s">
        <v>791</v>
      </c>
      <c r="B173" s="16" t="s">
        <v>792</v>
      </c>
      <c r="C173" s="563" t="s">
        <v>697</v>
      </c>
    </row>
    <row r="174" spans="1:3" x14ac:dyDescent="0.25">
      <c r="A174" s="566" t="s">
        <v>793</v>
      </c>
      <c r="B174" s="15" t="s">
        <v>794</v>
      </c>
      <c r="C174" s="563" t="s">
        <v>697</v>
      </c>
    </row>
    <row r="175" spans="1:3" x14ac:dyDescent="0.25">
      <c r="A175" s="566" t="s">
        <v>795</v>
      </c>
      <c r="B175" s="15" t="s">
        <v>796</v>
      </c>
      <c r="C175" s="563" t="s">
        <v>697</v>
      </c>
    </row>
    <row r="176" spans="1:3" x14ac:dyDescent="0.25">
      <c r="A176" s="566" t="s">
        <v>797</v>
      </c>
      <c r="B176" s="15" t="s">
        <v>798</v>
      </c>
      <c r="C176" s="563" t="s">
        <v>697</v>
      </c>
    </row>
    <row r="177" spans="1:3" x14ac:dyDescent="0.25">
      <c r="A177" s="566" t="s">
        <v>799</v>
      </c>
      <c r="B177" s="15" t="s">
        <v>800</v>
      </c>
      <c r="C177" s="563" t="s">
        <v>697</v>
      </c>
    </row>
    <row r="178" spans="1:3" x14ac:dyDescent="0.25">
      <c r="A178" s="566" t="s">
        <v>801</v>
      </c>
      <c r="B178" s="15" t="s">
        <v>802</v>
      </c>
      <c r="C178" s="563" t="s">
        <v>697</v>
      </c>
    </row>
    <row r="179" spans="1:3" ht="39" x14ac:dyDescent="0.25">
      <c r="A179" s="566" t="s">
        <v>803</v>
      </c>
      <c r="B179" s="16" t="s">
        <v>804</v>
      </c>
      <c r="C179" s="570" t="s">
        <v>358</v>
      </c>
    </row>
    <row r="180" spans="1:3" x14ac:dyDescent="0.25">
      <c r="A180" s="566" t="s">
        <v>805</v>
      </c>
      <c r="B180" s="15" t="s">
        <v>806</v>
      </c>
      <c r="C180" s="563" t="s">
        <v>697</v>
      </c>
    </row>
    <row r="181" spans="1:3" ht="15.75" thickBot="1" x14ac:dyDescent="0.3">
      <c r="A181" s="566" t="s">
        <v>807</v>
      </c>
      <c r="B181" s="15" t="s">
        <v>808</v>
      </c>
      <c r="C181" s="577" t="s">
        <v>688</v>
      </c>
    </row>
    <row r="182" spans="1:3" x14ac:dyDescent="0.25">
      <c r="A182" s="566" t="s">
        <v>809</v>
      </c>
      <c r="B182" s="15" t="s">
        <v>810</v>
      </c>
      <c r="C182" s="563" t="s">
        <v>697</v>
      </c>
    </row>
    <row r="183" spans="1:3" ht="15.75" thickBot="1" x14ac:dyDescent="0.3">
      <c r="A183" s="566" t="s">
        <v>811</v>
      </c>
      <c r="B183" s="15" t="s">
        <v>812</v>
      </c>
      <c r="C183" s="577" t="s">
        <v>688</v>
      </c>
    </row>
    <row r="184" spans="1:3" ht="15.75" thickBot="1" x14ac:dyDescent="0.3">
      <c r="A184" s="566" t="s">
        <v>813</v>
      </c>
      <c r="B184" s="15" t="s">
        <v>814</v>
      </c>
      <c r="C184" s="577" t="s">
        <v>688</v>
      </c>
    </row>
    <row r="185" spans="1:3" ht="27" thickBot="1" x14ac:dyDescent="0.3">
      <c r="A185" s="566" t="s">
        <v>815</v>
      </c>
      <c r="B185" s="16" t="s">
        <v>816</v>
      </c>
      <c r="C185" s="577" t="s">
        <v>688</v>
      </c>
    </row>
    <row r="186" spans="1:3" ht="27" thickBot="1" x14ac:dyDescent="0.3">
      <c r="A186" s="566" t="s">
        <v>817</v>
      </c>
      <c r="B186" s="16" t="s">
        <v>818</v>
      </c>
      <c r="C186" s="577" t="s">
        <v>688</v>
      </c>
    </row>
    <row r="187" spans="1:3" ht="15.75" thickBot="1" x14ac:dyDescent="0.3">
      <c r="A187" s="566" t="s">
        <v>819</v>
      </c>
      <c r="B187" s="15" t="s">
        <v>820</v>
      </c>
      <c r="C187" s="577" t="s">
        <v>688</v>
      </c>
    </row>
    <row r="188" spans="1:3" x14ac:dyDescent="0.25">
      <c r="A188" s="566" t="s">
        <v>821</v>
      </c>
      <c r="B188" s="15" t="s">
        <v>822</v>
      </c>
      <c r="C188" s="563" t="s">
        <v>697</v>
      </c>
    </row>
    <row r="189" spans="1:3" x14ac:dyDescent="0.25">
      <c r="A189" s="566" t="s">
        <v>823</v>
      </c>
      <c r="B189" s="15" t="s">
        <v>824</v>
      </c>
      <c r="C189" s="563" t="s">
        <v>697</v>
      </c>
    </row>
    <row r="190" spans="1:3" ht="26.25" x14ac:dyDescent="0.25">
      <c r="A190" s="566" t="s">
        <v>825</v>
      </c>
      <c r="B190" s="16" t="s">
        <v>826</v>
      </c>
      <c r="C190" s="574" t="s">
        <v>358</v>
      </c>
    </row>
    <row r="191" spans="1:3" ht="26.25" x14ac:dyDescent="0.25">
      <c r="A191" s="566" t="s">
        <v>827</v>
      </c>
      <c r="B191" s="16" t="s">
        <v>828</v>
      </c>
      <c r="C191" s="574" t="s">
        <v>358</v>
      </c>
    </row>
    <row r="192" spans="1:3" ht="26.25" x14ac:dyDescent="0.25">
      <c r="A192" s="566" t="s">
        <v>829</v>
      </c>
      <c r="B192" s="16" t="s">
        <v>830</v>
      </c>
      <c r="C192" s="574" t="s">
        <v>358</v>
      </c>
    </row>
    <row r="193" spans="1:3" ht="26.25" x14ac:dyDescent="0.25">
      <c r="A193" s="566" t="s">
        <v>831</v>
      </c>
      <c r="B193" s="16" t="s">
        <v>832</v>
      </c>
      <c r="C193" s="574" t="s">
        <v>358</v>
      </c>
    </row>
    <row r="194" spans="1:3" ht="15.75" thickBot="1" x14ac:dyDescent="0.3">
      <c r="A194" s="566" t="s">
        <v>833</v>
      </c>
      <c r="B194" s="15" t="s">
        <v>834</v>
      </c>
      <c r="C194" s="577" t="s">
        <v>688</v>
      </c>
    </row>
    <row r="195" spans="1:3" x14ac:dyDescent="0.25">
      <c r="A195" s="836" t="s">
        <v>835</v>
      </c>
      <c r="B195" s="837"/>
      <c r="C195" s="567"/>
    </row>
    <row r="196" spans="1:3" ht="26.25" x14ac:dyDescent="0.25">
      <c r="A196" s="566" t="s">
        <v>836</v>
      </c>
      <c r="B196" s="17" t="s">
        <v>837</v>
      </c>
      <c r="C196" s="563" t="s">
        <v>697</v>
      </c>
    </row>
    <row r="197" spans="1:3" x14ac:dyDescent="0.25">
      <c r="A197" s="566" t="s">
        <v>838</v>
      </c>
      <c r="B197" s="18" t="s">
        <v>839</v>
      </c>
      <c r="C197" s="563" t="s">
        <v>697</v>
      </c>
    </row>
    <row r="198" spans="1:3" x14ac:dyDescent="0.25">
      <c r="A198" s="566" t="s">
        <v>840</v>
      </c>
      <c r="B198" s="18" t="s">
        <v>841</v>
      </c>
      <c r="C198" s="563" t="s">
        <v>697</v>
      </c>
    </row>
    <row r="199" spans="1:3" x14ac:dyDescent="0.25">
      <c r="A199" s="566" t="s">
        <v>842</v>
      </c>
      <c r="B199" s="18" t="s">
        <v>843</v>
      </c>
      <c r="C199" s="563" t="s">
        <v>697</v>
      </c>
    </row>
    <row r="200" spans="1:3" x14ac:dyDescent="0.25">
      <c r="A200" s="566" t="s">
        <v>844</v>
      </c>
      <c r="B200" s="18" t="s">
        <v>841</v>
      </c>
      <c r="C200" s="563" t="s">
        <v>697</v>
      </c>
    </row>
    <row r="201" spans="1:3" x14ac:dyDescent="0.25">
      <c r="A201" s="566" t="s">
        <v>845</v>
      </c>
      <c r="B201" s="18" t="s">
        <v>846</v>
      </c>
      <c r="C201" s="563" t="s">
        <v>697</v>
      </c>
    </row>
    <row r="202" spans="1:3" x14ac:dyDescent="0.25">
      <c r="A202" s="566" t="s">
        <v>847</v>
      </c>
      <c r="B202" s="18" t="s">
        <v>848</v>
      </c>
      <c r="C202" s="563" t="s">
        <v>697</v>
      </c>
    </row>
    <row r="203" spans="1:3" x14ac:dyDescent="0.25">
      <c r="A203" s="566" t="s">
        <v>849</v>
      </c>
      <c r="B203" s="18" t="s">
        <v>850</v>
      </c>
      <c r="C203" s="563" t="s">
        <v>697</v>
      </c>
    </row>
    <row r="204" spans="1:3" ht="15.75" thickBot="1" x14ac:dyDescent="0.3">
      <c r="A204" s="566" t="s">
        <v>851</v>
      </c>
      <c r="B204" s="18" t="s">
        <v>852</v>
      </c>
      <c r="C204" s="577" t="s">
        <v>688</v>
      </c>
    </row>
    <row r="205" spans="1:3" ht="15.75" thickBot="1" x14ac:dyDescent="0.3">
      <c r="A205" s="566" t="s">
        <v>853</v>
      </c>
      <c r="B205" s="18" t="s">
        <v>854</v>
      </c>
      <c r="C205" s="577" t="s">
        <v>688</v>
      </c>
    </row>
    <row r="206" spans="1:3" ht="26.25" x14ac:dyDescent="0.25">
      <c r="A206" s="566" t="s">
        <v>855</v>
      </c>
      <c r="B206" s="17" t="s">
        <v>856</v>
      </c>
      <c r="C206" s="563" t="s">
        <v>697</v>
      </c>
    </row>
    <row r="207" spans="1:3" x14ac:dyDescent="0.25">
      <c r="A207" s="566" t="s">
        <v>857</v>
      </c>
      <c r="B207" s="18" t="s">
        <v>858</v>
      </c>
      <c r="C207" s="563" t="s">
        <v>697</v>
      </c>
    </row>
    <row r="208" spans="1:3" x14ac:dyDescent="0.25">
      <c r="A208" s="566" t="s">
        <v>859</v>
      </c>
      <c r="B208" s="18" t="s">
        <v>860</v>
      </c>
      <c r="C208" s="563" t="s">
        <v>697</v>
      </c>
    </row>
    <row r="209" spans="1:3" x14ac:dyDescent="0.25">
      <c r="A209" s="566" t="s">
        <v>861</v>
      </c>
      <c r="B209" s="18" t="s">
        <v>862</v>
      </c>
      <c r="C209" s="563" t="s">
        <v>697</v>
      </c>
    </row>
    <row r="210" spans="1:3" x14ac:dyDescent="0.25">
      <c r="A210" s="566" t="s">
        <v>863</v>
      </c>
      <c r="B210" s="18" t="s">
        <v>860</v>
      </c>
      <c r="C210" s="563" t="s">
        <v>697</v>
      </c>
    </row>
    <row r="211" spans="1:3" x14ac:dyDescent="0.25">
      <c r="A211" s="566" t="s">
        <v>864</v>
      </c>
      <c r="B211" s="18" t="s">
        <v>865</v>
      </c>
      <c r="C211" s="563" t="s">
        <v>697</v>
      </c>
    </row>
    <row r="212" spans="1:3" x14ac:dyDescent="0.25">
      <c r="A212" s="566" t="s">
        <v>866</v>
      </c>
      <c r="B212" s="18" t="s">
        <v>867</v>
      </c>
      <c r="C212" s="563" t="s">
        <v>697</v>
      </c>
    </row>
    <row r="213" spans="1:3" x14ac:dyDescent="0.25">
      <c r="A213" s="566" t="s">
        <v>868</v>
      </c>
      <c r="B213" s="18" t="s">
        <v>869</v>
      </c>
      <c r="C213" s="563" t="s">
        <v>697</v>
      </c>
    </row>
    <row r="214" spans="1:3" x14ac:dyDescent="0.25">
      <c r="A214" s="566" t="s">
        <v>870</v>
      </c>
      <c r="B214" s="18" t="s">
        <v>871</v>
      </c>
      <c r="C214" s="563" t="s">
        <v>697</v>
      </c>
    </row>
    <row r="215" spans="1:3" ht="15.75" thickBot="1" x14ac:dyDescent="0.3">
      <c r="A215" s="575" t="s">
        <v>872</v>
      </c>
      <c r="B215" s="576" t="s">
        <v>873</v>
      </c>
      <c r="C215" s="577" t="s">
        <v>688</v>
      </c>
    </row>
  </sheetData>
  <mergeCells count="14">
    <mergeCell ref="A195:B195"/>
    <mergeCell ref="A12:C12"/>
    <mergeCell ref="A165:B165"/>
    <mergeCell ref="A15:B15"/>
    <mergeCell ref="A28:B28"/>
    <mergeCell ref="A34:B34"/>
    <mergeCell ref="A49:B49"/>
    <mergeCell ref="A65:B65"/>
    <mergeCell ref="A74:B74"/>
    <mergeCell ref="A82:B82"/>
    <mergeCell ref="A90:B90"/>
    <mergeCell ref="A104:B104"/>
    <mergeCell ref="A116:B116"/>
    <mergeCell ref="A162:B162"/>
  </mergeCells>
  <phoneticPr fontId="51" type="noConversion"/>
  <hyperlinks>
    <hyperlink ref="A29" location="'P1'!A1" display="P1"/>
    <hyperlink ref="A31" location="'P3'!A1" display="P3"/>
    <hyperlink ref="A35" location="'E1'!A1" display="E1"/>
    <hyperlink ref="A36" location="'E2'!A1" display="E2"/>
    <hyperlink ref="A37" location="'E3'!A1" display="E3"/>
    <hyperlink ref="A38" location="'E4'!A1" display="E4"/>
    <hyperlink ref="A40" location="'E6'!A1" display="E6"/>
    <hyperlink ref="A41" location="'E7'!A1" display="E7"/>
    <hyperlink ref="A42" location="'E8'!A1" display="E8"/>
    <hyperlink ref="A43" location="'E9'!A1" display="E9"/>
    <hyperlink ref="A44" location="'E10'!A1" display="E10"/>
    <hyperlink ref="A50" location="'R1'!A1" display="R1"/>
    <hyperlink ref="A51" location="'R2'!A1" display="R2"/>
    <hyperlink ref="A52" location="'R3'!A1" display="R3"/>
    <hyperlink ref="A53" location="'R4'!A1" display="R4"/>
    <hyperlink ref="A54" location="'R5'!A1" display="R5"/>
    <hyperlink ref="A66" location="'I1'!A1" display="I1"/>
    <hyperlink ref="A67" location="'I3'!A1" display="I3"/>
    <hyperlink ref="A16" location="'1'!A1" display="'1'!A1"/>
    <hyperlink ref="A17" location="'2'!A1" display="'2'!A1"/>
    <hyperlink ref="A18" location="'3'!A1" display="'3'!A1"/>
    <hyperlink ref="A19" location="'4'!A1" display="'4'!A1"/>
    <hyperlink ref="A20" location="'5'!A1" display="'5'!A1"/>
    <hyperlink ref="A21" location="'6'!A1" display="'6'!A1"/>
    <hyperlink ref="A22" location="'7'!A1" display="'7'!A1"/>
    <hyperlink ref="A23" location="'8'!A1" display="'8'!A1"/>
    <hyperlink ref="A24" location="'9'!A1" display="'9'!A1"/>
    <hyperlink ref="A25" location="'10'!A1" display="'10'!A1"/>
    <hyperlink ref="A26" location="'11'!A1" display="'11'!A1"/>
    <hyperlink ref="A27" location="'12'!A1" display="'12'!A1"/>
    <hyperlink ref="A68" location="'I4'!A1" display="I4"/>
    <hyperlink ref="A69" location="'I5'!A1" display="I5"/>
    <hyperlink ref="A70" location="'I6'!A1" display="I6"/>
    <hyperlink ref="A71" location="'I7'!A1" display="I7"/>
    <hyperlink ref="A75" location="'PZ1'!A1" display="PZ1"/>
    <hyperlink ref="A76" location="'PZ2'!A1" display="PZ2"/>
    <hyperlink ref="A77" location="'PZ3'!A1" display="PZ3"/>
    <hyperlink ref="A80" location="'PZ6'!A1" display="PZ6"/>
    <hyperlink ref="A81" location="'PZ7'!A1" display="PZ7"/>
    <hyperlink ref="A78" location="'PZ4'!A1" display="PZ4"/>
    <hyperlink ref="A79" location="'PZ5'!A1" display="PZ5"/>
    <hyperlink ref="A83" location="'U1'!A1" display="U1"/>
    <hyperlink ref="A84" location="'U2'!A1" display="U2"/>
    <hyperlink ref="A85" location="'U3'!A1" display="U3"/>
    <hyperlink ref="A86" location="'U4'!A1" display="U4"/>
    <hyperlink ref="A91" location="'S1'!A1" display="S1"/>
    <hyperlink ref="A92" location="'S2'!A1" display="S2"/>
    <hyperlink ref="A93" location="'S3'!A1" display="S3"/>
    <hyperlink ref="A94" location="'S4'!A1" display="S4"/>
    <hyperlink ref="A95" location="'S5'!A1" display="S5"/>
    <hyperlink ref="A96" location="'S6'!A1" display="S6"/>
    <hyperlink ref="A97" location="'S7'!A1" display="S7"/>
    <hyperlink ref="A98" location="'S8'!A1" display="S8"/>
    <hyperlink ref="A99" location="'S9'!A1" display="S9"/>
    <hyperlink ref="A100" location="'S10'!A1" display="S10"/>
    <hyperlink ref="A101" location="'S11'!A1" display="S11"/>
    <hyperlink ref="A30" location="'P2'!A1" display="P2"/>
    <hyperlink ref="A32" location="'P4'!A1" display="P4"/>
    <hyperlink ref="A55" location="'R6'!A1" display="R6"/>
    <hyperlink ref="A56" location="'R7'!A1" display="R7"/>
    <hyperlink ref="A57" location="'R8'!A1" display="R8"/>
    <hyperlink ref="A58" location="'R9'!A1" display="R9"/>
    <hyperlink ref="A59" location="'R10'!A1" display="R10"/>
    <hyperlink ref="A60" location="'R11'!A1" display="R11"/>
    <hyperlink ref="A105" location="'A1'!A1" display="A1"/>
    <hyperlink ref="A106" location="'A2'!A1" display="A2"/>
    <hyperlink ref="A107" location="'A3'!A1" display="A3"/>
    <hyperlink ref="A117" location="'C1'!A1" display="C1"/>
    <hyperlink ref="A118" location="'C2'!A1" display="C2"/>
    <hyperlink ref="A119" location="'C3'!A1" display="C3"/>
    <hyperlink ref="A120" location="'C4'!A1" display="C4"/>
    <hyperlink ref="A121" location="'C5'!A1" display="C5"/>
    <hyperlink ref="A122" location="'C6'!A1" display="C6"/>
    <hyperlink ref="A123" location="'C7'!A1" display="C7"/>
    <hyperlink ref="A124" location="'C8'!A1" display="C8"/>
    <hyperlink ref="A125" location="'C9'!A1" display="C9"/>
    <hyperlink ref="A126" location="'C10'!A1" display="C10"/>
    <hyperlink ref="A127" location="'C11'!A1" display="C11"/>
    <hyperlink ref="A128" location="'C12'!A1" display="C12"/>
    <hyperlink ref="A129" location="'C13'!A1" display="C13"/>
    <hyperlink ref="A130" location="'C14'!A1" display="C14"/>
    <hyperlink ref="A131" location="'C15'!A1" display="C15"/>
    <hyperlink ref="A132" location="'C16'!A1" display="C16"/>
    <hyperlink ref="A133" location="'C17'!A1" display="C17"/>
    <hyperlink ref="A134" location="'C18'!A1" display="C18"/>
    <hyperlink ref="A135" location="'C19'!A1" display="C19"/>
    <hyperlink ref="A136" location="'C20'!A1" display="C20"/>
    <hyperlink ref="A137" location="'C21'!A1" display="C21"/>
    <hyperlink ref="A138" location="'C22'!A1" display="C22"/>
    <hyperlink ref="A139" location="'C23'!A1" display="C23"/>
    <hyperlink ref="A163" location="'CE1'!A1" display="CE1"/>
    <hyperlink ref="A164" location="'CE2'!A1" display="CE2"/>
    <hyperlink ref="A61" location="'R12'!A1" display="R12"/>
    <hyperlink ref="A62" location="'R13'!A1" display="R13"/>
    <hyperlink ref="A63" location="'R14'!A1" display="R14"/>
    <hyperlink ref="A64" location="'R15'!A1" display="R15"/>
    <hyperlink ref="A140" location="'C24'!A1" display="C24"/>
    <hyperlink ref="A141" location="'C25'!A1" display="C25"/>
    <hyperlink ref="A142" location="'C26'!A1" display="C26"/>
    <hyperlink ref="A143" location="'C27'!A1" display="C27"/>
    <hyperlink ref="A144" location="'C28'!A1" display="C28"/>
    <hyperlink ref="A102" location="'S12'!A1" display="S12"/>
    <hyperlink ref="A72" location="'I8'!A1" display="I8"/>
    <hyperlink ref="A145" location="'C29'!A1" display="C29"/>
    <hyperlink ref="A146" location="'C30'!A1" display="C30"/>
    <hyperlink ref="A147" location="'C31'!A1" display="C31"/>
    <hyperlink ref="A148" location="'C32'!A1" display="C31"/>
    <hyperlink ref="A149" location="'C33'!A1" display="C33"/>
    <hyperlink ref="A150" location="'C34'!A1" display="C34"/>
    <hyperlink ref="A151" location="'C35'!A1" display="C35"/>
    <hyperlink ref="A152" location="'C36'!A1" display="C36"/>
    <hyperlink ref="A153" location="'C37'!A1" display="C37"/>
    <hyperlink ref="A154" location="'C38'!A1" display="C38"/>
    <hyperlink ref="A155" location="'C39'!A1" display="C39"/>
    <hyperlink ref="A156" location="'C40'!A1" display="C40"/>
    <hyperlink ref="A157" location="'C41'!A1" display="C41"/>
    <hyperlink ref="A158" location="'C42'!A1" display="C42"/>
    <hyperlink ref="A159" location="'C43'!A1" display="C43"/>
    <hyperlink ref="A160" location="'C44'!A1" display="C44"/>
    <hyperlink ref="A45" location="'E11'!A1" display="E11"/>
    <hyperlink ref="A46" location="'E12'!A1" display="E12"/>
    <hyperlink ref="A39" location="'E5'!A1" display="E5"/>
    <hyperlink ref="A108" location="'A4'!A1" display="A4"/>
    <hyperlink ref="A109" location="'A5'!A1" display="A5"/>
    <hyperlink ref="A110" location="'A6'!A1" display="A6"/>
    <hyperlink ref="A111" location="'A7'!A1" display="A7"/>
    <hyperlink ref="A112" location="'A8'!A1" display="A8"/>
    <hyperlink ref="A113" location="'A9'!A1" display="A9"/>
    <hyperlink ref="A114" location="'A10'!A1" display="A10"/>
    <hyperlink ref="A115" location="'A11'!A1" display="A11"/>
    <hyperlink ref="A166" location="'EL1'!A1" display="EL1"/>
    <hyperlink ref="A167" location="'EL2'!A1" display="EL2"/>
    <hyperlink ref="A168" location="'EL3'!A1" display="EL3"/>
    <hyperlink ref="A169" location="'EL4'!A1" display="EL4"/>
    <hyperlink ref="A170" location="'EL5'!A1" display="EL5"/>
    <hyperlink ref="A171" location="'EL6'!A1" display="EL6"/>
    <hyperlink ref="A172" location="'EL7'!A1" display="EL7"/>
    <hyperlink ref="A173" location="'EL8'!A1" display="EL8"/>
    <hyperlink ref="A174" location="'EL9'!A1" display="EL9"/>
    <hyperlink ref="A175" location="'EL10'!A1" display="EL10"/>
    <hyperlink ref="A176" location="'EL11'!A1" display="EL11"/>
    <hyperlink ref="A177" location="'EL12'!A1" display="EL12"/>
    <hyperlink ref="A178" location="'EL13'!A1" display="EL13"/>
    <hyperlink ref="A179" location="'EL14'!A1" display="EL14"/>
    <hyperlink ref="A180" location="'INDICE APUs'!A1" display="EL15"/>
    <hyperlink ref="A181" location="'EL16'!A1" display="EL16"/>
    <hyperlink ref="A182" location="'EL17'!A1" display="EL17"/>
    <hyperlink ref="A183" location="'EL18'!A1" display="EL18"/>
    <hyperlink ref="A184" location="'EL19'!A1" display="EL19"/>
    <hyperlink ref="A185" location="'EL20'!A1" display="EL20"/>
    <hyperlink ref="A186" location="'EL21'!A1" display="EL21"/>
    <hyperlink ref="A187" location="'EL22'!A1" display="EL22"/>
    <hyperlink ref="A188" location="'EL23'!A1" display="EL23"/>
    <hyperlink ref="A189" location="'EL24'!A1" display="EL24"/>
    <hyperlink ref="A190" location="'EL25'!A1" display="EL25"/>
    <hyperlink ref="A191" location="'EL26'!A1" display="EL26"/>
    <hyperlink ref="A192" location="'EL27'!A1" display="EL27"/>
    <hyperlink ref="A193" location="'EL28'!A1" display="EL28"/>
    <hyperlink ref="A194" location="'EL29'!A1" display="EL29"/>
    <hyperlink ref="A196" location="'EM1'!A1" display="EM1"/>
    <hyperlink ref="A197" location="'EM2'!A1" display="EM2"/>
    <hyperlink ref="A198" location="'EM3'!A1" display="EM3"/>
    <hyperlink ref="A199" location="'EM4'!A1" display="EM4"/>
    <hyperlink ref="A200" location="'EM5'!A1" display="EM5"/>
    <hyperlink ref="A201" location="'EM6'!A1" display="EM6"/>
    <hyperlink ref="A202" location="'EM7'!A1" display="EM7"/>
    <hyperlink ref="A203" location="'EM8'!A1" display="EM8"/>
    <hyperlink ref="A204" location="'EM9'!A1" display="EM9"/>
    <hyperlink ref="A205" location="'EM10'!A1" display="EM10"/>
    <hyperlink ref="A206" location="'EM11'!A1" display="EM11"/>
    <hyperlink ref="A207" location="'EM12'!A1" display="EM12"/>
    <hyperlink ref="A208" location="'EM13'!A1" display="EM13"/>
    <hyperlink ref="A209" location="'EM14'!A1" display="EM14"/>
    <hyperlink ref="A210" location="'EM15'!A1" display="EM15"/>
    <hyperlink ref="A211" location="'EM16'!A1" display="EM16"/>
    <hyperlink ref="A212" location="'EM17'!A1" display="EM17"/>
    <hyperlink ref="A213" location="'EM18'!A1" display="EM18"/>
    <hyperlink ref="A214" location="'EM19'!A1" display="EM19"/>
    <hyperlink ref="A215" location="'EM20'!A1" display="EM20"/>
    <hyperlink ref="A87" location="'U5'!A1" display="U5"/>
    <hyperlink ref="A88" location="'U6'!A1" display="U6"/>
    <hyperlink ref="A89" location="'U7'!A1" display="U7"/>
    <hyperlink ref="A47" location="'E13'!A1" display="E13"/>
    <hyperlink ref="A48" location="'E14'!A1" display="E14"/>
    <hyperlink ref="A73" location="'I9'!A1" display="I8"/>
    <hyperlink ref="A33" location="'P4'!A1" display="P4"/>
  </hyperlinks>
  <printOptions horizontalCentered="1"/>
  <pageMargins left="0.70866141732283472" right="0.70866141732283472" top="0.78740157480314965" bottom="0.78740157480314965" header="0.39370078740157483" footer="0.62992125984251968"/>
  <pageSetup orientation="portrait" r:id="rId1"/>
  <headerFooter alignWithMargins="0">
    <oddHeader>&amp;C&amp;"Calibri,Normal"&amp;16&amp;K000000&amp;A&amp;R&amp;"Calibri,Normal"&amp;16&amp;K000000Página &amp;P</oddHeader>
  </headerFooter>
  <rowBreaks count="7" manualBreakCount="7">
    <brk id="44" max="2" man="1"/>
    <brk id="67" max="2" man="1"/>
    <brk id="91" max="2" man="1"/>
    <brk id="119" max="2" man="1"/>
    <brk id="145" max="2" man="1"/>
    <brk id="171" max="2" man="1"/>
    <brk id="215" max="16383" man="1"/>
  </rowBreaks>
  <drawing r:id="rId2"/>
  <extLst>
    <ext xmlns:mx="http://schemas.microsoft.com/office/mac/excel/2008/main" uri="{64002731-A6B0-56B0-2670-7721B7C09600}">
      <mx:PLV Mode="0" OnePage="0" WScale="8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72"/>
  <sheetViews>
    <sheetView topLeftCell="A91" zoomScale="115" zoomScaleNormal="115" zoomScalePageLayoutView="115" workbookViewId="0">
      <selection activeCell="F123" sqref="F123"/>
    </sheetView>
  </sheetViews>
  <sheetFormatPr baseColWidth="10" defaultColWidth="10.85546875" defaultRowHeight="12.75" x14ac:dyDescent="0.25"/>
  <cols>
    <col min="1" max="1" width="11.28515625" style="517" customWidth="1"/>
    <col min="2" max="2" width="42" style="517" customWidth="1"/>
    <col min="3" max="3" width="5.42578125" style="517" customWidth="1"/>
    <col min="4" max="4" width="14.28515625" style="517" customWidth="1"/>
    <col min="5" max="5" width="14.7109375" style="517" customWidth="1"/>
    <col min="6" max="16384" width="10.85546875" style="517"/>
  </cols>
  <sheetData>
    <row r="1" spans="1:5" s="512" customFormat="1" ht="13.5" thickBot="1" x14ac:dyDescent="0.3">
      <c r="A1" s="511">
        <v>3.1</v>
      </c>
      <c r="B1" s="843" t="s">
        <v>874</v>
      </c>
      <c r="C1" s="844"/>
      <c r="D1" s="845"/>
    </row>
    <row r="2" spans="1:5" s="512" customFormat="1" ht="14.25" thickTop="1" thickBot="1" x14ac:dyDescent="0.3">
      <c r="A2" s="511" t="s">
        <v>285</v>
      </c>
      <c r="B2" s="847" t="s">
        <v>875</v>
      </c>
      <c r="C2" s="848"/>
      <c r="D2" s="513" t="s">
        <v>876</v>
      </c>
      <c r="E2" s="513" t="s">
        <v>877</v>
      </c>
    </row>
    <row r="3" spans="1:5" ht="13.5" thickTop="1" x14ac:dyDescent="0.25">
      <c r="A3" s="514" t="s">
        <v>878</v>
      </c>
      <c r="B3" s="515" t="s">
        <v>879</v>
      </c>
      <c r="C3" s="515" t="s">
        <v>880</v>
      </c>
      <c r="D3" s="516">
        <v>12333.1</v>
      </c>
    </row>
    <row r="4" spans="1:5" x14ac:dyDescent="0.25">
      <c r="A4" s="514" t="s">
        <v>881</v>
      </c>
      <c r="B4" s="515" t="s">
        <v>882</v>
      </c>
      <c r="C4" s="515" t="s">
        <v>688</v>
      </c>
      <c r="D4" s="516">
        <v>620.5</v>
      </c>
    </row>
    <row r="5" spans="1:5" x14ac:dyDescent="0.25">
      <c r="A5" s="514" t="s">
        <v>883</v>
      </c>
      <c r="B5" s="515" t="s">
        <v>884</v>
      </c>
      <c r="C5" s="515" t="s">
        <v>880</v>
      </c>
      <c r="D5" s="518"/>
    </row>
    <row r="6" spans="1:5" x14ac:dyDescent="0.25">
      <c r="A6" s="514" t="s">
        <v>885</v>
      </c>
      <c r="B6" s="515" t="s">
        <v>886</v>
      </c>
      <c r="C6" s="515" t="s">
        <v>880</v>
      </c>
      <c r="D6" s="518"/>
    </row>
    <row r="7" spans="1:5" x14ac:dyDescent="0.25">
      <c r="A7" s="514" t="s">
        <v>887</v>
      </c>
      <c r="B7" s="515" t="s">
        <v>888</v>
      </c>
      <c r="C7" s="515" t="s">
        <v>880</v>
      </c>
      <c r="D7" s="518"/>
    </row>
    <row r="8" spans="1:5" x14ac:dyDescent="0.25">
      <c r="A8" s="514" t="s">
        <v>889</v>
      </c>
      <c r="B8" s="515" t="s">
        <v>890</v>
      </c>
      <c r="C8" s="515" t="s">
        <v>880</v>
      </c>
      <c r="D8" s="519"/>
    </row>
    <row r="9" spans="1:5" x14ac:dyDescent="0.25">
      <c r="A9" s="514" t="s">
        <v>891</v>
      </c>
      <c r="B9" s="515" t="s">
        <v>892</v>
      </c>
      <c r="C9" s="515" t="s">
        <v>880</v>
      </c>
      <c r="D9" s="518"/>
    </row>
    <row r="10" spans="1:5" x14ac:dyDescent="0.25">
      <c r="A10" s="514" t="s">
        <v>893</v>
      </c>
      <c r="B10" s="515" t="s">
        <v>894</v>
      </c>
      <c r="C10" s="515" t="s">
        <v>880</v>
      </c>
      <c r="D10" s="518"/>
    </row>
    <row r="11" spans="1:5" x14ac:dyDescent="0.25">
      <c r="A11" s="514" t="s">
        <v>895</v>
      </c>
      <c r="B11" s="515" t="s">
        <v>896</v>
      </c>
      <c r="C11" s="515" t="s">
        <v>880</v>
      </c>
      <c r="D11" s="518"/>
    </row>
    <row r="12" spans="1:5" x14ac:dyDescent="0.25">
      <c r="A12" s="514" t="s">
        <v>897</v>
      </c>
      <c r="B12" s="515" t="s">
        <v>898</v>
      </c>
      <c r="C12" s="515" t="s">
        <v>880</v>
      </c>
      <c r="D12" s="518"/>
    </row>
    <row r="13" spans="1:5" x14ac:dyDescent="0.25">
      <c r="A13" s="514" t="s">
        <v>899</v>
      </c>
      <c r="B13" s="515" t="s">
        <v>900</v>
      </c>
      <c r="C13" s="515" t="s">
        <v>880</v>
      </c>
      <c r="D13" s="518"/>
    </row>
    <row r="14" spans="1:5" x14ac:dyDescent="0.25">
      <c r="A14" s="514" t="s">
        <v>901</v>
      </c>
      <c r="B14" s="515" t="s">
        <v>902</v>
      </c>
      <c r="C14" s="515" t="s">
        <v>880</v>
      </c>
      <c r="D14" s="518"/>
    </row>
    <row r="15" spans="1:5" x14ac:dyDescent="0.25">
      <c r="A15" s="514" t="s">
        <v>903</v>
      </c>
      <c r="B15" s="515" t="s">
        <v>904</v>
      </c>
      <c r="C15" s="515" t="s">
        <v>688</v>
      </c>
      <c r="D15" s="518"/>
    </row>
    <row r="16" spans="1:5" x14ac:dyDescent="0.25">
      <c r="A16" s="514" t="s">
        <v>905</v>
      </c>
      <c r="B16" s="515" t="s">
        <v>906</v>
      </c>
      <c r="C16" s="515" t="s">
        <v>880</v>
      </c>
      <c r="D16" s="518"/>
    </row>
    <row r="17" spans="1:4" x14ac:dyDescent="0.25">
      <c r="A17" s="514" t="s">
        <v>907</v>
      </c>
      <c r="B17" s="515" t="s">
        <v>908</v>
      </c>
      <c r="C17" s="515" t="s">
        <v>880</v>
      </c>
      <c r="D17" s="518"/>
    </row>
    <row r="18" spans="1:4" ht="25.5" x14ac:dyDescent="0.25">
      <c r="A18" s="514" t="s">
        <v>909</v>
      </c>
      <c r="B18" s="515" t="s">
        <v>910</v>
      </c>
      <c r="C18" s="515" t="s">
        <v>880</v>
      </c>
      <c r="D18" s="518"/>
    </row>
    <row r="19" spans="1:4" s="512" customFormat="1" x14ac:dyDescent="0.25">
      <c r="A19" s="511" t="s">
        <v>288</v>
      </c>
      <c r="B19" s="843" t="s">
        <v>911</v>
      </c>
      <c r="C19" s="844"/>
      <c r="D19" s="845"/>
    </row>
    <row r="20" spans="1:4" x14ac:dyDescent="0.25">
      <c r="A20" s="514" t="s">
        <v>912</v>
      </c>
      <c r="B20" s="515" t="s">
        <v>913</v>
      </c>
      <c r="C20" s="515" t="s">
        <v>880</v>
      </c>
      <c r="D20" s="518"/>
    </row>
    <row r="21" spans="1:4" x14ac:dyDescent="0.25">
      <c r="A21" s="514" t="s">
        <v>914</v>
      </c>
      <c r="B21" s="515" t="s">
        <v>915</v>
      </c>
      <c r="C21" s="515" t="s">
        <v>621</v>
      </c>
      <c r="D21" s="518"/>
    </row>
    <row r="22" spans="1:4" s="512" customFormat="1" x14ac:dyDescent="0.25">
      <c r="A22" s="511" t="s">
        <v>916</v>
      </c>
      <c r="B22" s="843" t="s">
        <v>917</v>
      </c>
      <c r="C22" s="844"/>
      <c r="D22" s="845"/>
    </row>
    <row r="23" spans="1:4" x14ac:dyDescent="0.25">
      <c r="A23" s="514" t="s">
        <v>918</v>
      </c>
      <c r="B23" s="515" t="s">
        <v>919</v>
      </c>
      <c r="C23" s="515" t="s">
        <v>920</v>
      </c>
      <c r="D23" s="519"/>
    </row>
    <row r="24" spans="1:4" x14ac:dyDescent="0.25">
      <c r="A24" s="514" t="s">
        <v>921</v>
      </c>
      <c r="B24" s="515" t="s">
        <v>919</v>
      </c>
      <c r="C24" s="515" t="s">
        <v>922</v>
      </c>
      <c r="D24" s="516">
        <v>1554179.1</v>
      </c>
    </row>
    <row r="25" spans="1:4" x14ac:dyDescent="0.25">
      <c r="A25" s="514" t="s">
        <v>923</v>
      </c>
      <c r="B25" s="515" t="s">
        <v>919</v>
      </c>
      <c r="C25" s="515" t="s">
        <v>621</v>
      </c>
      <c r="D25" s="519"/>
    </row>
    <row r="26" spans="1:4" ht="25.5" x14ac:dyDescent="0.25">
      <c r="A26" s="514" t="s">
        <v>924</v>
      </c>
      <c r="B26" s="515" t="s">
        <v>925</v>
      </c>
      <c r="C26" s="515" t="s">
        <v>926</v>
      </c>
      <c r="D26" s="519"/>
    </row>
    <row r="27" spans="1:4" s="512" customFormat="1" x14ac:dyDescent="0.25">
      <c r="A27" s="511">
        <v>3.2</v>
      </c>
      <c r="B27" s="843" t="s">
        <v>927</v>
      </c>
      <c r="C27" s="844"/>
      <c r="D27" s="845"/>
    </row>
    <row r="28" spans="1:4" s="512" customFormat="1" x14ac:dyDescent="0.25">
      <c r="A28" s="511" t="s">
        <v>293</v>
      </c>
      <c r="B28" s="843" t="s">
        <v>928</v>
      </c>
      <c r="C28" s="844"/>
      <c r="D28" s="845"/>
    </row>
    <row r="29" spans="1:4" x14ac:dyDescent="0.25">
      <c r="A29" s="514" t="s">
        <v>929</v>
      </c>
      <c r="B29" s="515" t="s">
        <v>930</v>
      </c>
      <c r="C29" s="515" t="s">
        <v>931</v>
      </c>
      <c r="D29" s="519"/>
    </row>
    <row r="30" spans="1:4" x14ac:dyDescent="0.25">
      <c r="A30" s="514" t="s">
        <v>932</v>
      </c>
      <c r="B30" s="515" t="s">
        <v>933</v>
      </c>
      <c r="C30" s="515" t="s">
        <v>931</v>
      </c>
      <c r="D30" s="519"/>
    </row>
    <row r="31" spans="1:4" x14ac:dyDescent="0.25">
      <c r="A31" s="514" t="s">
        <v>934</v>
      </c>
      <c r="B31" s="515" t="s">
        <v>935</v>
      </c>
      <c r="C31" s="515" t="s">
        <v>931</v>
      </c>
      <c r="D31" s="519"/>
    </row>
    <row r="32" spans="1:4" s="512" customFormat="1" x14ac:dyDescent="0.25">
      <c r="A32" s="511" t="s">
        <v>295</v>
      </c>
      <c r="B32" s="843" t="s">
        <v>936</v>
      </c>
      <c r="C32" s="844"/>
      <c r="D32" s="845"/>
    </row>
    <row r="33" spans="1:4" x14ac:dyDescent="0.25">
      <c r="A33" s="514" t="s">
        <v>937</v>
      </c>
      <c r="B33" s="515" t="s">
        <v>938</v>
      </c>
      <c r="C33" s="515" t="s">
        <v>931</v>
      </c>
      <c r="D33" s="519"/>
    </row>
    <row r="34" spans="1:4" x14ac:dyDescent="0.25">
      <c r="A34" s="514" t="s">
        <v>939</v>
      </c>
      <c r="B34" s="515" t="s">
        <v>940</v>
      </c>
      <c r="C34" s="515" t="s">
        <v>931</v>
      </c>
      <c r="D34" s="519"/>
    </row>
    <row r="35" spans="1:4" s="512" customFormat="1" x14ac:dyDescent="0.25">
      <c r="A35" s="511" t="s">
        <v>941</v>
      </c>
      <c r="B35" s="843" t="s">
        <v>942</v>
      </c>
      <c r="C35" s="844"/>
      <c r="D35" s="845"/>
    </row>
    <row r="36" spans="1:4" x14ac:dyDescent="0.25">
      <c r="A36" s="514" t="s">
        <v>943</v>
      </c>
      <c r="B36" s="515" t="s">
        <v>944</v>
      </c>
      <c r="C36" s="515" t="s">
        <v>688</v>
      </c>
      <c r="D36" s="518"/>
    </row>
    <row r="37" spans="1:4" x14ac:dyDescent="0.25">
      <c r="A37" s="514" t="s">
        <v>945</v>
      </c>
      <c r="B37" s="515" t="s">
        <v>946</v>
      </c>
      <c r="C37" s="515" t="s">
        <v>688</v>
      </c>
      <c r="D37" s="519"/>
    </row>
    <row r="38" spans="1:4" s="512" customFormat="1" x14ac:dyDescent="0.25">
      <c r="A38" s="511" t="s">
        <v>947</v>
      </c>
      <c r="B38" s="843" t="s">
        <v>948</v>
      </c>
      <c r="C38" s="844"/>
      <c r="D38" s="845"/>
    </row>
    <row r="39" spans="1:4" ht="25.5" x14ac:dyDescent="0.25">
      <c r="A39" s="514" t="s">
        <v>949</v>
      </c>
      <c r="B39" s="515" t="s">
        <v>950</v>
      </c>
      <c r="C39" s="515" t="s">
        <v>931</v>
      </c>
      <c r="D39" s="519"/>
    </row>
    <row r="40" spans="1:4" ht="25.5" x14ac:dyDescent="0.25">
      <c r="A40" s="514" t="s">
        <v>951</v>
      </c>
      <c r="B40" s="515" t="s">
        <v>952</v>
      </c>
      <c r="C40" s="515" t="s">
        <v>931</v>
      </c>
      <c r="D40" s="519"/>
    </row>
    <row r="41" spans="1:4" s="512" customFormat="1" x14ac:dyDescent="0.25">
      <c r="A41" s="511" t="s">
        <v>953</v>
      </c>
      <c r="B41" s="843" t="s">
        <v>954</v>
      </c>
      <c r="C41" s="844" t="s">
        <v>931</v>
      </c>
      <c r="D41" s="845"/>
    </row>
    <row r="42" spans="1:4" s="512" customFormat="1" x14ac:dyDescent="0.25">
      <c r="A42" s="511" t="s">
        <v>955</v>
      </c>
      <c r="B42" s="520" t="s">
        <v>956</v>
      </c>
      <c r="C42" s="515" t="s">
        <v>931</v>
      </c>
      <c r="D42" s="521"/>
    </row>
    <row r="43" spans="1:4" s="512" customFormat="1" x14ac:dyDescent="0.25">
      <c r="A43" s="511" t="s">
        <v>957</v>
      </c>
      <c r="B43" s="843" t="s">
        <v>958</v>
      </c>
      <c r="C43" s="844"/>
      <c r="D43" s="845"/>
    </row>
    <row r="44" spans="1:4" x14ac:dyDescent="0.25">
      <c r="A44" s="514" t="s">
        <v>959</v>
      </c>
      <c r="B44" s="515" t="s">
        <v>960</v>
      </c>
      <c r="C44" s="515" t="s">
        <v>920</v>
      </c>
      <c r="D44" s="519"/>
    </row>
    <row r="45" spans="1:4" x14ac:dyDescent="0.25">
      <c r="A45" s="514" t="s">
        <v>961</v>
      </c>
      <c r="B45" s="515" t="s">
        <v>962</v>
      </c>
      <c r="C45" s="515" t="s">
        <v>920</v>
      </c>
      <c r="D45" s="519"/>
    </row>
    <row r="46" spans="1:4" s="512" customFormat="1" x14ac:dyDescent="0.25">
      <c r="A46" s="511">
        <v>3.3</v>
      </c>
      <c r="B46" s="843" t="s">
        <v>963</v>
      </c>
      <c r="C46" s="844"/>
      <c r="D46" s="845"/>
    </row>
    <row r="47" spans="1:4" s="512" customFormat="1" x14ac:dyDescent="0.25">
      <c r="A47" s="511" t="s">
        <v>298</v>
      </c>
      <c r="B47" s="843" t="s">
        <v>964</v>
      </c>
      <c r="C47" s="844"/>
      <c r="D47" s="845"/>
    </row>
    <row r="48" spans="1:4" x14ac:dyDescent="0.25">
      <c r="A48" s="514" t="s">
        <v>965</v>
      </c>
      <c r="B48" s="515" t="s">
        <v>966</v>
      </c>
      <c r="C48" s="515" t="s">
        <v>931</v>
      </c>
      <c r="D48" s="516" t="s">
        <v>967</v>
      </c>
    </row>
    <row r="49" spans="1:4" s="512" customFormat="1" x14ac:dyDescent="0.25">
      <c r="A49" s="511" t="s">
        <v>301</v>
      </c>
      <c r="B49" s="843" t="s">
        <v>968</v>
      </c>
      <c r="C49" s="844"/>
      <c r="D49" s="845"/>
    </row>
    <row r="50" spans="1:4" ht="51" x14ac:dyDescent="0.25">
      <c r="A50" s="514" t="s">
        <v>969</v>
      </c>
      <c r="B50" s="515" t="s">
        <v>970</v>
      </c>
      <c r="C50" s="515" t="s">
        <v>971</v>
      </c>
      <c r="D50" s="519"/>
    </row>
    <row r="51" spans="1:4" ht="51" x14ac:dyDescent="0.25">
      <c r="A51" s="514" t="s">
        <v>972</v>
      </c>
      <c r="B51" s="515" t="s">
        <v>973</v>
      </c>
      <c r="C51" s="515" t="s">
        <v>971</v>
      </c>
      <c r="D51" s="519"/>
    </row>
    <row r="52" spans="1:4" ht="38.25" x14ac:dyDescent="0.25">
      <c r="A52" s="514" t="s">
        <v>974</v>
      </c>
      <c r="B52" s="515" t="s">
        <v>975</v>
      </c>
      <c r="C52" s="515" t="s">
        <v>971</v>
      </c>
      <c r="D52" s="519"/>
    </row>
    <row r="53" spans="1:4" ht="38.25" x14ac:dyDescent="0.25">
      <c r="A53" s="514" t="s">
        <v>976</v>
      </c>
      <c r="B53" s="515" t="s">
        <v>977</v>
      </c>
      <c r="C53" s="515" t="s">
        <v>971</v>
      </c>
      <c r="D53" s="518"/>
    </row>
    <row r="54" spans="1:4" ht="51" x14ac:dyDescent="0.25">
      <c r="A54" s="514" t="s">
        <v>978</v>
      </c>
      <c r="B54" s="515" t="s">
        <v>979</v>
      </c>
      <c r="C54" s="515" t="s">
        <v>971</v>
      </c>
      <c r="D54" s="519"/>
    </row>
    <row r="55" spans="1:4" s="512" customFormat="1" x14ac:dyDescent="0.25">
      <c r="A55" s="511" t="s">
        <v>304</v>
      </c>
      <c r="B55" s="843" t="s">
        <v>980</v>
      </c>
      <c r="C55" s="844"/>
      <c r="D55" s="845"/>
    </row>
    <row r="56" spans="1:4" ht="51" x14ac:dyDescent="0.25">
      <c r="A56" s="514" t="s">
        <v>981</v>
      </c>
      <c r="B56" s="515" t="s">
        <v>982</v>
      </c>
      <c r="C56" s="515" t="s">
        <v>971</v>
      </c>
      <c r="D56" s="518"/>
    </row>
    <row r="57" spans="1:4" ht="51" x14ac:dyDescent="0.25">
      <c r="A57" s="514" t="s">
        <v>983</v>
      </c>
      <c r="B57" s="515" t="s">
        <v>984</v>
      </c>
      <c r="C57" s="515" t="s">
        <v>971</v>
      </c>
      <c r="D57" s="516">
        <v>4400</v>
      </c>
    </row>
    <row r="58" spans="1:4" ht="51" x14ac:dyDescent="0.25">
      <c r="A58" s="514" t="s">
        <v>985</v>
      </c>
      <c r="B58" s="515" t="s">
        <v>986</v>
      </c>
      <c r="C58" s="515" t="s">
        <v>971</v>
      </c>
      <c r="D58" s="516">
        <v>10800</v>
      </c>
    </row>
    <row r="59" spans="1:4" ht="51" x14ac:dyDescent="0.25">
      <c r="A59" s="514" t="s">
        <v>987</v>
      </c>
      <c r="B59" s="515" t="s">
        <v>988</v>
      </c>
      <c r="C59" s="515" t="s">
        <v>971</v>
      </c>
      <c r="D59" s="516"/>
    </row>
    <row r="60" spans="1:4" ht="38.25" x14ac:dyDescent="0.25">
      <c r="A60" s="514" t="s">
        <v>989</v>
      </c>
      <c r="B60" s="515" t="s">
        <v>990</v>
      </c>
      <c r="C60" s="515" t="s">
        <v>971</v>
      </c>
      <c r="D60" s="516"/>
    </row>
    <row r="61" spans="1:4" ht="51" x14ac:dyDescent="0.25">
      <c r="A61" s="514" t="s">
        <v>991</v>
      </c>
      <c r="B61" s="515" t="s">
        <v>992</v>
      </c>
      <c r="C61" s="515" t="s">
        <v>971</v>
      </c>
      <c r="D61" s="518"/>
    </row>
    <row r="62" spans="1:4" s="512" customFormat="1" x14ac:dyDescent="0.25">
      <c r="A62" s="511" t="s">
        <v>307</v>
      </c>
      <c r="B62" s="843" t="s">
        <v>993</v>
      </c>
      <c r="C62" s="844"/>
      <c r="D62" s="845"/>
    </row>
    <row r="63" spans="1:4" ht="51" x14ac:dyDescent="0.25">
      <c r="A63" s="514" t="s">
        <v>994</v>
      </c>
      <c r="B63" s="515" t="s">
        <v>982</v>
      </c>
      <c r="C63" s="515" t="s">
        <v>971</v>
      </c>
      <c r="D63" s="518"/>
    </row>
    <row r="64" spans="1:4" ht="51" x14ac:dyDescent="0.25">
      <c r="A64" s="514" t="s">
        <v>995</v>
      </c>
      <c r="B64" s="515" t="s">
        <v>996</v>
      </c>
      <c r="C64" s="515" t="s">
        <v>971</v>
      </c>
      <c r="D64" s="518"/>
    </row>
    <row r="65" spans="1:4" ht="51" x14ac:dyDescent="0.25">
      <c r="A65" s="514" t="s">
        <v>997</v>
      </c>
      <c r="B65" s="515" t="s">
        <v>988</v>
      </c>
      <c r="C65" s="515" t="s">
        <v>971</v>
      </c>
      <c r="D65" s="518"/>
    </row>
    <row r="66" spans="1:4" ht="38.25" x14ac:dyDescent="0.25">
      <c r="A66" s="514" t="s">
        <v>998</v>
      </c>
      <c r="B66" s="515" t="s">
        <v>990</v>
      </c>
      <c r="C66" s="515" t="s">
        <v>971</v>
      </c>
      <c r="D66" s="518"/>
    </row>
    <row r="67" spans="1:4" ht="51" x14ac:dyDescent="0.25">
      <c r="A67" s="514" t="s">
        <v>999</v>
      </c>
      <c r="B67" s="515" t="s">
        <v>992</v>
      </c>
      <c r="C67" s="515" t="s">
        <v>971</v>
      </c>
      <c r="D67" s="518"/>
    </row>
    <row r="68" spans="1:4" s="512" customFormat="1" x14ac:dyDescent="0.25">
      <c r="A68" s="511" t="s">
        <v>310</v>
      </c>
      <c r="B68" s="843" t="s">
        <v>1000</v>
      </c>
      <c r="C68" s="844"/>
      <c r="D68" s="845"/>
    </row>
    <row r="69" spans="1:4" x14ac:dyDescent="0.25">
      <c r="A69" s="514" t="s">
        <v>1001</v>
      </c>
      <c r="B69" s="515" t="s">
        <v>1002</v>
      </c>
      <c r="C69" s="515" t="s">
        <v>700</v>
      </c>
      <c r="D69" s="519"/>
    </row>
    <row r="70" spans="1:4" x14ac:dyDescent="0.25">
      <c r="A70" s="514" t="s">
        <v>1003</v>
      </c>
      <c r="B70" s="515" t="s">
        <v>1002</v>
      </c>
      <c r="C70" s="515" t="s">
        <v>920</v>
      </c>
      <c r="D70" s="519"/>
    </row>
    <row r="71" spans="1:4" s="512" customFormat="1" x14ac:dyDescent="0.25">
      <c r="A71" s="511" t="s">
        <v>1004</v>
      </c>
      <c r="B71" s="843" t="s">
        <v>1005</v>
      </c>
      <c r="C71" s="844"/>
      <c r="D71" s="845"/>
    </row>
    <row r="72" spans="1:4" x14ac:dyDescent="0.25">
      <c r="A72" s="514" t="s">
        <v>1006</v>
      </c>
      <c r="B72" s="515" t="s">
        <v>1007</v>
      </c>
      <c r="C72" s="515" t="s">
        <v>1008</v>
      </c>
      <c r="D72" s="518"/>
    </row>
    <row r="73" spans="1:4" x14ac:dyDescent="0.25">
      <c r="A73" s="514" t="s">
        <v>1009</v>
      </c>
      <c r="B73" s="515" t="s">
        <v>1010</v>
      </c>
      <c r="C73" s="515" t="s">
        <v>1008</v>
      </c>
      <c r="D73" s="518"/>
    </row>
    <row r="74" spans="1:4" x14ac:dyDescent="0.25">
      <c r="A74" s="514" t="s">
        <v>1011</v>
      </c>
      <c r="B74" s="515" t="s">
        <v>1012</v>
      </c>
      <c r="C74" s="515" t="s">
        <v>1008</v>
      </c>
      <c r="D74" s="518"/>
    </row>
    <row r="75" spans="1:4" s="512" customFormat="1" x14ac:dyDescent="0.25">
      <c r="A75" s="511" t="s">
        <v>1013</v>
      </c>
      <c r="B75" s="843" t="s">
        <v>1014</v>
      </c>
      <c r="C75" s="844"/>
      <c r="D75" s="845"/>
    </row>
    <row r="76" spans="1:4" x14ac:dyDescent="0.25">
      <c r="A76" s="514" t="s">
        <v>1015</v>
      </c>
      <c r="B76" s="515" t="s">
        <v>1016</v>
      </c>
      <c r="C76" s="515" t="s">
        <v>931</v>
      </c>
      <c r="D76" s="519"/>
    </row>
    <row r="77" spans="1:4" x14ac:dyDescent="0.25">
      <c r="A77" s="514" t="s">
        <v>1017</v>
      </c>
      <c r="B77" s="515" t="s">
        <v>1018</v>
      </c>
      <c r="C77" s="515" t="s">
        <v>931</v>
      </c>
      <c r="D77" s="519"/>
    </row>
    <row r="78" spans="1:4" ht="25.5" x14ac:dyDescent="0.25">
      <c r="A78" s="514" t="s">
        <v>1019</v>
      </c>
      <c r="B78" s="515" t="s">
        <v>1020</v>
      </c>
      <c r="C78" s="515" t="s">
        <v>931</v>
      </c>
      <c r="D78" s="518"/>
    </row>
    <row r="79" spans="1:4" x14ac:dyDescent="0.25">
      <c r="A79" s="514" t="s">
        <v>1021</v>
      </c>
      <c r="B79" s="515" t="s">
        <v>1022</v>
      </c>
      <c r="C79" s="515" t="s">
        <v>931</v>
      </c>
      <c r="D79" s="518"/>
    </row>
    <row r="80" spans="1:4" x14ac:dyDescent="0.25">
      <c r="A80" s="514" t="s">
        <v>1023</v>
      </c>
      <c r="B80" s="515" t="s">
        <v>1024</v>
      </c>
      <c r="C80" s="515" t="s">
        <v>931</v>
      </c>
      <c r="D80" s="519"/>
    </row>
    <row r="81" spans="1:5" ht="25.5" x14ac:dyDescent="0.25">
      <c r="A81" s="514" t="s">
        <v>1025</v>
      </c>
      <c r="B81" s="515" t="s">
        <v>1026</v>
      </c>
      <c r="C81" s="515" t="s">
        <v>931</v>
      </c>
      <c r="D81" s="518"/>
    </row>
    <row r="82" spans="1:5" x14ac:dyDescent="0.25">
      <c r="A82" s="514" t="s">
        <v>1027</v>
      </c>
      <c r="B82" s="515" t="s">
        <v>1028</v>
      </c>
      <c r="C82" s="515" t="s">
        <v>931</v>
      </c>
      <c r="D82" s="519"/>
    </row>
    <row r="83" spans="1:5" x14ac:dyDescent="0.25">
      <c r="A83" s="514" t="s">
        <v>1029</v>
      </c>
      <c r="B83" s="515" t="s">
        <v>1030</v>
      </c>
      <c r="C83" s="515" t="s">
        <v>931</v>
      </c>
      <c r="D83" s="518"/>
    </row>
    <row r="84" spans="1:5" x14ac:dyDescent="0.25">
      <c r="A84" s="514" t="s">
        <v>1031</v>
      </c>
      <c r="B84" s="515" t="s">
        <v>1032</v>
      </c>
      <c r="C84" s="515" t="s">
        <v>931</v>
      </c>
      <c r="D84" s="519"/>
    </row>
    <row r="85" spans="1:5" x14ac:dyDescent="0.25">
      <c r="A85" s="514" t="s">
        <v>1033</v>
      </c>
      <c r="B85" s="515" t="s">
        <v>1034</v>
      </c>
      <c r="C85" s="515" t="s">
        <v>931</v>
      </c>
      <c r="D85" s="518"/>
    </row>
    <row r="86" spans="1:5" ht="13.5" thickBot="1" x14ac:dyDescent="0.3">
      <c r="A86" s="511" t="s">
        <v>1035</v>
      </c>
      <c r="B86" s="520" t="s">
        <v>1036</v>
      </c>
      <c r="C86" s="515" t="s">
        <v>1008</v>
      </c>
      <c r="D86" s="516">
        <v>40917.5</v>
      </c>
    </row>
    <row r="87" spans="1:5" s="512" customFormat="1" ht="14.25" thickTop="1" thickBot="1" x14ac:dyDescent="0.3">
      <c r="A87" s="511">
        <v>3.4</v>
      </c>
      <c r="B87" s="847" t="s">
        <v>1037</v>
      </c>
      <c r="C87" s="848"/>
      <c r="D87" s="513" t="s">
        <v>876</v>
      </c>
      <c r="E87" s="513" t="s">
        <v>877</v>
      </c>
    </row>
    <row r="88" spans="1:5" s="512" customFormat="1" ht="13.5" thickTop="1" x14ac:dyDescent="0.25">
      <c r="A88" s="511" t="s">
        <v>315</v>
      </c>
      <c r="B88" s="843" t="s">
        <v>1038</v>
      </c>
      <c r="C88" s="844"/>
      <c r="D88" s="845"/>
    </row>
    <row r="89" spans="1:5" s="512" customFormat="1" x14ac:dyDescent="0.25">
      <c r="A89" s="511" t="s">
        <v>1039</v>
      </c>
      <c r="B89" s="843" t="s">
        <v>1040</v>
      </c>
      <c r="C89" s="844"/>
      <c r="D89" s="845"/>
    </row>
    <row r="90" spans="1:5" x14ac:dyDescent="0.25">
      <c r="A90" s="514" t="s">
        <v>1041</v>
      </c>
      <c r="B90" s="515" t="s">
        <v>1042</v>
      </c>
      <c r="C90" s="515" t="s">
        <v>697</v>
      </c>
      <c r="D90" s="518"/>
    </row>
    <row r="91" spans="1:5" x14ac:dyDescent="0.25">
      <c r="A91" s="514" t="s">
        <v>1043</v>
      </c>
      <c r="B91" s="515" t="s">
        <v>1044</v>
      </c>
      <c r="C91" s="515" t="s">
        <v>697</v>
      </c>
      <c r="D91" s="518"/>
    </row>
    <row r="92" spans="1:5" x14ac:dyDescent="0.25">
      <c r="A92" s="514" t="s">
        <v>1045</v>
      </c>
      <c r="B92" s="515" t="s">
        <v>1046</v>
      </c>
      <c r="C92" s="515" t="s">
        <v>697</v>
      </c>
      <c r="D92" s="518"/>
    </row>
    <row r="93" spans="1:5" ht="51" x14ac:dyDescent="0.25">
      <c r="A93" s="514" t="s">
        <v>1047</v>
      </c>
      <c r="B93" s="515" t="s">
        <v>1048</v>
      </c>
      <c r="C93" s="515" t="s">
        <v>697</v>
      </c>
      <c r="D93" s="519"/>
    </row>
    <row r="94" spans="1:5" ht="51" x14ac:dyDescent="0.25">
      <c r="A94" s="514" t="s">
        <v>1049</v>
      </c>
      <c r="B94" s="515" t="s">
        <v>1050</v>
      </c>
      <c r="C94" s="515" t="s">
        <v>697</v>
      </c>
      <c r="D94" s="519"/>
    </row>
    <row r="95" spans="1:5" ht="51" x14ac:dyDescent="0.25">
      <c r="A95" s="514" t="s">
        <v>1051</v>
      </c>
      <c r="B95" s="515" t="s">
        <v>1052</v>
      </c>
      <c r="C95" s="515" t="s">
        <v>697</v>
      </c>
      <c r="D95" s="519"/>
    </row>
    <row r="96" spans="1:5" ht="51" x14ac:dyDescent="0.25">
      <c r="A96" s="514" t="s">
        <v>1053</v>
      </c>
      <c r="B96" s="515" t="s">
        <v>1054</v>
      </c>
      <c r="C96" s="515" t="s">
        <v>697</v>
      </c>
      <c r="D96" s="519"/>
    </row>
    <row r="97" spans="1:4" ht="51" x14ac:dyDescent="0.25">
      <c r="A97" s="514" t="s">
        <v>1055</v>
      </c>
      <c r="B97" s="515" t="s">
        <v>1056</v>
      </c>
      <c r="C97" s="515" t="s">
        <v>697</v>
      </c>
      <c r="D97" s="519"/>
    </row>
    <row r="98" spans="1:4" ht="51" x14ac:dyDescent="0.25">
      <c r="A98" s="514" t="s">
        <v>1057</v>
      </c>
      <c r="B98" s="515" t="s">
        <v>1058</v>
      </c>
      <c r="C98" s="515" t="s">
        <v>697</v>
      </c>
      <c r="D98" s="519"/>
    </row>
    <row r="99" spans="1:4" ht="51" x14ac:dyDescent="0.25">
      <c r="A99" s="514" t="s">
        <v>1059</v>
      </c>
      <c r="B99" s="515" t="s">
        <v>1060</v>
      </c>
      <c r="C99" s="515" t="s">
        <v>697</v>
      </c>
      <c r="D99" s="519"/>
    </row>
    <row r="100" spans="1:4" ht="51" x14ac:dyDescent="0.25">
      <c r="A100" s="514" t="s">
        <v>1061</v>
      </c>
      <c r="B100" s="515" t="s">
        <v>1062</v>
      </c>
      <c r="C100" s="515" t="s">
        <v>697</v>
      </c>
      <c r="D100" s="519"/>
    </row>
    <row r="101" spans="1:4" x14ac:dyDescent="0.25">
      <c r="A101" s="514" t="s">
        <v>1063</v>
      </c>
      <c r="B101" s="515" t="s">
        <v>1064</v>
      </c>
      <c r="C101" s="515" t="s">
        <v>697</v>
      </c>
      <c r="D101" s="518"/>
    </row>
    <row r="102" spans="1:4" x14ac:dyDescent="0.25">
      <c r="A102" s="514" t="s">
        <v>1065</v>
      </c>
      <c r="B102" s="515" t="s">
        <v>1066</v>
      </c>
      <c r="C102" s="515" t="s">
        <v>697</v>
      </c>
      <c r="D102" s="518"/>
    </row>
    <row r="103" spans="1:4" x14ac:dyDescent="0.25">
      <c r="A103" s="514" t="s">
        <v>1067</v>
      </c>
      <c r="B103" s="515" t="s">
        <v>1068</v>
      </c>
      <c r="C103" s="515" t="s">
        <v>880</v>
      </c>
      <c r="D103" s="518"/>
    </row>
    <row r="104" spans="1:4" x14ac:dyDescent="0.25">
      <c r="A104" s="514" t="s">
        <v>1069</v>
      </c>
      <c r="B104" s="515" t="s">
        <v>1070</v>
      </c>
      <c r="C104" s="515" t="s">
        <v>880</v>
      </c>
      <c r="D104" s="518"/>
    </row>
    <row r="105" spans="1:4" s="512" customFormat="1" x14ac:dyDescent="0.25">
      <c r="A105" s="511" t="s">
        <v>1071</v>
      </c>
      <c r="B105" s="843" t="s">
        <v>1072</v>
      </c>
      <c r="C105" s="844"/>
      <c r="D105" s="845"/>
    </row>
    <row r="106" spans="1:4" x14ac:dyDescent="0.25">
      <c r="A106" s="514" t="s">
        <v>1073</v>
      </c>
      <c r="B106" s="515" t="s">
        <v>1074</v>
      </c>
      <c r="C106" s="515" t="s">
        <v>697</v>
      </c>
      <c r="D106" s="518"/>
    </row>
    <row r="107" spans="1:4" x14ac:dyDescent="0.25">
      <c r="A107" s="514" t="s">
        <v>1075</v>
      </c>
      <c r="B107" s="515" t="s">
        <v>1076</v>
      </c>
      <c r="C107" s="515" t="s">
        <v>697</v>
      </c>
      <c r="D107" s="518"/>
    </row>
    <row r="108" spans="1:4" x14ac:dyDescent="0.25">
      <c r="A108" s="514" t="s">
        <v>1077</v>
      </c>
      <c r="B108" s="515" t="s">
        <v>1046</v>
      </c>
      <c r="C108" s="515" t="s">
        <v>697</v>
      </c>
      <c r="D108" s="518"/>
    </row>
    <row r="109" spans="1:4" x14ac:dyDescent="0.25">
      <c r="A109" s="514" t="s">
        <v>1078</v>
      </c>
      <c r="B109" s="515" t="s">
        <v>1064</v>
      </c>
      <c r="C109" s="515" t="s">
        <v>697</v>
      </c>
      <c r="D109" s="518"/>
    </row>
    <row r="110" spans="1:4" x14ac:dyDescent="0.25">
      <c r="A110" s="514" t="s">
        <v>1079</v>
      </c>
      <c r="B110" s="515" t="s">
        <v>1066</v>
      </c>
      <c r="C110" s="515" t="s">
        <v>697</v>
      </c>
      <c r="D110" s="518"/>
    </row>
    <row r="111" spans="1:4" x14ac:dyDescent="0.25">
      <c r="A111" s="514" t="s">
        <v>1080</v>
      </c>
      <c r="B111" s="515" t="s">
        <v>1081</v>
      </c>
      <c r="C111" s="515" t="s">
        <v>697</v>
      </c>
      <c r="D111" s="518"/>
    </row>
    <row r="112" spans="1:4" x14ac:dyDescent="0.25">
      <c r="A112" s="514" t="s">
        <v>1082</v>
      </c>
      <c r="B112" s="515" t="s">
        <v>1070</v>
      </c>
      <c r="C112" s="515" t="s">
        <v>697</v>
      </c>
      <c r="D112" s="518"/>
    </row>
    <row r="113" spans="1:5" s="512" customFormat="1" ht="13.5" thickBot="1" x14ac:dyDescent="0.3">
      <c r="A113" s="511" t="s">
        <v>1083</v>
      </c>
      <c r="B113" s="843" t="s">
        <v>1084</v>
      </c>
      <c r="C113" s="844"/>
      <c r="D113" s="845"/>
    </row>
    <row r="114" spans="1:5" s="512" customFormat="1" ht="24.75" customHeight="1" thickTop="1" thickBot="1" x14ac:dyDescent="0.3">
      <c r="A114" s="511" t="s">
        <v>1085</v>
      </c>
      <c r="B114" s="847" t="s">
        <v>1086</v>
      </c>
      <c r="C114" s="848"/>
      <c r="D114" s="513" t="s">
        <v>876</v>
      </c>
      <c r="E114" s="513" t="s">
        <v>877</v>
      </c>
    </row>
    <row r="115" spans="1:5" ht="13.5" thickTop="1" x14ac:dyDescent="0.25">
      <c r="A115" s="514" t="s">
        <v>1087</v>
      </c>
      <c r="B115" s="515" t="s">
        <v>1088</v>
      </c>
      <c r="C115" s="515" t="s">
        <v>688</v>
      </c>
      <c r="D115" s="518"/>
    </row>
    <row r="116" spans="1:5" x14ac:dyDescent="0.25">
      <c r="A116" s="514" t="s">
        <v>1089</v>
      </c>
      <c r="B116" s="515" t="s">
        <v>1090</v>
      </c>
      <c r="C116" s="515" t="s">
        <v>688</v>
      </c>
      <c r="D116" s="518"/>
    </row>
    <row r="117" spans="1:5" x14ac:dyDescent="0.25">
      <c r="A117" s="514" t="s">
        <v>1091</v>
      </c>
      <c r="B117" s="515" t="s">
        <v>1092</v>
      </c>
      <c r="C117" s="515" t="s">
        <v>688</v>
      </c>
      <c r="D117" s="518"/>
    </row>
    <row r="118" spans="1:5" ht="13.5" thickBot="1" x14ac:dyDescent="0.3">
      <c r="A118" s="514" t="s">
        <v>1093</v>
      </c>
      <c r="B118" s="515" t="s">
        <v>1094</v>
      </c>
      <c r="C118" s="515" t="s">
        <v>688</v>
      </c>
      <c r="D118" s="518"/>
    </row>
    <row r="119" spans="1:5" s="512" customFormat="1" ht="24.75" customHeight="1" thickTop="1" thickBot="1" x14ac:dyDescent="0.3">
      <c r="A119" s="511" t="s">
        <v>1095</v>
      </c>
      <c r="B119" s="847" t="s">
        <v>1096</v>
      </c>
      <c r="C119" s="848"/>
      <c r="D119" s="513" t="s">
        <v>876</v>
      </c>
      <c r="E119" s="513" t="s">
        <v>877</v>
      </c>
    </row>
    <row r="120" spans="1:5" ht="26.25" thickTop="1" x14ac:dyDescent="0.25">
      <c r="A120" s="514" t="s">
        <v>1097</v>
      </c>
      <c r="B120" s="515" t="s">
        <v>1098</v>
      </c>
      <c r="C120" s="515" t="s">
        <v>688</v>
      </c>
      <c r="D120" s="519"/>
      <c r="E120" s="589">
        <f>32983*1.03</f>
        <v>33972.49</v>
      </c>
    </row>
    <row r="121" spans="1:5" ht="25.5" x14ac:dyDescent="0.25">
      <c r="A121" s="514" t="s">
        <v>1099</v>
      </c>
      <c r="B121" s="515" t="s">
        <v>1100</v>
      </c>
      <c r="C121" s="515" t="s">
        <v>688</v>
      </c>
      <c r="D121" s="519"/>
      <c r="E121" s="589">
        <f>45728*1.03</f>
        <v>47099.840000000004</v>
      </c>
    </row>
    <row r="122" spans="1:5" ht="28.5" customHeight="1" x14ac:dyDescent="0.25">
      <c r="A122" s="514" t="s">
        <v>1101</v>
      </c>
      <c r="B122" s="515" t="s">
        <v>1102</v>
      </c>
      <c r="C122" s="515" t="s">
        <v>688</v>
      </c>
      <c r="D122" s="519"/>
      <c r="E122" s="589">
        <f>65789*1.03</f>
        <v>67762.67</v>
      </c>
    </row>
    <row r="123" spans="1:5" x14ac:dyDescent="0.25">
      <c r="A123" s="514" t="s">
        <v>1103</v>
      </c>
      <c r="B123" s="515" t="s">
        <v>1094</v>
      </c>
      <c r="C123" s="515" t="s">
        <v>688</v>
      </c>
      <c r="D123" s="516">
        <v>14642.3</v>
      </c>
      <c r="E123" s="589">
        <f>97271*1.03</f>
        <v>100189.13</v>
      </c>
    </row>
    <row r="124" spans="1:5" x14ac:dyDescent="0.25">
      <c r="A124" s="514" t="s">
        <v>1104</v>
      </c>
      <c r="B124" s="515" t="s">
        <v>1105</v>
      </c>
      <c r="C124" s="515" t="s">
        <v>688</v>
      </c>
      <c r="D124" s="516"/>
      <c r="E124" s="589">
        <f>113256*1.03</f>
        <v>116653.68000000001</v>
      </c>
    </row>
    <row r="125" spans="1:5" x14ac:dyDescent="0.25">
      <c r="A125" s="514" t="s">
        <v>1106</v>
      </c>
      <c r="B125" s="515" t="s">
        <v>1107</v>
      </c>
      <c r="C125" s="515" t="s">
        <v>688</v>
      </c>
      <c r="D125" s="516"/>
      <c r="E125" s="589">
        <f>159111*1.03</f>
        <v>163884.33000000002</v>
      </c>
    </row>
    <row r="126" spans="1:5" x14ac:dyDescent="0.25">
      <c r="A126" s="514" t="s">
        <v>1108</v>
      </c>
      <c r="B126" s="515" t="s">
        <v>1109</v>
      </c>
      <c r="C126" s="515" t="s">
        <v>688</v>
      </c>
      <c r="D126" s="516">
        <v>22653.599999999999</v>
      </c>
      <c r="E126" s="589">
        <f>211122*1.03</f>
        <v>217455.66</v>
      </c>
    </row>
    <row r="127" spans="1:5" x14ac:dyDescent="0.25">
      <c r="A127" s="514" t="s">
        <v>1110</v>
      </c>
      <c r="B127" s="515" t="s">
        <v>1111</v>
      </c>
      <c r="C127" s="515" t="s">
        <v>688</v>
      </c>
      <c r="D127" s="519"/>
      <c r="E127" s="589">
        <f>264376*1.03</f>
        <v>272307.28000000003</v>
      </c>
    </row>
    <row r="128" spans="1:5" ht="13.5" thickBot="1" x14ac:dyDescent="0.3">
      <c r="A128" s="514" t="s">
        <v>1112</v>
      </c>
      <c r="B128" s="515" t="s">
        <v>1113</v>
      </c>
      <c r="C128" s="515" t="s">
        <v>688</v>
      </c>
      <c r="D128" s="522"/>
      <c r="E128" s="590">
        <f>367080*1.03</f>
        <v>378092.4</v>
      </c>
    </row>
    <row r="129" spans="1:10" s="512" customFormat="1" ht="24.75" customHeight="1" thickTop="1" thickBot="1" x14ac:dyDescent="0.3">
      <c r="A129" s="511" t="s">
        <v>1114</v>
      </c>
      <c r="B129" s="847" t="s">
        <v>1115</v>
      </c>
      <c r="C129" s="848"/>
      <c r="D129" s="513" t="s">
        <v>876</v>
      </c>
      <c r="E129" s="513" t="s">
        <v>877</v>
      </c>
    </row>
    <row r="130" spans="1:10" ht="13.5" thickTop="1" x14ac:dyDescent="0.25">
      <c r="A130" s="514" t="s">
        <v>1116</v>
      </c>
      <c r="B130" s="515" t="s">
        <v>1117</v>
      </c>
      <c r="C130" s="515" t="s">
        <v>688</v>
      </c>
      <c r="D130" s="519">
        <v>35115.699999999997</v>
      </c>
      <c r="E130" s="519">
        <f>191658*1.16</f>
        <v>222323.28</v>
      </c>
    </row>
    <row r="131" spans="1:10" x14ac:dyDescent="0.25">
      <c r="A131" s="514" t="s">
        <v>1118</v>
      </c>
      <c r="B131" s="515" t="s">
        <v>1119</v>
      </c>
      <c r="C131" s="515" t="s">
        <v>688</v>
      </c>
      <c r="D131" s="519">
        <v>41168.6</v>
      </c>
      <c r="E131" s="519">
        <f>245765*1.16</f>
        <v>285087.39999999997</v>
      </c>
    </row>
    <row r="132" spans="1:10" x14ac:dyDescent="0.25">
      <c r="A132" s="514" t="s">
        <v>1120</v>
      </c>
      <c r="B132" s="515" t="s">
        <v>1121</v>
      </c>
      <c r="C132" s="515" t="s">
        <v>688</v>
      </c>
      <c r="D132" s="519">
        <v>44017.1</v>
      </c>
      <c r="E132" s="519">
        <f>288798*1.16</f>
        <v>335005.68</v>
      </c>
      <c r="G132" s="517">
        <v>1</v>
      </c>
      <c r="H132" s="517" t="s">
        <v>1122</v>
      </c>
      <c r="I132" s="517">
        <v>2.5399999999999999E-2</v>
      </c>
      <c r="J132" s="517" t="s">
        <v>1123</v>
      </c>
    </row>
    <row r="133" spans="1:10" ht="25.5" x14ac:dyDescent="0.25">
      <c r="A133" s="514" t="s">
        <v>1124</v>
      </c>
      <c r="B133" s="523" t="s">
        <v>1125</v>
      </c>
      <c r="C133" s="515" t="s">
        <v>688</v>
      </c>
      <c r="D133" s="519"/>
      <c r="E133" s="516"/>
      <c r="F133" s="524"/>
    </row>
    <row r="134" spans="1:10" x14ac:dyDescent="0.25">
      <c r="A134" s="514" t="s">
        <v>1126</v>
      </c>
      <c r="B134" s="515" t="s">
        <v>1127</v>
      </c>
      <c r="C134" s="515" t="s">
        <v>688</v>
      </c>
      <c r="D134" s="519">
        <v>49358</v>
      </c>
      <c r="E134" s="519">
        <f>324402*1.16</f>
        <v>376306.31999999995</v>
      </c>
    </row>
    <row r="135" spans="1:10" x14ac:dyDescent="0.25">
      <c r="A135" s="514" t="s">
        <v>1128</v>
      </c>
      <c r="B135" s="515" t="s">
        <v>1129</v>
      </c>
      <c r="C135" s="515" t="s">
        <v>688</v>
      </c>
      <c r="D135" s="519">
        <v>52028.4</v>
      </c>
      <c r="E135" s="519">
        <f>470340*1.16</f>
        <v>545594.39999999991</v>
      </c>
    </row>
    <row r="136" spans="1:10" x14ac:dyDescent="0.25">
      <c r="A136" s="514" t="s">
        <v>1130</v>
      </c>
      <c r="B136" s="515" t="s">
        <v>1131</v>
      </c>
      <c r="C136" s="515" t="s">
        <v>688</v>
      </c>
      <c r="D136" s="519">
        <v>54698.9</v>
      </c>
      <c r="E136" s="519">
        <f>675823*1.16</f>
        <v>783954.67999999993</v>
      </c>
      <c r="H136" s="525">
        <f>700/25.4</f>
        <v>27.559055118110237</v>
      </c>
      <c r="I136" s="517">
        <f>1/100</f>
        <v>0.01</v>
      </c>
    </row>
    <row r="137" spans="1:10" x14ac:dyDescent="0.25">
      <c r="A137" s="514" t="s">
        <v>1132</v>
      </c>
      <c r="B137" s="515" t="s">
        <v>1133</v>
      </c>
      <c r="C137" s="515" t="s">
        <v>688</v>
      </c>
      <c r="D137" s="519">
        <v>57369.3</v>
      </c>
      <c r="E137" s="519">
        <f>719391*1.16</f>
        <v>834493.55999999994</v>
      </c>
    </row>
    <row r="138" spans="1:10" x14ac:dyDescent="0.25">
      <c r="A138" s="514" t="s">
        <v>1134</v>
      </c>
      <c r="B138" s="515" t="s">
        <v>1135</v>
      </c>
      <c r="C138" s="515" t="s">
        <v>688</v>
      </c>
      <c r="D138" s="519">
        <v>60039.7</v>
      </c>
      <c r="E138" s="519">
        <f>832299*1.16</f>
        <v>965466.84</v>
      </c>
    </row>
    <row r="139" spans="1:10" ht="13.5" thickBot="1" x14ac:dyDescent="0.3">
      <c r="A139" s="514" t="s">
        <v>1136</v>
      </c>
      <c r="B139" s="515" t="s">
        <v>1137</v>
      </c>
      <c r="C139" s="515" t="s">
        <v>688</v>
      </c>
      <c r="D139" s="519">
        <v>66270.7</v>
      </c>
      <c r="E139" s="519">
        <f>1171040*1.16</f>
        <v>1358406.4</v>
      </c>
    </row>
    <row r="140" spans="1:10" ht="14.25" thickTop="1" thickBot="1" x14ac:dyDescent="0.3">
      <c r="A140" s="514"/>
      <c r="B140" s="515"/>
      <c r="C140" s="515"/>
      <c r="D140" s="513" t="s">
        <v>876</v>
      </c>
      <c r="E140" s="513" t="s">
        <v>877</v>
      </c>
    </row>
    <row r="141" spans="1:10" ht="26.25" thickTop="1" x14ac:dyDescent="0.25">
      <c r="A141" s="514" t="s">
        <v>1138</v>
      </c>
      <c r="B141" s="515" t="s">
        <v>1139</v>
      </c>
      <c r="C141" s="526" t="s">
        <v>880</v>
      </c>
      <c r="D141" s="519">
        <v>275378.40000000002</v>
      </c>
      <c r="E141" s="519"/>
    </row>
    <row r="142" spans="1:10" ht="25.5" x14ac:dyDescent="0.25">
      <c r="A142" s="514" t="s">
        <v>1140</v>
      </c>
      <c r="B142" s="515" t="s">
        <v>1141</v>
      </c>
      <c r="C142" s="515" t="s">
        <v>880</v>
      </c>
      <c r="D142" s="519">
        <v>302014.8</v>
      </c>
      <c r="E142" s="519"/>
    </row>
    <row r="143" spans="1:10" ht="25.5" x14ac:dyDescent="0.25">
      <c r="A143" s="514" t="s">
        <v>1142</v>
      </c>
      <c r="B143" s="515" t="s">
        <v>1143</v>
      </c>
      <c r="C143" s="515" t="s">
        <v>880</v>
      </c>
      <c r="D143" s="519">
        <v>343364.4</v>
      </c>
      <c r="E143" s="519"/>
    </row>
    <row r="144" spans="1:10" ht="25.5" x14ac:dyDescent="0.25">
      <c r="A144" s="514" t="s">
        <v>1144</v>
      </c>
      <c r="B144" s="515" t="s">
        <v>1145</v>
      </c>
      <c r="C144" s="515" t="s">
        <v>880</v>
      </c>
      <c r="D144" s="519">
        <v>372754.4</v>
      </c>
      <c r="E144" s="519"/>
    </row>
    <row r="145" spans="1:5" ht="25.5" x14ac:dyDescent="0.25">
      <c r="A145" s="514" t="s">
        <v>1146</v>
      </c>
      <c r="B145" s="515" t="s">
        <v>1147</v>
      </c>
      <c r="C145" s="515" t="s">
        <v>880</v>
      </c>
      <c r="D145" s="519">
        <v>455265.6</v>
      </c>
      <c r="E145" s="519"/>
    </row>
    <row r="146" spans="1:5" ht="25.5" x14ac:dyDescent="0.25">
      <c r="A146" s="514" t="s">
        <v>1148</v>
      </c>
      <c r="B146" s="515" t="s">
        <v>1149</v>
      </c>
      <c r="C146" s="515" t="s">
        <v>880</v>
      </c>
      <c r="D146" s="519">
        <v>515039.6</v>
      </c>
      <c r="E146" s="519"/>
    </row>
    <row r="147" spans="1:5" x14ac:dyDescent="0.25">
      <c r="A147" s="514" t="s">
        <v>1150</v>
      </c>
      <c r="B147" s="515" t="s">
        <v>1151</v>
      </c>
      <c r="C147" s="515" t="s">
        <v>880</v>
      </c>
      <c r="D147" s="519">
        <v>331278.40000000002</v>
      </c>
      <c r="E147" s="519"/>
    </row>
    <row r="148" spans="1:5" ht="13.5" thickBot="1" x14ac:dyDescent="0.3">
      <c r="A148" s="514" t="s">
        <v>1152</v>
      </c>
      <c r="B148" s="515" t="s">
        <v>1153</v>
      </c>
      <c r="C148" s="515" t="s">
        <v>880</v>
      </c>
      <c r="D148" s="519">
        <v>1194771.6000000001</v>
      </c>
      <c r="E148" s="519"/>
    </row>
    <row r="149" spans="1:5" s="512" customFormat="1" ht="42" customHeight="1" thickTop="1" thickBot="1" x14ac:dyDescent="0.3">
      <c r="A149" s="511" t="s">
        <v>1154</v>
      </c>
      <c r="B149" s="847" t="s">
        <v>1155</v>
      </c>
      <c r="C149" s="848"/>
      <c r="D149" s="513" t="s">
        <v>876</v>
      </c>
      <c r="E149" s="513" t="s">
        <v>877</v>
      </c>
    </row>
    <row r="150" spans="1:5" ht="13.5" thickTop="1" x14ac:dyDescent="0.25">
      <c r="A150" s="514" t="s">
        <v>1156</v>
      </c>
      <c r="B150" s="515" t="s">
        <v>1157</v>
      </c>
      <c r="C150" s="515" t="s">
        <v>688</v>
      </c>
      <c r="D150" s="518"/>
    </row>
    <row r="151" spans="1:5" x14ac:dyDescent="0.25">
      <c r="A151" s="514" t="s">
        <v>1158</v>
      </c>
      <c r="B151" s="515" t="s">
        <v>1159</v>
      </c>
      <c r="C151" s="515" t="s">
        <v>688</v>
      </c>
      <c r="D151" s="518"/>
    </row>
    <row r="152" spans="1:5" x14ac:dyDescent="0.25">
      <c r="A152" s="514" t="s">
        <v>1160</v>
      </c>
      <c r="B152" s="515" t="s">
        <v>1161</v>
      </c>
      <c r="C152" s="515" t="s">
        <v>688</v>
      </c>
      <c r="D152" s="518"/>
    </row>
    <row r="153" spans="1:5" x14ac:dyDescent="0.25">
      <c r="A153" s="514" t="s">
        <v>1162</v>
      </c>
      <c r="B153" s="515" t="s">
        <v>1163</v>
      </c>
      <c r="C153" s="515" t="s">
        <v>688</v>
      </c>
      <c r="D153" s="518"/>
    </row>
    <row r="154" spans="1:5" x14ac:dyDescent="0.25">
      <c r="A154" s="514" t="s">
        <v>1164</v>
      </c>
      <c r="B154" s="515" t="s">
        <v>1165</v>
      </c>
      <c r="C154" s="515" t="s">
        <v>688</v>
      </c>
      <c r="D154" s="518"/>
    </row>
    <row r="155" spans="1:5" x14ac:dyDescent="0.25">
      <c r="A155" s="514" t="s">
        <v>1166</v>
      </c>
      <c r="B155" s="515" t="s">
        <v>1167</v>
      </c>
      <c r="C155" s="515" t="s">
        <v>688</v>
      </c>
      <c r="D155" s="518"/>
    </row>
    <row r="156" spans="1:5" x14ac:dyDescent="0.25">
      <c r="A156" s="514" t="s">
        <v>1168</v>
      </c>
      <c r="B156" s="515" t="s">
        <v>1169</v>
      </c>
      <c r="C156" s="515" t="s">
        <v>688</v>
      </c>
      <c r="D156" s="518"/>
    </row>
    <row r="157" spans="1:5" x14ac:dyDescent="0.25">
      <c r="A157" s="514" t="s">
        <v>1170</v>
      </c>
      <c r="B157" s="515" t="s">
        <v>1171</v>
      </c>
      <c r="C157" s="515" t="s">
        <v>688</v>
      </c>
      <c r="D157" s="518"/>
    </row>
    <row r="158" spans="1:5" x14ac:dyDescent="0.25">
      <c r="A158" s="514" t="s">
        <v>1172</v>
      </c>
      <c r="B158" s="515" t="s">
        <v>1173</v>
      </c>
      <c r="C158" s="515" t="s">
        <v>688</v>
      </c>
      <c r="D158" s="518"/>
    </row>
    <row r="159" spans="1:5" x14ac:dyDescent="0.25">
      <c r="A159" s="514" t="s">
        <v>1174</v>
      </c>
      <c r="B159" s="515" t="s">
        <v>1175</v>
      </c>
      <c r="C159" s="515" t="s">
        <v>688</v>
      </c>
      <c r="D159" s="518"/>
    </row>
    <row r="160" spans="1:5" x14ac:dyDescent="0.25">
      <c r="A160" s="514" t="s">
        <v>1176</v>
      </c>
      <c r="B160" s="515" t="s">
        <v>1177</v>
      </c>
      <c r="C160" s="515" t="s">
        <v>688</v>
      </c>
      <c r="D160" s="518"/>
    </row>
    <row r="161" spans="1:5" x14ac:dyDescent="0.25">
      <c r="A161" s="514" t="s">
        <v>1178</v>
      </c>
      <c r="B161" s="515" t="s">
        <v>1179</v>
      </c>
      <c r="C161" s="515" t="s">
        <v>688</v>
      </c>
      <c r="D161" s="518"/>
    </row>
    <row r="162" spans="1:5" x14ac:dyDescent="0.25">
      <c r="A162" s="514" t="s">
        <v>1180</v>
      </c>
      <c r="B162" s="515" t="s">
        <v>1181</v>
      </c>
      <c r="C162" s="515" t="s">
        <v>688</v>
      </c>
      <c r="D162" s="518"/>
    </row>
    <row r="163" spans="1:5" x14ac:dyDescent="0.25">
      <c r="A163" s="514" t="s">
        <v>1182</v>
      </c>
      <c r="B163" s="515" t="s">
        <v>1183</v>
      </c>
      <c r="C163" s="515" t="s">
        <v>688</v>
      </c>
      <c r="D163" s="518"/>
    </row>
    <row r="164" spans="1:5" x14ac:dyDescent="0.25">
      <c r="A164" s="514" t="s">
        <v>1184</v>
      </c>
      <c r="B164" s="515" t="s">
        <v>1185</v>
      </c>
      <c r="C164" s="515" t="s">
        <v>688</v>
      </c>
      <c r="D164" s="518"/>
    </row>
    <row r="165" spans="1:5" x14ac:dyDescent="0.25">
      <c r="A165" s="514" t="s">
        <v>1186</v>
      </c>
      <c r="B165" s="515" t="s">
        <v>1187</v>
      </c>
      <c r="C165" s="515" t="s">
        <v>688</v>
      </c>
      <c r="D165" s="518"/>
    </row>
    <row r="166" spans="1:5" ht="13.5" thickBot="1" x14ac:dyDescent="0.3">
      <c r="A166" s="514" t="s">
        <v>1188</v>
      </c>
      <c r="B166" s="515" t="s">
        <v>1189</v>
      </c>
      <c r="C166" s="515" t="s">
        <v>688</v>
      </c>
      <c r="D166" s="518"/>
    </row>
    <row r="167" spans="1:5" s="512" customFormat="1" ht="39" customHeight="1" thickTop="1" thickBot="1" x14ac:dyDescent="0.3">
      <c r="A167" s="511" t="s">
        <v>1190</v>
      </c>
      <c r="B167" s="847" t="s">
        <v>1191</v>
      </c>
      <c r="C167" s="848"/>
      <c r="D167" s="513" t="s">
        <v>876</v>
      </c>
      <c r="E167" s="513" t="s">
        <v>877</v>
      </c>
    </row>
    <row r="168" spans="1:5" ht="13.5" thickTop="1" x14ac:dyDescent="0.25">
      <c r="A168" s="514" t="s">
        <v>1192</v>
      </c>
      <c r="B168" s="515" t="s">
        <v>1193</v>
      </c>
      <c r="C168" s="515" t="s">
        <v>688</v>
      </c>
      <c r="D168" s="518"/>
    </row>
    <row r="169" spans="1:5" x14ac:dyDescent="0.25">
      <c r="A169" s="514" t="s">
        <v>1194</v>
      </c>
      <c r="B169" s="515" t="s">
        <v>1195</v>
      </c>
      <c r="C169" s="515" t="s">
        <v>688</v>
      </c>
      <c r="D169" s="518"/>
    </row>
    <row r="170" spans="1:5" x14ac:dyDescent="0.25">
      <c r="A170" s="514" t="s">
        <v>1196</v>
      </c>
      <c r="B170" s="515" t="s">
        <v>1197</v>
      </c>
      <c r="C170" s="515" t="s">
        <v>688</v>
      </c>
      <c r="D170" s="518"/>
    </row>
    <row r="171" spans="1:5" x14ac:dyDescent="0.25">
      <c r="A171" s="514" t="s">
        <v>1198</v>
      </c>
      <c r="B171" s="515" t="s">
        <v>1199</v>
      </c>
      <c r="C171" s="515" t="s">
        <v>688</v>
      </c>
      <c r="D171" s="518"/>
    </row>
    <row r="172" spans="1:5" ht="13.5" thickBot="1" x14ac:dyDescent="0.3">
      <c r="A172" s="514" t="s">
        <v>1200</v>
      </c>
      <c r="B172" s="515" t="s">
        <v>1201</v>
      </c>
      <c r="C172" s="515" t="s">
        <v>688</v>
      </c>
      <c r="D172" s="518"/>
    </row>
    <row r="173" spans="1:5" s="512" customFormat="1" ht="42" customHeight="1" thickTop="1" thickBot="1" x14ac:dyDescent="0.3">
      <c r="A173" s="511" t="s">
        <v>1202</v>
      </c>
      <c r="B173" s="847" t="s">
        <v>1203</v>
      </c>
      <c r="C173" s="848"/>
      <c r="D173" s="513" t="s">
        <v>876</v>
      </c>
      <c r="E173" s="513" t="s">
        <v>877</v>
      </c>
    </row>
    <row r="174" spans="1:5" ht="13.5" thickTop="1" x14ac:dyDescent="0.25">
      <c r="A174" s="514" t="s">
        <v>1204</v>
      </c>
      <c r="B174" s="515" t="s">
        <v>1205</v>
      </c>
      <c r="C174" s="515" t="s">
        <v>688</v>
      </c>
      <c r="D174" s="518"/>
    </row>
    <row r="175" spans="1:5" x14ac:dyDescent="0.25">
      <c r="A175" s="514" t="s">
        <v>1206</v>
      </c>
      <c r="B175" s="515" t="s">
        <v>1207</v>
      </c>
      <c r="C175" s="515" t="s">
        <v>688</v>
      </c>
      <c r="D175" s="518"/>
    </row>
    <row r="176" spans="1:5" x14ac:dyDescent="0.25">
      <c r="A176" s="514" t="s">
        <v>1208</v>
      </c>
      <c r="B176" s="515" t="s">
        <v>1209</v>
      </c>
      <c r="C176" s="515" t="s">
        <v>688</v>
      </c>
      <c r="D176" s="518"/>
    </row>
    <row r="177" spans="1:5" x14ac:dyDescent="0.25">
      <c r="A177" s="514" t="s">
        <v>1210</v>
      </c>
      <c r="B177" s="515" t="s">
        <v>1211</v>
      </c>
      <c r="C177" s="515" t="s">
        <v>688</v>
      </c>
      <c r="D177" s="518"/>
    </row>
    <row r="178" spans="1:5" x14ac:dyDescent="0.25">
      <c r="A178" s="514" t="s">
        <v>1212</v>
      </c>
      <c r="B178" s="515" t="s">
        <v>1213</v>
      </c>
      <c r="C178" s="515" t="s">
        <v>688</v>
      </c>
      <c r="D178" s="518"/>
    </row>
    <row r="179" spans="1:5" x14ac:dyDescent="0.25">
      <c r="A179" s="514" t="s">
        <v>1214</v>
      </c>
      <c r="B179" s="515" t="s">
        <v>1215</v>
      </c>
      <c r="C179" s="515" t="s">
        <v>688</v>
      </c>
      <c r="D179" s="518"/>
    </row>
    <row r="180" spans="1:5" x14ac:dyDescent="0.25">
      <c r="A180" s="514" t="s">
        <v>1216</v>
      </c>
      <c r="B180" s="515" t="s">
        <v>1217</v>
      </c>
      <c r="C180" s="515" t="s">
        <v>688</v>
      </c>
      <c r="D180" s="518"/>
    </row>
    <row r="181" spans="1:5" x14ac:dyDescent="0.25">
      <c r="A181" s="514" t="s">
        <v>1218</v>
      </c>
      <c r="B181" s="515" t="s">
        <v>1219</v>
      </c>
      <c r="C181" s="515" t="s">
        <v>688</v>
      </c>
      <c r="D181" s="518"/>
    </row>
    <row r="182" spans="1:5" ht="13.5" thickBot="1" x14ac:dyDescent="0.3">
      <c r="A182" s="514" t="s">
        <v>1220</v>
      </c>
      <c r="B182" s="515" t="s">
        <v>1221</v>
      </c>
      <c r="C182" s="515" t="s">
        <v>688</v>
      </c>
      <c r="D182" s="518"/>
    </row>
    <row r="183" spans="1:5" s="512" customFormat="1" ht="39" customHeight="1" thickTop="1" thickBot="1" x14ac:dyDescent="0.3">
      <c r="A183" s="511" t="s">
        <v>1222</v>
      </c>
      <c r="B183" s="847" t="s">
        <v>1223</v>
      </c>
      <c r="C183" s="848"/>
      <c r="D183" s="513" t="s">
        <v>876</v>
      </c>
      <c r="E183" s="513" t="s">
        <v>877</v>
      </c>
    </row>
    <row r="184" spans="1:5" ht="13.5" thickTop="1" x14ac:dyDescent="0.25">
      <c r="A184" s="514" t="s">
        <v>1224</v>
      </c>
      <c r="B184" s="515" t="s">
        <v>1225</v>
      </c>
      <c r="C184" s="515" t="s">
        <v>688</v>
      </c>
      <c r="D184" s="519"/>
    </row>
    <row r="185" spans="1:5" x14ac:dyDescent="0.25">
      <c r="A185" s="514" t="s">
        <v>1226</v>
      </c>
      <c r="B185" s="515" t="s">
        <v>1227</v>
      </c>
      <c r="C185" s="515" t="s">
        <v>688</v>
      </c>
      <c r="D185" s="518"/>
    </row>
    <row r="186" spans="1:5" x14ac:dyDescent="0.25">
      <c r="A186" s="514" t="s">
        <v>1228</v>
      </c>
      <c r="B186" s="515" t="s">
        <v>1229</v>
      </c>
      <c r="C186" s="515" t="s">
        <v>688</v>
      </c>
      <c r="D186" s="518"/>
    </row>
    <row r="187" spans="1:5" x14ac:dyDescent="0.25">
      <c r="A187" s="514" t="s">
        <v>1230</v>
      </c>
      <c r="B187" s="515" t="s">
        <v>1231</v>
      </c>
      <c r="C187" s="515" t="s">
        <v>688</v>
      </c>
      <c r="D187" s="518"/>
    </row>
    <row r="188" spans="1:5" x14ac:dyDescent="0.25">
      <c r="A188" s="514" t="s">
        <v>1232</v>
      </c>
      <c r="B188" s="515" t="s">
        <v>1233</v>
      </c>
      <c r="C188" s="515" t="s">
        <v>688</v>
      </c>
      <c r="D188" s="519"/>
    </row>
    <row r="189" spans="1:5" x14ac:dyDescent="0.25">
      <c r="A189" s="514" t="s">
        <v>1234</v>
      </c>
      <c r="B189" s="515" t="s">
        <v>1235</v>
      </c>
      <c r="C189" s="515" t="s">
        <v>688</v>
      </c>
      <c r="D189" s="519"/>
    </row>
    <row r="190" spans="1:5" x14ac:dyDescent="0.25">
      <c r="A190" s="514" t="s">
        <v>1236</v>
      </c>
      <c r="B190" s="515" t="s">
        <v>1237</v>
      </c>
      <c r="C190" s="515" t="s">
        <v>688</v>
      </c>
      <c r="D190" s="518"/>
    </row>
    <row r="191" spans="1:5" x14ac:dyDescent="0.25">
      <c r="A191" s="514" t="s">
        <v>1238</v>
      </c>
      <c r="B191" s="515" t="s">
        <v>1239</v>
      </c>
      <c r="C191" s="515" t="s">
        <v>688</v>
      </c>
      <c r="D191" s="518"/>
    </row>
    <row r="192" spans="1:5" x14ac:dyDescent="0.25">
      <c r="A192" s="514" t="s">
        <v>1240</v>
      </c>
      <c r="B192" s="515" t="s">
        <v>1241</v>
      </c>
      <c r="C192" s="515" t="s">
        <v>688</v>
      </c>
      <c r="D192" s="518"/>
    </row>
    <row r="193" spans="1:5" x14ac:dyDescent="0.25">
      <c r="A193" s="514" t="s">
        <v>1242</v>
      </c>
      <c r="B193" s="515" t="s">
        <v>1243</v>
      </c>
      <c r="C193" s="515" t="s">
        <v>688</v>
      </c>
      <c r="D193" s="518"/>
    </row>
    <row r="194" spans="1:5" x14ac:dyDescent="0.25">
      <c r="A194" s="514" t="s">
        <v>1244</v>
      </c>
      <c r="B194" s="515" t="s">
        <v>1245</v>
      </c>
      <c r="C194" s="515" t="s">
        <v>688</v>
      </c>
      <c r="D194" s="518"/>
    </row>
    <row r="195" spans="1:5" ht="13.5" thickBot="1" x14ac:dyDescent="0.3">
      <c r="A195" s="514" t="s">
        <v>1246</v>
      </c>
      <c r="B195" s="515" t="s">
        <v>1247</v>
      </c>
      <c r="C195" s="515" t="s">
        <v>688</v>
      </c>
      <c r="D195" s="518"/>
    </row>
    <row r="196" spans="1:5" s="512" customFormat="1" ht="42.75" customHeight="1" thickTop="1" thickBot="1" x14ac:dyDescent="0.3">
      <c r="A196" s="511" t="s">
        <v>1248</v>
      </c>
      <c r="B196" s="847" t="s">
        <v>1249</v>
      </c>
      <c r="C196" s="848"/>
      <c r="D196" s="513" t="s">
        <v>876</v>
      </c>
      <c r="E196" s="513" t="s">
        <v>877</v>
      </c>
    </row>
    <row r="197" spans="1:5" ht="26.25" thickTop="1" x14ac:dyDescent="0.25">
      <c r="A197" s="514" t="s">
        <v>1250</v>
      </c>
      <c r="B197" s="515" t="s">
        <v>1251</v>
      </c>
      <c r="C197" s="515" t="s">
        <v>688</v>
      </c>
      <c r="D197" s="518"/>
    </row>
    <row r="198" spans="1:5" ht="25.5" x14ac:dyDescent="0.25">
      <c r="A198" s="514" t="s">
        <v>1252</v>
      </c>
      <c r="B198" s="515" t="s">
        <v>1253</v>
      </c>
      <c r="C198" s="515" t="s">
        <v>688</v>
      </c>
      <c r="D198" s="518"/>
    </row>
    <row r="199" spans="1:5" ht="25.5" x14ac:dyDescent="0.25">
      <c r="A199" s="514" t="s">
        <v>1254</v>
      </c>
      <c r="B199" s="515" t="s">
        <v>1255</v>
      </c>
      <c r="C199" s="515" t="s">
        <v>688</v>
      </c>
      <c r="D199" s="518"/>
    </row>
    <row r="200" spans="1:5" s="512" customFormat="1" ht="58.5" customHeight="1" x14ac:dyDescent="0.25">
      <c r="A200" s="511" t="s">
        <v>1256</v>
      </c>
      <c r="B200" s="843" t="s">
        <v>1257</v>
      </c>
      <c r="C200" s="844"/>
      <c r="D200" s="845"/>
    </row>
    <row r="201" spans="1:5" x14ac:dyDescent="0.25">
      <c r="A201" s="514" t="s">
        <v>1258</v>
      </c>
      <c r="B201" s="515" t="s">
        <v>1259</v>
      </c>
      <c r="C201" s="515" t="s">
        <v>880</v>
      </c>
      <c r="D201" s="519"/>
    </row>
    <row r="202" spans="1:5" x14ac:dyDescent="0.25">
      <c r="A202" s="514" t="s">
        <v>1260</v>
      </c>
      <c r="B202" s="515" t="s">
        <v>1261</v>
      </c>
      <c r="C202" s="515" t="s">
        <v>880</v>
      </c>
      <c r="D202" s="519"/>
    </row>
    <row r="203" spans="1:5" x14ac:dyDescent="0.25">
      <c r="A203" s="514" t="s">
        <v>1262</v>
      </c>
      <c r="B203" s="515" t="s">
        <v>1263</v>
      </c>
      <c r="C203" s="515" t="s">
        <v>880</v>
      </c>
      <c r="D203" s="519"/>
    </row>
    <row r="204" spans="1:5" x14ac:dyDescent="0.25">
      <c r="A204" s="514" t="s">
        <v>1264</v>
      </c>
      <c r="B204" s="515" t="s">
        <v>1265</v>
      </c>
      <c r="C204" s="515" t="s">
        <v>880</v>
      </c>
      <c r="D204" s="519"/>
    </row>
    <row r="205" spans="1:5" ht="25.5" x14ac:dyDescent="0.25">
      <c r="A205" s="514" t="s">
        <v>1266</v>
      </c>
      <c r="B205" s="515" t="s">
        <v>1267</v>
      </c>
      <c r="C205" s="515" t="s">
        <v>880</v>
      </c>
      <c r="D205" s="519"/>
    </row>
    <row r="206" spans="1:5" ht="25.5" x14ac:dyDescent="0.25">
      <c r="A206" s="514" t="s">
        <v>1268</v>
      </c>
      <c r="B206" s="515" t="s">
        <v>1269</v>
      </c>
      <c r="C206" s="515" t="s">
        <v>880</v>
      </c>
      <c r="D206" s="519"/>
    </row>
    <row r="207" spans="1:5" ht="38.25" x14ac:dyDescent="0.25">
      <c r="A207" s="514" t="s">
        <v>1270</v>
      </c>
      <c r="B207" s="515" t="s">
        <v>1271</v>
      </c>
      <c r="C207" s="515" t="s">
        <v>880</v>
      </c>
      <c r="D207" s="518"/>
    </row>
    <row r="208" spans="1:5" ht="38.25" x14ac:dyDescent="0.25">
      <c r="A208" s="514" t="s">
        <v>1272</v>
      </c>
      <c r="B208" s="515" t="s">
        <v>1273</v>
      </c>
      <c r="C208" s="515" t="s">
        <v>880</v>
      </c>
      <c r="D208" s="518"/>
    </row>
    <row r="209" spans="1:5" ht="38.25" x14ac:dyDescent="0.25">
      <c r="A209" s="514" t="s">
        <v>1274</v>
      </c>
      <c r="B209" s="515" t="s">
        <v>1275</v>
      </c>
      <c r="C209" s="515" t="s">
        <v>880</v>
      </c>
      <c r="D209" s="518"/>
    </row>
    <row r="210" spans="1:5" ht="38.25" x14ac:dyDescent="0.25">
      <c r="A210" s="514" t="s">
        <v>1276</v>
      </c>
      <c r="B210" s="515" t="s">
        <v>1277</v>
      </c>
      <c r="C210" s="515" t="s">
        <v>880</v>
      </c>
      <c r="D210" s="518"/>
    </row>
    <row r="211" spans="1:5" ht="38.25" x14ac:dyDescent="0.25">
      <c r="A211" s="514" t="s">
        <v>1278</v>
      </c>
      <c r="B211" s="515" t="s">
        <v>1279</v>
      </c>
      <c r="C211" s="515" t="s">
        <v>880</v>
      </c>
      <c r="D211" s="518"/>
    </row>
    <row r="212" spans="1:5" ht="38.25" x14ac:dyDescent="0.25">
      <c r="A212" s="514" t="s">
        <v>1280</v>
      </c>
      <c r="B212" s="515" t="s">
        <v>1281</v>
      </c>
      <c r="C212" s="515" t="s">
        <v>880</v>
      </c>
      <c r="D212" s="518"/>
    </row>
    <row r="213" spans="1:5" ht="51" x14ac:dyDescent="0.25">
      <c r="A213" s="514" t="s">
        <v>1282</v>
      </c>
      <c r="B213" s="515" t="s">
        <v>1283</v>
      </c>
      <c r="C213" s="515" t="s">
        <v>880</v>
      </c>
      <c r="D213" s="518"/>
    </row>
    <row r="214" spans="1:5" ht="51" x14ac:dyDescent="0.25">
      <c r="A214" s="514" t="s">
        <v>1284</v>
      </c>
      <c r="B214" s="515" t="s">
        <v>1285</v>
      </c>
      <c r="C214" s="515" t="s">
        <v>880</v>
      </c>
      <c r="D214" s="518"/>
    </row>
    <row r="215" spans="1:5" ht="51" x14ac:dyDescent="0.25">
      <c r="A215" s="514" t="s">
        <v>1286</v>
      </c>
      <c r="B215" s="515" t="s">
        <v>1287</v>
      </c>
      <c r="C215" s="515" t="s">
        <v>880</v>
      </c>
      <c r="D215" s="518"/>
    </row>
    <row r="216" spans="1:5" ht="51" x14ac:dyDescent="0.25">
      <c r="A216" s="514" t="s">
        <v>1288</v>
      </c>
      <c r="B216" s="515" t="s">
        <v>1289</v>
      </c>
      <c r="C216" s="515" t="s">
        <v>880</v>
      </c>
      <c r="D216" s="518"/>
    </row>
    <row r="217" spans="1:5" s="512" customFormat="1" ht="13.5" thickBot="1" x14ac:dyDescent="0.3">
      <c r="A217" s="511" t="s">
        <v>1290</v>
      </c>
      <c r="B217" s="843" t="s">
        <v>1291</v>
      </c>
      <c r="C217" s="844"/>
      <c r="D217" s="845"/>
    </row>
    <row r="218" spans="1:5" s="512" customFormat="1" ht="24.75" customHeight="1" thickTop="1" thickBot="1" x14ac:dyDescent="0.3">
      <c r="A218" s="511" t="s">
        <v>1292</v>
      </c>
      <c r="B218" s="843" t="s">
        <v>1293</v>
      </c>
      <c r="C218" s="844"/>
      <c r="D218" s="845"/>
      <c r="E218" s="513" t="s">
        <v>877</v>
      </c>
    </row>
    <row r="219" spans="1:5" ht="13.5" thickTop="1" x14ac:dyDescent="0.25">
      <c r="A219" s="514" t="s">
        <v>1294</v>
      </c>
      <c r="B219" s="515" t="s">
        <v>1295</v>
      </c>
      <c r="C219" s="515" t="s">
        <v>688</v>
      </c>
      <c r="D219" s="519"/>
    </row>
    <row r="220" spans="1:5" x14ac:dyDescent="0.25">
      <c r="A220" s="514" t="s">
        <v>1296</v>
      </c>
      <c r="B220" s="515" t="s">
        <v>1297</v>
      </c>
      <c r="C220" s="515" t="s">
        <v>688</v>
      </c>
      <c r="D220" s="519"/>
    </row>
    <row r="221" spans="1:5" x14ac:dyDescent="0.25">
      <c r="A221" s="514" t="s">
        <v>1298</v>
      </c>
      <c r="B221" s="515" t="s">
        <v>1299</v>
      </c>
      <c r="C221" s="515" t="s">
        <v>688</v>
      </c>
      <c r="D221" s="519"/>
    </row>
    <row r="222" spans="1:5" x14ac:dyDescent="0.25">
      <c r="A222" s="514" t="s">
        <v>1300</v>
      </c>
      <c r="B222" s="515" t="s">
        <v>1301</v>
      </c>
      <c r="C222" s="515" t="s">
        <v>688</v>
      </c>
      <c r="D222" s="519"/>
    </row>
    <row r="223" spans="1:5" x14ac:dyDescent="0.25">
      <c r="A223" s="514" t="s">
        <v>1302</v>
      </c>
      <c r="B223" s="515" t="s">
        <v>1303</v>
      </c>
      <c r="C223" s="515" t="s">
        <v>688</v>
      </c>
      <c r="D223" s="519"/>
    </row>
    <row r="224" spans="1:5" x14ac:dyDescent="0.25">
      <c r="A224" s="514" t="s">
        <v>1304</v>
      </c>
      <c r="B224" s="515" t="s">
        <v>1305</v>
      </c>
      <c r="C224" s="515" t="s">
        <v>688</v>
      </c>
      <c r="D224" s="519"/>
    </row>
    <row r="225" spans="1:5" x14ac:dyDescent="0.25">
      <c r="A225" s="514" t="s">
        <v>1306</v>
      </c>
      <c r="B225" s="515" t="s">
        <v>1307</v>
      </c>
      <c r="C225" s="515" t="s">
        <v>688</v>
      </c>
      <c r="D225" s="519"/>
    </row>
    <row r="226" spans="1:5" x14ac:dyDescent="0.25">
      <c r="A226" s="514" t="s">
        <v>1308</v>
      </c>
      <c r="B226" s="515" t="s">
        <v>1309</v>
      </c>
      <c r="C226" s="515" t="s">
        <v>688</v>
      </c>
      <c r="D226" s="518"/>
    </row>
    <row r="227" spans="1:5" ht="13.5" thickBot="1" x14ac:dyDescent="0.3">
      <c r="A227" s="514" t="s">
        <v>1310</v>
      </c>
      <c r="B227" s="515" t="s">
        <v>1311</v>
      </c>
      <c r="C227" s="515" t="s">
        <v>688</v>
      </c>
      <c r="D227" s="518"/>
    </row>
    <row r="228" spans="1:5" s="512" customFormat="1" ht="14.25" thickTop="1" thickBot="1" x14ac:dyDescent="0.3">
      <c r="A228" s="511" t="s">
        <v>1312</v>
      </c>
      <c r="B228" s="843" t="s">
        <v>1313</v>
      </c>
      <c r="C228" s="844"/>
      <c r="D228" s="845"/>
      <c r="E228" s="513" t="s">
        <v>877</v>
      </c>
    </row>
    <row r="229" spans="1:5" s="512" customFormat="1" ht="13.5" thickTop="1" x14ac:dyDescent="0.25">
      <c r="A229" s="511" t="s">
        <v>1314</v>
      </c>
      <c r="B229" s="843" t="s">
        <v>1315</v>
      </c>
      <c r="C229" s="844"/>
      <c r="D229" s="845"/>
    </row>
    <row r="230" spans="1:5" x14ac:dyDescent="0.25">
      <c r="A230" s="514" t="s">
        <v>1316</v>
      </c>
      <c r="B230" s="515" t="s">
        <v>1317</v>
      </c>
      <c r="C230" s="515" t="s">
        <v>688</v>
      </c>
      <c r="D230" s="519"/>
    </row>
    <row r="231" spans="1:5" x14ac:dyDescent="0.25">
      <c r="A231" s="514" t="s">
        <v>1318</v>
      </c>
      <c r="B231" s="515" t="s">
        <v>1319</v>
      </c>
      <c r="C231" s="515" t="s">
        <v>688</v>
      </c>
      <c r="D231" s="519"/>
    </row>
    <row r="232" spans="1:5" x14ac:dyDescent="0.25">
      <c r="A232" s="514" t="s">
        <v>1320</v>
      </c>
      <c r="B232" s="515" t="s">
        <v>1321</v>
      </c>
      <c r="C232" s="515" t="s">
        <v>688</v>
      </c>
      <c r="D232" s="519"/>
    </row>
    <row r="233" spans="1:5" x14ac:dyDescent="0.25">
      <c r="A233" s="514" t="s">
        <v>1322</v>
      </c>
      <c r="B233" s="515" t="s">
        <v>1323</v>
      </c>
      <c r="C233" s="515" t="s">
        <v>688</v>
      </c>
      <c r="D233" s="519"/>
    </row>
    <row r="234" spans="1:5" x14ac:dyDescent="0.25">
      <c r="A234" s="514" t="s">
        <v>1324</v>
      </c>
      <c r="B234" s="515" t="s">
        <v>1325</v>
      </c>
      <c r="C234" s="515" t="s">
        <v>688</v>
      </c>
      <c r="D234" s="519"/>
    </row>
    <row r="235" spans="1:5" x14ac:dyDescent="0.25">
      <c r="A235" s="514" t="s">
        <v>1326</v>
      </c>
      <c r="B235" s="515" t="s">
        <v>1327</v>
      </c>
      <c r="C235" s="515" t="s">
        <v>688</v>
      </c>
      <c r="D235" s="519"/>
    </row>
    <row r="236" spans="1:5" x14ac:dyDescent="0.25">
      <c r="A236" s="514" t="s">
        <v>1328</v>
      </c>
      <c r="B236" s="515" t="s">
        <v>1329</v>
      </c>
      <c r="C236" s="515" t="s">
        <v>688</v>
      </c>
      <c r="D236" s="519"/>
    </row>
    <row r="237" spans="1:5" x14ac:dyDescent="0.25">
      <c r="A237" s="514" t="s">
        <v>1330</v>
      </c>
      <c r="B237" s="515" t="s">
        <v>1331</v>
      </c>
      <c r="C237" s="515" t="s">
        <v>688</v>
      </c>
      <c r="D237" s="519"/>
    </row>
    <row r="238" spans="1:5" x14ac:dyDescent="0.25">
      <c r="A238" s="514" t="s">
        <v>1332</v>
      </c>
      <c r="B238" s="515" t="s">
        <v>1333</v>
      </c>
      <c r="C238" s="515" t="s">
        <v>688</v>
      </c>
      <c r="D238" s="519"/>
    </row>
    <row r="239" spans="1:5" x14ac:dyDescent="0.25">
      <c r="A239" s="514" t="s">
        <v>1334</v>
      </c>
      <c r="B239" s="515" t="s">
        <v>1335</v>
      </c>
      <c r="C239" s="515" t="s">
        <v>688</v>
      </c>
      <c r="D239" s="519"/>
      <c r="E239" s="527"/>
    </row>
    <row r="240" spans="1:5" x14ac:dyDescent="0.25">
      <c r="A240" s="514" t="s">
        <v>1336</v>
      </c>
      <c r="B240" s="515" t="s">
        <v>1337</v>
      </c>
      <c r="C240" s="515" t="s">
        <v>688</v>
      </c>
      <c r="D240" s="519"/>
    </row>
    <row r="241" spans="1:5" x14ac:dyDescent="0.25">
      <c r="A241" s="514" t="s">
        <v>1338</v>
      </c>
      <c r="B241" s="515" t="s">
        <v>1339</v>
      </c>
      <c r="C241" s="515" t="s">
        <v>688</v>
      </c>
      <c r="D241" s="519"/>
    </row>
    <row r="242" spans="1:5" x14ac:dyDescent="0.25">
      <c r="A242" s="514" t="s">
        <v>1340</v>
      </c>
      <c r="B242" s="515" t="s">
        <v>1341</v>
      </c>
      <c r="C242" s="515" t="s">
        <v>688</v>
      </c>
      <c r="D242" s="518"/>
    </row>
    <row r="243" spans="1:5" x14ac:dyDescent="0.25">
      <c r="A243" s="514" t="s">
        <v>1342</v>
      </c>
      <c r="B243" s="515" t="s">
        <v>1343</v>
      </c>
      <c r="C243" s="515" t="s">
        <v>688</v>
      </c>
      <c r="D243" s="518"/>
    </row>
    <row r="244" spans="1:5" x14ac:dyDescent="0.25">
      <c r="A244" s="514" t="s">
        <v>1344</v>
      </c>
      <c r="B244" s="515" t="s">
        <v>1345</v>
      </c>
      <c r="C244" s="515" t="s">
        <v>688</v>
      </c>
      <c r="D244" s="518"/>
    </row>
    <row r="245" spans="1:5" x14ac:dyDescent="0.25">
      <c r="A245" s="514" t="s">
        <v>1346</v>
      </c>
      <c r="B245" s="515" t="s">
        <v>1347</v>
      </c>
      <c r="C245" s="515" t="s">
        <v>688</v>
      </c>
      <c r="D245" s="518"/>
    </row>
    <row r="246" spans="1:5" x14ac:dyDescent="0.25">
      <c r="A246" s="514" t="s">
        <v>1348</v>
      </c>
      <c r="B246" s="515" t="s">
        <v>1349</v>
      </c>
      <c r="C246" s="515" t="s">
        <v>688</v>
      </c>
      <c r="D246" s="518"/>
    </row>
    <row r="247" spans="1:5" x14ac:dyDescent="0.25">
      <c r="A247" s="514" t="s">
        <v>1350</v>
      </c>
      <c r="B247" s="515" t="s">
        <v>1351</v>
      </c>
      <c r="C247" s="515" t="s">
        <v>688</v>
      </c>
      <c r="D247" s="519"/>
    </row>
    <row r="248" spans="1:5" x14ac:dyDescent="0.25">
      <c r="A248" s="514" t="s">
        <v>1352</v>
      </c>
      <c r="B248" s="515" t="s">
        <v>1353</v>
      </c>
      <c r="C248" s="515" t="s">
        <v>688</v>
      </c>
      <c r="D248" s="519"/>
    </row>
    <row r="249" spans="1:5" x14ac:dyDescent="0.25">
      <c r="A249" s="514" t="s">
        <v>1354</v>
      </c>
      <c r="B249" s="515" t="s">
        <v>1355</v>
      </c>
      <c r="C249" s="515" t="s">
        <v>688</v>
      </c>
      <c r="D249" s="519"/>
    </row>
    <row r="250" spans="1:5" ht="13.5" thickBot="1" x14ac:dyDescent="0.3">
      <c r="A250" s="514" t="s">
        <v>1356</v>
      </c>
      <c r="B250" s="515" t="s">
        <v>1357</v>
      </c>
      <c r="C250" s="515" t="s">
        <v>688</v>
      </c>
      <c r="D250" s="519"/>
    </row>
    <row r="251" spans="1:5" s="512" customFormat="1" ht="14.25" thickTop="1" thickBot="1" x14ac:dyDescent="0.3">
      <c r="A251" s="511" t="s">
        <v>1358</v>
      </c>
      <c r="B251" s="843" t="s">
        <v>1359</v>
      </c>
      <c r="C251" s="844"/>
      <c r="D251" s="845"/>
      <c r="E251" s="513" t="s">
        <v>877</v>
      </c>
    </row>
    <row r="252" spans="1:5" ht="13.5" thickTop="1" x14ac:dyDescent="0.25">
      <c r="A252" s="514" t="s">
        <v>1360</v>
      </c>
      <c r="B252" s="515" t="s">
        <v>1317</v>
      </c>
      <c r="C252" s="515" t="s">
        <v>688</v>
      </c>
      <c r="D252" s="519"/>
    </row>
    <row r="253" spans="1:5" x14ac:dyDescent="0.25">
      <c r="A253" s="514" t="s">
        <v>1361</v>
      </c>
      <c r="B253" s="515" t="s">
        <v>1319</v>
      </c>
      <c r="C253" s="515" t="s">
        <v>688</v>
      </c>
      <c r="D253" s="519"/>
    </row>
    <row r="254" spans="1:5" x14ac:dyDescent="0.25">
      <c r="A254" s="514" t="s">
        <v>1362</v>
      </c>
      <c r="B254" s="515" t="s">
        <v>1321</v>
      </c>
      <c r="C254" s="515" t="s">
        <v>688</v>
      </c>
      <c r="D254" s="519"/>
    </row>
    <row r="255" spans="1:5" x14ac:dyDescent="0.25">
      <c r="A255" s="514" t="s">
        <v>1363</v>
      </c>
      <c r="B255" s="515" t="s">
        <v>1323</v>
      </c>
      <c r="C255" s="515" t="s">
        <v>688</v>
      </c>
      <c r="D255" s="519"/>
    </row>
    <row r="256" spans="1:5" x14ac:dyDescent="0.25">
      <c r="A256" s="514" t="s">
        <v>1364</v>
      </c>
      <c r="B256" s="515" t="s">
        <v>1325</v>
      </c>
      <c r="C256" s="515" t="s">
        <v>688</v>
      </c>
      <c r="D256" s="519"/>
    </row>
    <row r="257" spans="1:4" x14ac:dyDescent="0.25">
      <c r="A257" s="514" t="s">
        <v>1365</v>
      </c>
      <c r="B257" s="515" t="s">
        <v>1327</v>
      </c>
      <c r="C257" s="515" t="s">
        <v>688</v>
      </c>
      <c r="D257" s="519"/>
    </row>
    <row r="258" spans="1:4" x14ac:dyDescent="0.25">
      <c r="A258" s="514" t="s">
        <v>1366</v>
      </c>
      <c r="B258" s="515" t="s">
        <v>1367</v>
      </c>
      <c r="C258" s="515" t="s">
        <v>688</v>
      </c>
      <c r="D258" s="519"/>
    </row>
    <row r="259" spans="1:4" x14ac:dyDescent="0.25">
      <c r="A259" s="514" t="s">
        <v>1368</v>
      </c>
      <c r="B259" s="515" t="s">
        <v>1331</v>
      </c>
      <c r="C259" s="515" t="s">
        <v>688</v>
      </c>
      <c r="D259" s="519"/>
    </row>
    <row r="260" spans="1:4" x14ac:dyDescent="0.25">
      <c r="A260" s="514" t="s">
        <v>1369</v>
      </c>
      <c r="B260" s="515" t="s">
        <v>1333</v>
      </c>
      <c r="C260" s="515" t="s">
        <v>688</v>
      </c>
      <c r="D260" s="519"/>
    </row>
    <row r="261" spans="1:4" x14ac:dyDescent="0.25">
      <c r="A261" s="514" t="s">
        <v>1370</v>
      </c>
      <c r="B261" s="515" t="s">
        <v>1335</v>
      </c>
      <c r="C261" s="515" t="s">
        <v>688</v>
      </c>
      <c r="D261" s="519"/>
    </row>
    <row r="262" spans="1:4" x14ac:dyDescent="0.25">
      <c r="A262" s="514" t="s">
        <v>1371</v>
      </c>
      <c r="B262" s="515" t="s">
        <v>1337</v>
      </c>
      <c r="C262" s="515" t="s">
        <v>688</v>
      </c>
      <c r="D262" s="519"/>
    </row>
    <row r="263" spans="1:4" x14ac:dyDescent="0.25">
      <c r="A263" s="514" t="s">
        <v>1372</v>
      </c>
      <c r="B263" s="515" t="s">
        <v>1339</v>
      </c>
      <c r="C263" s="515" t="s">
        <v>688</v>
      </c>
      <c r="D263" s="519"/>
    </row>
    <row r="264" spans="1:4" x14ac:dyDescent="0.25">
      <c r="A264" s="514" t="s">
        <v>1373</v>
      </c>
      <c r="B264" s="515" t="s">
        <v>1341</v>
      </c>
      <c r="C264" s="515" t="s">
        <v>688</v>
      </c>
      <c r="D264" s="519"/>
    </row>
    <row r="265" spans="1:4" x14ac:dyDescent="0.25">
      <c r="A265" s="514" t="s">
        <v>1374</v>
      </c>
      <c r="B265" s="515" t="s">
        <v>1343</v>
      </c>
      <c r="C265" s="515" t="s">
        <v>688</v>
      </c>
      <c r="D265" s="519"/>
    </row>
    <row r="266" spans="1:4" x14ac:dyDescent="0.25">
      <c r="A266" s="514" t="s">
        <v>1375</v>
      </c>
      <c r="B266" s="515" t="s">
        <v>1345</v>
      </c>
      <c r="C266" s="515" t="s">
        <v>688</v>
      </c>
      <c r="D266" s="519"/>
    </row>
    <row r="267" spans="1:4" x14ac:dyDescent="0.25">
      <c r="A267" s="514" t="s">
        <v>1376</v>
      </c>
      <c r="B267" s="515" t="s">
        <v>1347</v>
      </c>
      <c r="C267" s="515" t="s">
        <v>688</v>
      </c>
      <c r="D267" s="519"/>
    </row>
    <row r="268" spans="1:4" x14ac:dyDescent="0.25">
      <c r="A268" s="514" t="s">
        <v>1377</v>
      </c>
      <c r="B268" s="515" t="s">
        <v>1349</v>
      </c>
      <c r="C268" s="515" t="s">
        <v>688</v>
      </c>
      <c r="D268" s="519"/>
    </row>
    <row r="269" spans="1:4" x14ac:dyDescent="0.25">
      <c r="A269" s="514" t="s">
        <v>1378</v>
      </c>
      <c r="B269" s="515" t="s">
        <v>1351</v>
      </c>
      <c r="C269" s="515" t="s">
        <v>688</v>
      </c>
      <c r="D269" s="519"/>
    </row>
    <row r="270" spans="1:4" x14ac:dyDescent="0.25">
      <c r="A270" s="514" t="s">
        <v>1379</v>
      </c>
      <c r="B270" s="515" t="s">
        <v>1353</v>
      </c>
      <c r="C270" s="515" t="s">
        <v>688</v>
      </c>
      <c r="D270" s="519"/>
    </row>
    <row r="271" spans="1:4" x14ac:dyDescent="0.25">
      <c r="A271" s="514" t="s">
        <v>1380</v>
      </c>
      <c r="B271" s="515" t="s">
        <v>1355</v>
      </c>
      <c r="C271" s="515" t="s">
        <v>688</v>
      </c>
      <c r="D271" s="519"/>
    </row>
    <row r="272" spans="1:4" ht="13.5" thickBot="1" x14ac:dyDescent="0.3">
      <c r="A272" s="514" t="s">
        <v>1381</v>
      </c>
      <c r="B272" s="515" t="s">
        <v>1357</v>
      </c>
      <c r="C272" s="515" t="s">
        <v>688</v>
      </c>
      <c r="D272" s="519"/>
    </row>
    <row r="273" spans="1:5" s="512" customFormat="1" ht="27.75" customHeight="1" thickTop="1" thickBot="1" x14ac:dyDescent="0.3">
      <c r="A273" s="511" t="s">
        <v>1382</v>
      </c>
      <c r="B273" s="843" t="s">
        <v>1383</v>
      </c>
      <c r="C273" s="844"/>
      <c r="D273" s="845"/>
      <c r="E273" s="513" t="s">
        <v>877</v>
      </c>
    </row>
    <row r="274" spans="1:5" ht="13.5" thickTop="1" x14ac:dyDescent="0.25">
      <c r="A274" s="514" t="s">
        <v>1384</v>
      </c>
      <c r="B274" s="515" t="s">
        <v>1385</v>
      </c>
      <c r="C274" s="515" t="s">
        <v>688</v>
      </c>
      <c r="D274" s="519"/>
    </row>
    <row r="275" spans="1:5" x14ac:dyDescent="0.25">
      <c r="A275" s="514" t="s">
        <v>1386</v>
      </c>
      <c r="B275" s="515" t="s">
        <v>1387</v>
      </c>
      <c r="C275" s="515" t="s">
        <v>688</v>
      </c>
      <c r="D275" s="518"/>
    </row>
    <row r="276" spans="1:5" x14ac:dyDescent="0.25">
      <c r="A276" s="514" t="s">
        <v>1388</v>
      </c>
      <c r="B276" s="515" t="s">
        <v>1229</v>
      </c>
      <c r="C276" s="515" t="s">
        <v>688</v>
      </c>
      <c r="D276" s="518"/>
    </row>
    <row r="277" spans="1:5" x14ac:dyDescent="0.25">
      <c r="A277" s="514" t="s">
        <v>1389</v>
      </c>
      <c r="B277" s="515" t="s">
        <v>1231</v>
      </c>
      <c r="C277" s="515" t="s">
        <v>688</v>
      </c>
      <c r="D277" s="518"/>
    </row>
    <row r="278" spans="1:5" x14ac:dyDescent="0.25">
      <c r="A278" s="514" t="s">
        <v>1390</v>
      </c>
      <c r="B278" s="515" t="s">
        <v>1233</v>
      </c>
      <c r="C278" s="515" t="s">
        <v>688</v>
      </c>
      <c r="D278" s="519"/>
    </row>
    <row r="279" spans="1:5" x14ac:dyDescent="0.25">
      <c r="A279" s="514" t="s">
        <v>1391</v>
      </c>
      <c r="B279" s="515" t="s">
        <v>1235</v>
      </c>
      <c r="C279" s="515" t="s">
        <v>688</v>
      </c>
      <c r="D279" s="518"/>
    </row>
    <row r="280" spans="1:5" x14ac:dyDescent="0.25">
      <c r="A280" s="514" t="s">
        <v>1392</v>
      </c>
      <c r="B280" s="515" t="s">
        <v>1393</v>
      </c>
      <c r="C280" s="515" t="s">
        <v>688</v>
      </c>
      <c r="D280" s="519"/>
    </row>
    <row r="281" spans="1:5" x14ac:dyDescent="0.25">
      <c r="A281" s="514" t="s">
        <v>1394</v>
      </c>
      <c r="B281" s="515" t="s">
        <v>1239</v>
      </c>
      <c r="C281" s="515" t="s">
        <v>688</v>
      </c>
      <c r="D281" s="518"/>
    </row>
    <row r="282" spans="1:5" x14ac:dyDescent="0.25">
      <c r="A282" s="514" t="s">
        <v>1395</v>
      </c>
      <c r="B282" s="515" t="s">
        <v>1241</v>
      </c>
      <c r="C282" s="515" t="s">
        <v>688</v>
      </c>
      <c r="D282" s="518"/>
    </row>
    <row r="283" spans="1:5" x14ac:dyDescent="0.25">
      <c r="A283" s="514" t="s">
        <v>1396</v>
      </c>
      <c r="B283" s="515" t="s">
        <v>1243</v>
      </c>
      <c r="C283" s="515" t="s">
        <v>688</v>
      </c>
      <c r="D283" s="518"/>
    </row>
    <row r="284" spans="1:5" x14ac:dyDescent="0.25">
      <c r="A284" s="514" t="s">
        <v>1397</v>
      </c>
      <c r="B284" s="515" t="s">
        <v>1245</v>
      </c>
      <c r="C284" s="515" t="s">
        <v>688</v>
      </c>
      <c r="D284" s="518"/>
    </row>
    <row r="285" spans="1:5" x14ac:dyDescent="0.25">
      <c r="A285" s="514" t="s">
        <v>1398</v>
      </c>
      <c r="B285" s="515" t="s">
        <v>1247</v>
      </c>
      <c r="C285" s="515" t="s">
        <v>688</v>
      </c>
      <c r="D285" s="518"/>
    </row>
    <row r="286" spans="1:5" x14ac:dyDescent="0.25">
      <c r="A286" s="514" t="s">
        <v>1399</v>
      </c>
      <c r="B286" s="515" t="s">
        <v>1400</v>
      </c>
      <c r="C286" s="515" t="s">
        <v>688</v>
      </c>
      <c r="D286" s="518"/>
    </row>
    <row r="287" spans="1:5" x14ac:dyDescent="0.25">
      <c r="A287" s="514" t="s">
        <v>1401</v>
      </c>
      <c r="B287" s="515" t="s">
        <v>1402</v>
      </c>
      <c r="C287" s="515" t="s">
        <v>688</v>
      </c>
      <c r="D287" s="518"/>
    </row>
    <row r="288" spans="1:5" x14ac:dyDescent="0.25">
      <c r="A288" s="514" t="s">
        <v>1403</v>
      </c>
      <c r="B288" s="515" t="s">
        <v>1404</v>
      </c>
      <c r="C288" s="515" t="s">
        <v>688</v>
      </c>
      <c r="D288" s="518"/>
    </row>
    <row r="289" spans="1:5" ht="13.5" thickBot="1" x14ac:dyDescent="0.3">
      <c r="A289" s="514" t="s">
        <v>1405</v>
      </c>
      <c r="B289" s="515" t="s">
        <v>1406</v>
      </c>
      <c r="C289" s="515" t="s">
        <v>688</v>
      </c>
      <c r="D289" s="518"/>
    </row>
    <row r="290" spans="1:5" s="512" customFormat="1" ht="14.25" thickTop="1" thickBot="1" x14ac:dyDescent="0.3">
      <c r="A290" s="511" t="s">
        <v>1407</v>
      </c>
      <c r="B290" s="843" t="s">
        <v>1408</v>
      </c>
      <c r="C290" s="844"/>
      <c r="D290" s="845"/>
      <c r="E290" s="513" t="s">
        <v>877</v>
      </c>
    </row>
    <row r="291" spans="1:5" ht="13.5" thickTop="1" x14ac:dyDescent="0.25">
      <c r="A291" s="514" t="s">
        <v>1409</v>
      </c>
      <c r="B291" s="515" t="s">
        <v>1410</v>
      </c>
      <c r="C291" s="515" t="s">
        <v>688</v>
      </c>
      <c r="D291" s="519"/>
      <c r="E291" s="519"/>
    </row>
    <row r="292" spans="1:5" x14ac:dyDescent="0.25">
      <c r="A292" s="514" t="s">
        <v>1411</v>
      </c>
      <c r="B292" s="515" t="s">
        <v>1412</v>
      </c>
      <c r="C292" s="515" t="s">
        <v>688</v>
      </c>
      <c r="D292" s="519"/>
      <c r="E292" s="519"/>
    </row>
    <row r="293" spans="1:5" x14ac:dyDescent="0.25">
      <c r="A293" s="514" t="s">
        <v>1413</v>
      </c>
      <c r="B293" s="515" t="s">
        <v>1414</v>
      </c>
      <c r="C293" s="515" t="s">
        <v>688</v>
      </c>
      <c r="D293" s="519"/>
      <c r="E293" s="519"/>
    </row>
    <row r="294" spans="1:5" x14ac:dyDescent="0.25">
      <c r="A294" s="514" t="s">
        <v>1415</v>
      </c>
      <c r="B294" s="515" t="s">
        <v>1416</v>
      </c>
      <c r="C294" s="515" t="s">
        <v>688</v>
      </c>
      <c r="D294" s="519"/>
      <c r="E294" s="516"/>
    </row>
    <row r="295" spans="1:5" x14ac:dyDescent="0.25">
      <c r="A295" s="514" t="s">
        <v>1417</v>
      </c>
      <c r="B295" s="515" t="s">
        <v>1418</v>
      </c>
      <c r="C295" s="515" t="s">
        <v>688</v>
      </c>
      <c r="D295" s="519"/>
      <c r="E295" s="519"/>
    </row>
    <row r="296" spans="1:5" x14ac:dyDescent="0.25">
      <c r="A296" s="514" t="s">
        <v>1419</v>
      </c>
      <c r="B296" s="515" t="s">
        <v>1420</v>
      </c>
      <c r="C296" s="515" t="s">
        <v>688</v>
      </c>
      <c r="D296" s="519"/>
      <c r="E296" s="519"/>
    </row>
    <row r="297" spans="1:5" x14ac:dyDescent="0.25">
      <c r="A297" s="514" t="s">
        <v>1421</v>
      </c>
      <c r="B297" s="515" t="s">
        <v>1422</v>
      </c>
      <c r="C297" s="515" t="s">
        <v>688</v>
      </c>
      <c r="D297" s="519"/>
      <c r="E297" s="519"/>
    </row>
    <row r="298" spans="1:5" x14ac:dyDescent="0.25">
      <c r="A298" s="514" t="s">
        <v>1423</v>
      </c>
      <c r="B298" s="515" t="s">
        <v>1424</v>
      </c>
      <c r="C298" s="515" t="s">
        <v>688</v>
      </c>
      <c r="D298" s="519"/>
      <c r="E298" s="519"/>
    </row>
    <row r="299" spans="1:5" x14ac:dyDescent="0.25">
      <c r="A299" s="514" t="s">
        <v>1425</v>
      </c>
      <c r="B299" s="515" t="s">
        <v>1426</v>
      </c>
      <c r="C299" s="515" t="s">
        <v>688</v>
      </c>
      <c r="D299" s="519"/>
      <c r="E299" s="519"/>
    </row>
    <row r="300" spans="1:5" x14ac:dyDescent="0.25">
      <c r="A300" s="514" t="s">
        <v>1427</v>
      </c>
      <c r="B300" s="515" t="s">
        <v>1428</v>
      </c>
      <c r="C300" s="515" t="s">
        <v>688</v>
      </c>
      <c r="D300" s="519"/>
      <c r="E300" s="519"/>
    </row>
    <row r="301" spans="1:5" s="512" customFormat="1" x14ac:dyDescent="0.25">
      <c r="A301" s="511" t="s">
        <v>1429</v>
      </c>
      <c r="B301" s="843" t="s">
        <v>1430</v>
      </c>
      <c r="C301" s="844"/>
      <c r="D301" s="845"/>
    </row>
    <row r="302" spans="1:5" ht="25.5" x14ac:dyDescent="0.25">
      <c r="A302" s="514" t="s">
        <v>1431</v>
      </c>
      <c r="B302" s="515" t="s">
        <v>1432</v>
      </c>
      <c r="C302" s="515" t="s">
        <v>688</v>
      </c>
      <c r="D302" s="519"/>
    </row>
    <row r="303" spans="1:5" ht="25.5" x14ac:dyDescent="0.25">
      <c r="A303" s="514" t="s">
        <v>1433</v>
      </c>
      <c r="B303" s="515" t="s">
        <v>1434</v>
      </c>
      <c r="C303" s="515" t="s">
        <v>688</v>
      </c>
      <c r="D303" s="519"/>
    </row>
    <row r="304" spans="1:5" ht="25.5" x14ac:dyDescent="0.25">
      <c r="A304" s="514" t="s">
        <v>1435</v>
      </c>
      <c r="B304" s="515" t="s">
        <v>1436</v>
      </c>
      <c r="C304" s="515" t="s">
        <v>688</v>
      </c>
      <c r="D304" s="519"/>
    </row>
    <row r="305" spans="1:4" ht="25.5" x14ac:dyDescent="0.25">
      <c r="A305" s="514" t="s">
        <v>1437</v>
      </c>
      <c r="B305" s="515" t="s">
        <v>1438</v>
      </c>
      <c r="C305" s="515" t="s">
        <v>688</v>
      </c>
      <c r="D305" s="519"/>
    </row>
    <row r="306" spans="1:4" ht="25.5" x14ac:dyDescent="0.25">
      <c r="A306" s="514" t="s">
        <v>1439</v>
      </c>
      <c r="B306" s="515" t="s">
        <v>1440</v>
      </c>
      <c r="C306" s="515" t="s">
        <v>688</v>
      </c>
      <c r="D306" s="519"/>
    </row>
    <row r="307" spans="1:4" ht="25.5" x14ac:dyDescent="0.25">
      <c r="A307" s="514" t="s">
        <v>1441</v>
      </c>
      <c r="B307" s="515" t="s">
        <v>1442</v>
      </c>
      <c r="C307" s="515" t="s">
        <v>688</v>
      </c>
      <c r="D307" s="519"/>
    </row>
    <row r="308" spans="1:4" ht="25.5" x14ac:dyDescent="0.25">
      <c r="A308" s="514" t="s">
        <v>1443</v>
      </c>
      <c r="B308" s="515" t="s">
        <v>1444</v>
      </c>
      <c r="C308" s="515" t="s">
        <v>688</v>
      </c>
      <c r="D308" s="519"/>
    </row>
    <row r="309" spans="1:4" ht="25.5" x14ac:dyDescent="0.25">
      <c r="A309" s="514" t="s">
        <v>1445</v>
      </c>
      <c r="B309" s="515" t="s">
        <v>1446</v>
      </c>
      <c r="C309" s="515" t="s">
        <v>688</v>
      </c>
      <c r="D309" s="519"/>
    </row>
    <row r="310" spans="1:4" ht="25.5" x14ac:dyDescent="0.25">
      <c r="A310" s="514" t="s">
        <v>1447</v>
      </c>
      <c r="B310" s="515" t="s">
        <v>1448</v>
      </c>
      <c r="C310" s="515" t="s">
        <v>688</v>
      </c>
      <c r="D310" s="519"/>
    </row>
    <row r="311" spans="1:4" ht="25.5" x14ac:dyDescent="0.25">
      <c r="A311" s="514" t="s">
        <v>1449</v>
      </c>
      <c r="B311" s="515" t="s">
        <v>1450</v>
      </c>
      <c r="C311" s="515" t="s">
        <v>688</v>
      </c>
      <c r="D311" s="519"/>
    </row>
    <row r="312" spans="1:4" ht="25.5" x14ac:dyDescent="0.25">
      <c r="A312" s="514" t="s">
        <v>1451</v>
      </c>
      <c r="B312" s="515" t="s">
        <v>1452</v>
      </c>
      <c r="C312" s="515" t="s">
        <v>688</v>
      </c>
      <c r="D312" s="518"/>
    </row>
    <row r="313" spans="1:4" ht="25.5" x14ac:dyDescent="0.25">
      <c r="A313" s="514" t="s">
        <v>1453</v>
      </c>
      <c r="B313" s="515" t="s">
        <v>1454</v>
      </c>
      <c r="C313" s="515" t="s">
        <v>688</v>
      </c>
      <c r="D313" s="518"/>
    </row>
    <row r="314" spans="1:4" ht="25.5" x14ac:dyDescent="0.25">
      <c r="A314" s="514" t="s">
        <v>1455</v>
      </c>
      <c r="B314" s="515" t="s">
        <v>1456</v>
      </c>
      <c r="C314" s="515" t="s">
        <v>688</v>
      </c>
      <c r="D314" s="518"/>
    </row>
    <row r="315" spans="1:4" s="512" customFormat="1" x14ac:dyDescent="0.25">
      <c r="A315" s="511" t="s">
        <v>1457</v>
      </c>
      <c r="B315" s="843" t="s">
        <v>1458</v>
      </c>
      <c r="C315" s="844"/>
      <c r="D315" s="845"/>
    </row>
    <row r="316" spans="1:4" ht="25.5" x14ac:dyDescent="0.25">
      <c r="A316" s="514" t="s">
        <v>1459</v>
      </c>
      <c r="B316" s="515" t="s">
        <v>1460</v>
      </c>
      <c r="C316" s="515" t="s">
        <v>880</v>
      </c>
      <c r="D316" s="519"/>
    </row>
    <row r="317" spans="1:4" ht="25.5" x14ac:dyDescent="0.25">
      <c r="A317" s="514" t="s">
        <v>1461</v>
      </c>
      <c r="B317" s="515" t="s">
        <v>1462</v>
      </c>
      <c r="C317" s="515" t="s">
        <v>880</v>
      </c>
      <c r="D317" s="519"/>
    </row>
    <row r="318" spans="1:4" ht="25.5" x14ac:dyDescent="0.25">
      <c r="A318" s="514" t="s">
        <v>1463</v>
      </c>
      <c r="B318" s="515" t="s">
        <v>1464</v>
      </c>
      <c r="C318" s="515" t="s">
        <v>880</v>
      </c>
      <c r="D318" s="519"/>
    </row>
    <row r="319" spans="1:4" ht="25.5" x14ac:dyDescent="0.25">
      <c r="A319" s="514" t="s">
        <v>1465</v>
      </c>
      <c r="B319" s="515" t="s">
        <v>1466</v>
      </c>
      <c r="C319" s="515" t="s">
        <v>880</v>
      </c>
      <c r="D319" s="519"/>
    </row>
    <row r="320" spans="1:4" s="512" customFormat="1" ht="25.5" x14ac:dyDescent="0.25">
      <c r="A320" s="511" t="s">
        <v>1467</v>
      </c>
      <c r="B320" s="520" t="s">
        <v>1468</v>
      </c>
      <c r="C320" s="515" t="s">
        <v>880</v>
      </c>
      <c r="D320" s="528"/>
    </row>
    <row r="321" spans="1:4" s="512" customFormat="1" x14ac:dyDescent="0.25">
      <c r="A321" s="511" t="s">
        <v>1469</v>
      </c>
      <c r="B321" s="843" t="s">
        <v>1470</v>
      </c>
      <c r="C321" s="844"/>
      <c r="D321" s="845"/>
    </row>
    <row r="322" spans="1:4" ht="25.5" x14ac:dyDescent="0.25">
      <c r="A322" s="514" t="s">
        <v>1471</v>
      </c>
      <c r="B322" s="515" t="s">
        <v>1472</v>
      </c>
      <c r="C322" s="515" t="s">
        <v>1008</v>
      </c>
      <c r="D322" s="518"/>
    </row>
    <row r="323" spans="1:4" ht="25.5" x14ac:dyDescent="0.25">
      <c r="A323" s="514" t="s">
        <v>1473</v>
      </c>
      <c r="B323" s="515" t="s">
        <v>1474</v>
      </c>
      <c r="C323" s="515" t="s">
        <v>1008</v>
      </c>
      <c r="D323" s="518"/>
    </row>
    <row r="324" spans="1:4" ht="25.5" x14ac:dyDescent="0.25">
      <c r="A324" s="514" t="s">
        <v>1475</v>
      </c>
      <c r="B324" s="515" t="s">
        <v>1476</v>
      </c>
      <c r="C324" s="515" t="s">
        <v>1008</v>
      </c>
      <c r="D324" s="519"/>
    </row>
    <row r="325" spans="1:4" ht="25.5" x14ac:dyDescent="0.25">
      <c r="A325" s="514" t="s">
        <v>1477</v>
      </c>
      <c r="B325" s="515" t="s">
        <v>1478</v>
      </c>
      <c r="C325" s="515" t="s">
        <v>1008</v>
      </c>
      <c r="D325" s="518"/>
    </row>
    <row r="326" spans="1:4" ht="25.5" x14ac:dyDescent="0.25">
      <c r="A326" s="514" t="s">
        <v>1479</v>
      </c>
      <c r="B326" s="515" t="s">
        <v>1480</v>
      </c>
      <c r="C326" s="515" t="s">
        <v>1008</v>
      </c>
      <c r="D326" s="518"/>
    </row>
    <row r="327" spans="1:4" x14ac:dyDescent="0.25">
      <c r="A327" s="514" t="s">
        <v>1481</v>
      </c>
      <c r="B327" s="515" t="s">
        <v>1482</v>
      </c>
      <c r="C327" s="515" t="s">
        <v>1008</v>
      </c>
      <c r="D327" s="516">
        <v>251416.2</v>
      </c>
    </row>
    <row r="328" spans="1:4" s="512" customFormat="1" x14ac:dyDescent="0.25">
      <c r="A328" s="511">
        <v>3.5</v>
      </c>
      <c r="B328" s="843" t="s">
        <v>46</v>
      </c>
      <c r="C328" s="844"/>
      <c r="D328" s="845"/>
    </row>
    <row r="329" spans="1:4" s="512" customFormat="1" x14ac:dyDescent="0.25">
      <c r="A329" s="511" t="s">
        <v>323</v>
      </c>
      <c r="B329" s="843" t="s">
        <v>1483</v>
      </c>
      <c r="C329" s="844"/>
      <c r="D329" s="845"/>
    </row>
    <row r="330" spans="1:4" ht="38.25" x14ac:dyDescent="0.25">
      <c r="A330" s="514" t="s">
        <v>1484</v>
      </c>
      <c r="B330" s="515" t="s">
        <v>1485</v>
      </c>
      <c r="C330" s="515" t="s">
        <v>1008</v>
      </c>
      <c r="D330" s="519"/>
    </row>
    <row r="331" spans="1:4" ht="38.25" x14ac:dyDescent="0.25">
      <c r="A331" s="514" t="s">
        <v>1486</v>
      </c>
      <c r="B331" s="515" t="s">
        <v>1487</v>
      </c>
      <c r="C331" s="515" t="s">
        <v>1008</v>
      </c>
      <c r="D331" s="519"/>
    </row>
    <row r="332" spans="1:4" ht="38.25" x14ac:dyDescent="0.25">
      <c r="A332" s="514" t="s">
        <v>1488</v>
      </c>
      <c r="B332" s="515" t="s">
        <v>1489</v>
      </c>
      <c r="C332" s="515" t="s">
        <v>1008</v>
      </c>
      <c r="D332" s="519"/>
    </row>
    <row r="333" spans="1:4" ht="25.5" x14ac:dyDescent="0.25">
      <c r="A333" s="514" t="s">
        <v>1490</v>
      </c>
      <c r="B333" s="515" t="s">
        <v>1491</v>
      </c>
      <c r="C333" s="515" t="s">
        <v>621</v>
      </c>
      <c r="D333" s="519"/>
    </row>
    <row r="334" spans="1:4" ht="25.5" x14ac:dyDescent="0.25">
      <c r="A334" s="514" t="s">
        <v>1492</v>
      </c>
      <c r="B334" s="515" t="s">
        <v>1493</v>
      </c>
      <c r="C334" s="515" t="s">
        <v>1008</v>
      </c>
      <c r="D334" s="519"/>
    </row>
    <row r="335" spans="1:4" ht="25.5" x14ac:dyDescent="0.25">
      <c r="A335" s="514" t="s">
        <v>1494</v>
      </c>
      <c r="B335" s="515" t="s">
        <v>1495</v>
      </c>
      <c r="C335" s="515" t="s">
        <v>1008</v>
      </c>
      <c r="D335" s="518"/>
    </row>
    <row r="336" spans="1:4" s="512" customFormat="1" x14ac:dyDescent="0.25">
      <c r="A336" s="511" t="s">
        <v>324</v>
      </c>
      <c r="B336" s="843" t="s">
        <v>1496</v>
      </c>
      <c r="C336" s="844"/>
      <c r="D336" s="845"/>
    </row>
    <row r="337" spans="1:4" ht="25.5" x14ac:dyDescent="0.25">
      <c r="A337" s="514" t="s">
        <v>1497</v>
      </c>
      <c r="B337" s="515" t="s">
        <v>1498</v>
      </c>
      <c r="C337" s="515" t="s">
        <v>971</v>
      </c>
      <c r="D337" s="516">
        <v>6405.2</v>
      </c>
    </row>
    <row r="338" spans="1:4" ht="25.5" x14ac:dyDescent="0.25">
      <c r="A338" s="514" t="s">
        <v>1499</v>
      </c>
      <c r="B338" s="515" t="s">
        <v>1500</v>
      </c>
      <c r="C338" s="515" t="s">
        <v>971</v>
      </c>
      <c r="D338" s="519"/>
    </row>
    <row r="339" spans="1:4" ht="25.5" x14ac:dyDescent="0.25">
      <c r="A339" s="514" t="s">
        <v>1501</v>
      </c>
      <c r="B339" s="515" t="s">
        <v>1502</v>
      </c>
      <c r="C339" s="515" t="s">
        <v>971</v>
      </c>
      <c r="D339" s="518"/>
    </row>
    <row r="340" spans="1:4" ht="25.5" x14ac:dyDescent="0.25">
      <c r="A340" s="514" t="s">
        <v>1503</v>
      </c>
      <c r="B340" s="515" t="s">
        <v>1504</v>
      </c>
      <c r="C340" s="515" t="s">
        <v>971</v>
      </c>
      <c r="D340" s="518"/>
    </row>
    <row r="341" spans="1:4" ht="25.5" x14ac:dyDescent="0.25">
      <c r="A341" s="514" t="s">
        <v>1505</v>
      </c>
      <c r="B341" s="515" t="s">
        <v>1506</v>
      </c>
      <c r="C341" s="515" t="s">
        <v>971</v>
      </c>
      <c r="D341" s="518"/>
    </row>
    <row r="342" spans="1:4" ht="25.5" x14ac:dyDescent="0.25">
      <c r="A342" s="514" t="s">
        <v>1507</v>
      </c>
      <c r="B342" s="515" t="s">
        <v>1508</v>
      </c>
      <c r="C342" s="515" t="s">
        <v>971</v>
      </c>
      <c r="D342" s="518"/>
    </row>
    <row r="343" spans="1:4" ht="25.5" x14ac:dyDescent="0.25">
      <c r="A343" s="514" t="s">
        <v>1509</v>
      </c>
      <c r="B343" s="515" t="s">
        <v>1510</v>
      </c>
      <c r="C343" s="515" t="s">
        <v>971</v>
      </c>
      <c r="D343" s="519"/>
    </row>
    <row r="344" spans="1:4" ht="25.5" x14ac:dyDescent="0.25">
      <c r="A344" s="514" t="s">
        <v>1511</v>
      </c>
      <c r="B344" s="515" t="s">
        <v>1512</v>
      </c>
      <c r="C344" s="515" t="s">
        <v>971</v>
      </c>
      <c r="D344" s="518"/>
    </row>
    <row r="345" spans="1:4" ht="25.5" x14ac:dyDescent="0.25">
      <c r="A345" s="514" t="s">
        <v>1513</v>
      </c>
      <c r="B345" s="515" t="s">
        <v>1514</v>
      </c>
      <c r="C345" s="515" t="s">
        <v>971</v>
      </c>
      <c r="D345" s="529"/>
    </row>
    <row r="346" spans="1:4" ht="25.5" x14ac:dyDescent="0.25">
      <c r="A346" s="514" t="s">
        <v>1515</v>
      </c>
      <c r="B346" s="515" t="s">
        <v>1516</v>
      </c>
      <c r="C346" s="515" t="s">
        <v>971</v>
      </c>
      <c r="D346" s="518"/>
    </row>
    <row r="347" spans="1:4" x14ac:dyDescent="0.25">
      <c r="A347" s="514" t="s">
        <v>1517</v>
      </c>
      <c r="B347" s="515" t="s">
        <v>1518</v>
      </c>
      <c r="C347" s="515" t="s">
        <v>971</v>
      </c>
      <c r="D347" s="516">
        <v>7140.2</v>
      </c>
    </row>
    <row r="348" spans="1:4" x14ac:dyDescent="0.25">
      <c r="A348" s="514" t="s">
        <v>1519</v>
      </c>
      <c r="B348" s="515" t="s">
        <v>1520</v>
      </c>
      <c r="C348" s="515" t="s">
        <v>971</v>
      </c>
      <c r="D348" s="516">
        <v>5490.2</v>
      </c>
    </row>
    <row r="349" spans="1:4" s="512" customFormat="1" x14ac:dyDescent="0.25">
      <c r="A349" s="511" t="s">
        <v>326</v>
      </c>
      <c r="B349" s="520" t="s">
        <v>1521</v>
      </c>
      <c r="C349" s="515" t="s">
        <v>971</v>
      </c>
      <c r="D349" s="519"/>
    </row>
    <row r="350" spans="1:4" s="512" customFormat="1" x14ac:dyDescent="0.25">
      <c r="A350" s="511" t="s">
        <v>329</v>
      </c>
      <c r="B350" s="843" t="s">
        <v>1522</v>
      </c>
      <c r="C350" s="844"/>
      <c r="D350" s="845"/>
    </row>
    <row r="351" spans="1:4" s="512" customFormat="1" x14ac:dyDescent="0.25">
      <c r="A351" s="511" t="s">
        <v>1523</v>
      </c>
      <c r="B351" s="843" t="s">
        <v>1524</v>
      </c>
      <c r="C351" s="844"/>
      <c r="D351" s="845"/>
    </row>
    <row r="352" spans="1:4" ht="38.25" x14ac:dyDescent="0.25">
      <c r="A352" s="514" t="s">
        <v>1525</v>
      </c>
      <c r="B352" s="515" t="s">
        <v>1526</v>
      </c>
      <c r="C352" s="515" t="s">
        <v>1008</v>
      </c>
      <c r="D352" s="519"/>
    </row>
    <row r="353" spans="1:4" ht="38.25" x14ac:dyDescent="0.25">
      <c r="A353" s="514" t="s">
        <v>1527</v>
      </c>
      <c r="B353" s="515" t="s">
        <v>1528</v>
      </c>
      <c r="C353" s="515" t="s">
        <v>1008</v>
      </c>
      <c r="D353" s="519"/>
    </row>
    <row r="354" spans="1:4" ht="25.5" x14ac:dyDescent="0.25">
      <c r="A354" s="514" t="s">
        <v>1529</v>
      </c>
      <c r="B354" s="515" t="s">
        <v>1530</v>
      </c>
      <c r="C354" s="518"/>
      <c r="D354" s="519"/>
    </row>
    <row r="355" spans="1:4" s="512" customFormat="1" x14ac:dyDescent="0.25">
      <c r="A355" s="511" t="s">
        <v>329</v>
      </c>
      <c r="B355" s="843" t="s">
        <v>1531</v>
      </c>
      <c r="C355" s="844"/>
      <c r="D355" s="845"/>
    </row>
    <row r="356" spans="1:4" ht="25.5" x14ac:dyDescent="0.25">
      <c r="A356" s="514" t="s">
        <v>1532</v>
      </c>
      <c r="B356" s="515" t="s">
        <v>1533</v>
      </c>
      <c r="C356" s="515" t="s">
        <v>1008</v>
      </c>
      <c r="D356" s="519"/>
    </row>
    <row r="357" spans="1:4" s="512" customFormat="1" x14ac:dyDescent="0.25">
      <c r="A357" s="511">
        <v>3.6</v>
      </c>
      <c r="B357" s="843" t="s">
        <v>1534</v>
      </c>
      <c r="C357" s="844"/>
      <c r="D357" s="845"/>
    </row>
    <row r="358" spans="1:4" s="512" customFormat="1" x14ac:dyDescent="0.25">
      <c r="A358" s="511" t="s">
        <v>347</v>
      </c>
      <c r="B358" s="843" t="s">
        <v>1535</v>
      </c>
      <c r="C358" s="844"/>
      <c r="D358" s="845"/>
    </row>
    <row r="359" spans="1:4" s="512" customFormat="1" x14ac:dyDescent="0.25">
      <c r="A359" s="511" t="s">
        <v>1536</v>
      </c>
      <c r="B359" s="843" t="s">
        <v>1537</v>
      </c>
      <c r="C359" s="844"/>
      <c r="D359" s="845"/>
    </row>
    <row r="360" spans="1:4" x14ac:dyDescent="0.25">
      <c r="A360" s="514" t="s">
        <v>1538</v>
      </c>
      <c r="B360" s="515" t="s">
        <v>1539</v>
      </c>
      <c r="C360" s="515" t="s">
        <v>621</v>
      </c>
      <c r="D360" s="518"/>
    </row>
    <row r="361" spans="1:4" x14ac:dyDescent="0.25">
      <c r="A361" s="514" t="s">
        <v>1540</v>
      </c>
      <c r="B361" s="515" t="s">
        <v>1541</v>
      </c>
      <c r="C361" s="515" t="s">
        <v>621</v>
      </c>
      <c r="D361" s="518"/>
    </row>
    <row r="362" spans="1:4" x14ac:dyDescent="0.25">
      <c r="A362" s="514" t="s">
        <v>1542</v>
      </c>
      <c r="B362" s="515" t="s">
        <v>1543</v>
      </c>
      <c r="C362" s="515" t="s">
        <v>621</v>
      </c>
      <c r="D362" s="518"/>
    </row>
    <row r="363" spans="1:4" x14ac:dyDescent="0.25">
      <c r="A363" s="514" t="s">
        <v>1544</v>
      </c>
      <c r="B363" s="515" t="s">
        <v>1545</v>
      </c>
      <c r="C363" s="515" t="s">
        <v>621</v>
      </c>
      <c r="D363" s="519"/>
    </row>
    <row r="364" spans="1:4" s="512" customFormat="1" x14ac:dyDescent="0.25">
      <c r="A364" s="511" t="s">
        <v>1546</v>
      </c>
      <c r="B364" s="843" t="s">
        <v>1547</v>
      </c>
      <c r="C364" s="844"/>
      <c r="D364" s="845"/>
    </row>
    <row r="365" spans="1:4" x14ac:dyDescent="0.25">
      <c r="A365" s="514" t="s">
        <v>1548</v>
      </c>
      <c r="B365" s="515" t="s">
        <v>1539</v>
      </c>
      <c r="C365" s="515" t="s">
        <v>621</v>
      </c>
      <c r="D365" s="518"/>
    </row>
    <row r="366" spans="1:4" x14ac:dyDescent="0.25">
      <c r="A366" s="514" t="s">
        <v>1549</v>
      </c>
      <c r="B366" s="515" t="s">
        <v>1541</v>
      </c>
      <c r="C366" s="515" t="s">
        <v>621</v>
      </c>
      <c r="D366" s="518"/>
    </row>
    <row r="367" spans="1:4" x14ac:dyDescent="0.25">
      <c r="A367" s="514" t="s">
        <v>1550</v>
      </c>
      <c r="B367" s="515" t="s">
        <v>1543</v>
      </c>
      <c r="C367" s="515" t="s">
        <v>621</v>
      </c>
      <c r="D367" s="518"/>
    </row>
    <row r="368" spans="1:4" x14ac:dyDescent="0.25">
      <c r="A368" s="514" t="s">
        <v>1551</v>
      </c>
      <c r="B368" s="515" t="s">
        <v>1552</v>
      </c>
      <c r="C368" s="515" t="s">
        <v>621</v>
      </c>
      <c r="D368" s="518"/>
    </row>
    <row r="369" spans="1:4" s="512" customFormat="1" x14ac:dyDescent="0.25">
      <c r="A369" s="511" t="s">
        <v>348</v>
      </c>
      <c r="B369" s="843" t="s">
        <v>1553</v>
      </c>
      <c r="C369" s="844"/>
      <c r="D369" s="845"/>
    </row>
    <row r="370" spans="1:4" ht="25.5" x14ac:dyDescent="0.25">
      <c r="A370" s="514" t="s">
        <v>1554</v>
      </c>
      <c r="B370" s="515" t="s">
        <v>1555</v>
      </c>
      <c r="C370" s="515" t="s">
        <v>621</v>
      </c>
      <c r="D370" s="519"/>
    </row>
    <row r="371" spans="1:4" ht="25.5" x14ac:dyDescent="0.25">
      <c r="A371" s="514" t="s">
        <v>1556</v>
      </c>
      <c r="B371" s="515" t="s">
        <v>1557</v>
      </c>
      <c r="C371" s="515" t="s">
        <v>621</v>
      </c>
      <c r="D371" s="519"/>
    </row>
    <row r="372" spans="1:4" ht="25.5" x14ac:dyDescent="0.25">
      <c r="A372" s="514" t="s">
        <v>1558</v>
      </c>
      <c r="B372" s="515" t="s">
        <v>1559</v>
      </c>
      <c r="C372" s="515" t="s">
        <v>621</v>
      </c>
      <c r="D372" s="519"/>
    </row>
    <row r="373" spans="1:4" x14ac:dyDescent="0.25">
      <c r="A373" s="514" t="s">
        <v>1560</v>
      </c>
      <c r="B373" s="515" t="s">
        <v>1561</v>
      </c>
      <c r="C373" s="515" t="s">
        <v>621</v>
      </c>
      <c r="D373" s="519"/>
    </row>
    <row r="374" spans="1:4" ht="25.5" x14ac:dyDescent="0.25">
      <c r="A374" s="514" t="s">
        <v>1562</v>
      </c>
      <c r="B374" s="515" t="s">
        <v>1563</v>
      </c>
      <c r="C374" s="515" t="s">
        <v>621</v>
      </c>
      <c r="D374" s="518"/>
    </row>
    <row r="375" spans="1:4" ht="25.5" x14ac:dyDescent="0.25">
      <c r="A375" s="514" t="s">
        <v>1564</v>
      </c>
      <c r="B375" s="515" t="s">
        <v>1565</v>
      </c>
      <c r="C375" s="515" t="s">
        <v>621</v>
      </c>
      <c r="D375" s="518"/>
    </row>
    <row r="376" spans="1:4" ht="25.5" x14ac:dyDescent="0.25">
      <c r="A376" s="514" t="s">
        <v>1566</v>
      </c>
      <c r="B376" s="515" t="s">
        <v>1567</v>
      </c>
      <c r="C376" s="515" t="s">
        <v>621</v>
      </c>
      <c r="D376" s="518"/>
    </row>
    <row r="377" spans="1:4" ht="25.5" x14ac:dyDescent="0.25">
      <c r="A377" s="514" t="s">
        <v>1568</v>
      </c>
      <c r="B377" s="515" t="s">
        <v>1569</v>
      </c>
      <c r="C377" s="515" t="s">
        <v>621</v>
      </c>
      <c r="D377" s="518"/>
    </row>
    <row r="378" spans="1:4" ht="25.5" x14ac:dyDescent="0.25">
      <c r="A378" s="514" t="s">
        <v>1570</v>
      </c>
      <c r="B378" s="515" t="s">
        <v>1571</v>
      </c>
      <c r="C378" s="515" t="s">
        <v>621</v>
      </c>
      <c r="D378" s="518"/>
    </row>
    <row r="379" spans="1:4" ht="25.5" x14ac:dyDescent="0.25">
      <c r="A379" s="514" t="s">
        <v>1572</v>
      </c>
      <c r="B379" s="515" t="s">
        <v>1573</v>
      </c>
      <c r="C379" s="515" t="s">
        <v>621</v>
      </c>
      <c r="D379" s="518"/>
    </row>
    <row r="380" spans="1:4" ht="25.5" x14ac:dyDescent="0.25">
      <c r="A380" s="514" t="s">
        <v>1574</v>
      </c>
      <c r="B380" s="515" t="s">
        <v>1575</v>
      </c>
      <c r="C380" s="515" t="s">
        <v>621</v>
      </c>
      <c r="D380" s="518"/>
    </row>
    <row r="381" spans="1:4" ht="25.5" x14ac:dyDescent="0.25">
      <c r="A381" s="514" t="s">
        <v>1576</v>
      </c>
      <c r="B381" s="515" t="s">
        <v>1577</v>
      </c>
      <c r="C381" s="515" t="s">
        <v>621</v>
      </c>
      <c r="D381" s="518"/>
    </row>
    <row r="382" spans="1:4" ht="25.5" x14ac:dyDescent="0.25">
      <c r="A382" s="514" t="s">
        <v>1578</v>
      </c>
      <c r="B382" s="515" t="s">
        <v>1579</v>
      </c>
      <c r="C382" s="515" t="s">
        <v>621</v>
      </c>
      <c r="D382" s="518"/>
    </row>
    <row r="383" spans="1:4" ht="25.5" x14ac:dyDescent="0.25">
      <c r="A383" s="514" t="s">
        <v>1580</v>
      </c>
      <c r="B383" s="515" t="s">
        <v>1581</v>
      </c>
      <c r="C383" s="515" t="s">
        <v>621</v>
      </c>
      <c r="D383" s="518"/>
    </row>
    <row r="384" spans="1:4" ht="25.5" x14ac:dyDescent="0.25">
      <c r="A384" s="514" t="s">
        <v>1582</v>
      </c>
      <c r="B384" s="515" t="s">
        <v>1583</v>
      </c>
      <c r="C384" s="515" t="s">
        <v>621</v>
      </c>
      <c r="D384" s="518"/>
    </row>
    <row r="385" spans="1:4" ht="25.5" x14ac:dyDescent="0.25">
      <c r="A385" s="514" t="s">
        <v>1584</v>
      </c>
      <c r="B385" s="515" t="s">
        <v>1585</v>
      </c>
      <c r="C385" s="515" t="s">
        <v>621</v>
      </c>
      <c r="D385" s="518"/>
    </row>
    <row r="386" spans="1:4" ht="25.5" x14ac:dyDescent="0.25">
      <c r="A386" s="514" t="s">
        <v>1586</v>
      </c>
      <c r="B386" s="515" t="s">
        <v>1587</v>
      </c>
      <c r="C386" s="515" t="s">
        <v>621</v>
      </c>
      <c r="D386" s="518"/>
    </row>
    <row r="387" spans="1:4" ht="25.5" x14ac:dyDescent="0.25">
      <c r="A387" s="514" t="s">
        <v>1588</v>
      </c>
      <c r="B387" s="515" t="s">
        <v>1589</v>
      </c>
      <c r="C387" s="515" t="s">
        <v>621</v>
      </c>
      <c r="D387" s="518"/>
    </row>
    <row r="388" spans="1:4" ht="25.5" x14ac:dyDescent="0.25">
      <c r="A388" s="514" t="s">
        <v>1590</v>
      </c>
      <c r="B388" s="515" t="s">
        <v>1591</v>
      </c>
      <c r="C388" s="515" t="s">
        <v>621</v>
      </c>
      <c r="D388" s="518"/>
    </row>
    <row r="389" spans="1:4" ht="25.5" x14ac:dyDescent="0.25">
      <c r="A389" s="514" t="s">
        <v>1592</v>
      </c>
      <c r="B389" s="515" t="s">
        <v>1593</v>
      </c>
      <c r="C389" s="515" t="s">
        <v>621</v>
      </c>
      <c r="D389" s="518"/>
    </row>
    <row r="390" spans="1:4" s="512" customFormat="1" x14ac:dyDescent="0.25">
      <c r="A390" s="511" t="s">
        <v>349</v>
      </c>
      <c r="B390" s="843" t="s">
        <v>1594</v>
      </c>
      <c r="C390" s="844"/>
      <c r="D390" s="845"/>
    </row>
    <row r="391" spans="1:4" s="512" customFormat="1" x14ac:dyDescent="0.25">
      <c r="A391" s="511" t="s">
        <v>1595</v>
      </c>
      <c r="B391" s="843" t="s">
        <v>1596</v>
      </c>
      <c r="C391" s="844"/>
      <c r="D391" s="845"/>
    </row>
    <row r="392" spans="1:4" x14ac:dyDescent="0.25">
      <c r="A392" s="514" t="s">
        <v>1597</v>
      </c>
      <c r="B392" s="515" t="s">
        <v>1598</v>
      </c>
      <c r="C392" s="515" t="s">
        <v>880</v>
      </c>
      <c r="D392" s="518"/>
    </row>
    <row r="393" spans="1:4" x14ac:dyDescent="0.25">
      <c r="A393" s="514" t="s">
        <v>1599</v>
      </c>
      <c r="B393" s="515" t="s">
        <v>1600</v>
      </c>
      <c r="C393" s="515" t="s">
        <v>880</v>
      </c>
      <c r="D393" s="518"/>
    </row>
    <row r="394" spans="1:4" s="512" customFormat="1" x14ac:dyDescent="0.25">
      <c r="A394" s="511" t="s">
        <v>1601</v>
      </c>
      <c r="B394" s="843" t="s">
        <v>1602</v>
      </c>
      <c r="C394" s="844"/>
      <c r="D394" s="845"/>
    </row>
    <row r="395" spans="1:4" x14ac:dyDescent="0.25">
      <c r="A395" s="514" t="s">
        <v>1603</v>
      </c>
      <c r="B395" s="515" t="s">
        <v>1604</v>
      </c>
      <c r="C395" s="515" t="s">
        <v>880</v>
      </c>
      <c r="D395" s="518"/>
    </row>
    <row r="396" spans="1:4" x14ac:dyDescent="0.25">
      <c r="A396" s="514" t="s">
        <v>1605</v>
      </c>
      <c r="B396" s="515" t="s">
        <v>1606</v>
      </c>
      <c r="C396" s="515" t="s">
        <v>880</v>
      </c>
      <c r="D396" s="518"/>
    </row>
    <row r="397" spans="1:4" s="512" customFormat="1" x14ac:dyDescent="0.25">
      <c r="A397" s="511" t="s">
        <v>1607</v>
      </c>
      <c r="B397" s="843" t="s">
        <v>1608</v>
      </c>
      <c r="C397" s="844" t="s">
        <v>880</v>
      </c>
      <c r="D397" s="845"/>
    </row>
    <row r="398" spans="1:4" s="512" customFormat="1" x14ac:dyDescent="0.25">
      <c r="A398" s="511" t="s">
        <v>1609</v>
      </c>
      <c r="B398" s="843" t="s">
        <v>1610</v>
      </c>
      <c r="C398" s="844"/>
      <c r="D398" s="845"/>
    </row>
    <row r="399" spans="1:4" x14ac:dyDescent="0.25">
      <c r="A399" s="514" t="s">
        <v>1611</v>
      </c>
      <c r="B399" s="515" t="s">
        <v>1612</v>
      </c>
      <c r="C399" s="515" t="s">
        <v>880</v>
      </c>
      <c r="D399" s="518"/>
    </row>
    <row r="400" spans="1:4" x14ac:dyDescent="0.25">
      <c r="A400" s="514" t="s">
        <v>1613</v>
      </c>
      <c r="B400" s="515" t="s">
        <v>1614</v>
      </c>
      <c r="C400" s="515" t="s">
        <v>880</v>
      </c>
      <c r="D400" s="518"/>
    </row>
    <row r="401" spans="1:4" s="512" customFormat="1" ht="25.5" x14ac:dyDescent="0.25">
      <c r="A401" s="511" t="s">
        <v>1615</v>
      </c>
      <c r="B401" s="520" t="s">
        <v>1616</v>
      </c>
      <c r="C401" s="520"/>
      <c r="D401" s="528"/>
    </row>
    <row r="402" spans="1:4" s="512" customFormat="1" x14ac:dyDescent="0.25">
      <c r="A402" s="511" t="s">
        <v>1617</v>
      </c>
      <c r="B402" s="520" t="s">
        <v>1618</v>
      </c>
      <c r="C402" s="528"/>
      <c r="D402" s="528"/>
    </row>
    <row r="403" spans="1:4" ht="25.5" x14ac:dyDescent="0.25">
      <c r="A403" s="514" t="s">
        <v>1619</v>
      </c>
      <c r="B403" s="515" t="s">
        <v>1620</v>
      </c>
      <c r="C403" s="515" t="s">
        <v>931</v>
      </c>
      <c r="D403" s="518"/>
    </row>
    <row r="404" spans="1:4" ht="25.5" x14ac:dyDescent="0.25">
      <c r="A404" s="514" t="s">
        <v>1621</v>
      </c>
      <c r="B404" s="515" t="s">
        <v>1622</v>
      </c>
      <c r="C404" s="515" t="s">
        <v>931</v>
      </c>
      <c r="D404" s="518"/>
    </row>
    <row r="405" spans="1:4" ht="38.25" x14ac:dyDescent="0.25">
      <c r="A405" s="514" t="s">
        <v>1623</v>
      </c>
      <c r="B405" s="515" t="s">
        <v>1624</v>
      </c>
      <c r="C405" s="515" t="s">
        <v>931</v>
      </c>
      <c r="D405" s="519"/>
    </row>
    <row r="406" spans="1:4" ht="38.25" x14ac:dyDescent="0.25">
      <c r="A406" s="514" t="s">
        <v>1625</v>
      </c>
      <c r="B406" s="515" t="s">
        <v>1626</v>
      </c>
      <c r="C406" s="515" t="s">
        <v>931</v>
      </c>
      <c r="D406" s="518"/>
    </row>
    <row r="407" spans="1:4" ht="38.25" x14ac:dyDescent="0.25">
      <c r="A407" s="514" t="s">
        <v>1627</v>
      </c>
      <c r="B407" s="515" t="s">
        <v>1628</v>
      </c>
      <c r="C407" s="515" t="s">
        <v>931</v>
      </c>
      <c r="D407" s="518"/>
    </row>
    <row r="408" spans="1:4" ht="38.25" x14ac:dyDescent="0.25">
      <c r="A408" s="514" t="s">
        <v>1629</v>
      </c>
      <c r="B408" s="515" t="s">
        <v>1630</v>
      </c>
      <c r="C408" s="515" t="s">
        <v>931</v>
      </c>
      <c r="D408" s="518"/>
    </row>
    <row r="409" spans="1:4" ht="38.25" x14ac:dyDescent="0.25">
      <c r="A409" s="514" t="s">
        <v>1631</v>
      </c>
      <c r="B409" s="515" t="s">
        <v>1632</v>
      </c>
      <c r="C409" s="515" t="s">
        <v>931</v>
      </c>
      <c r="D409" s="518"/>
    </row>
    <row r="410" spans="1:4" ht="38.25" x14ac:dyDescent="0.25">
      <c r="A410" s="514" t="s">
        <v>1633</v>
      </c>
      <c r="B410" s="515" t="s">
        <v>1634</v>
      </c>
      <c r="C410" s="515" t="s">
        <v>931</v>
      </c>
      <c r="D410" s="518"/>
    </row>
    <row r="411" spans="1:4" ht="38.25" x14ac:dyDescent="0.25">
      <c r="A411" s="514" t="s">
        <v>1635</v>
      </c>
      <c r="B411" s="515" t="s">
        <v>1636</v>
      </c>
      <c r="C411" s="515" t="s">
        <v>931</v>
      </c>
      <c r="D411" s="518"/>
    </row>
    <row r="412" spans="1:4" ht="38.25" x14ac:dyDescent="0.25">
      <c r="A412" s="514" t="s">
        <v>1637</v>
      </c>
      <c r="B412" s="515" t="s">
        <v>1638</v>
      </c>
      <c r="C412" s="515" t="s">
        <v>931</v>
      </c>
      <c r="D412" s="518"/>
    </row>
    <row r="413" spans="1:4" ht="38.25" x14ac:dyDescent="0.25">
      <c r="A413" s="514" t="s">
        <v>1639</v>
      </c>
      <c r="B413" s="515" t="s">
        <v>1640</v>
      </c>
      <c r="C413" s="515" t="s">
        <v>931</v>
      </c>
      <c r="D413" s="518"/>
    </row>
    <row r="414" spans="1:4" ht="25.5" x14ac:dyDescent="0.25">
      <c r="A414" s="514" t="s">
        <v>1641</v>
      </c>
      <c r="B414" s="515" t="s">
        <v>1642</v>
      </c>
      <c r="C414" s="515" t="s">
        <v>931</v>
      </c>
      <c r="D414" s="518"/>
    </row>
    <row r="415" spans="1:4" x14ac:dyDescent="0.25">
      <c r="A415" s="514" t="s">
        <v>1643</v>
      </c>
      <c r="B415" s="515" t="s">
        <v>1644</v>
      </c>
      <c r="C415" s="515" t="s">
        <v>931</v>
      </c>
      <c r="D415" s="518"/>
    </row>
    <row r="416" spans="1:4" x14ac:dyDescent="0.25">
      <c r="A416" s="514" t="s">
        <v>1645</v>
      </c>
      <c r="B416" s="515" t="s">
        <v>1646</v>
      </c>
      <c r="C416" s="515" t="s">
        <v>931</v>
      </c>
      <c r="D416" s="518"/>
    </row>
    <row r="417" spans="1:4" ht="25.5" x14ac:dyDescent="0.25">
      <c r="A417" s="514" t="s">
        <v>1647</v>
      </c>
      <c r="B417" s="515" t="s">
        <v>1648</v>
      </c>
      <c r="C417" s="515" t="s">
        <v>931</v>
      </c>
      <c r="D417" s="518"/>
    </row>
    <row r="418" spans="1:4" ht="25.5" x14ac:dyDescent="0.25">
      <c r="A418" s="514" t="s">
        <v>1649</v>
      </c>
      <c r="B418" s="515" t="s">
        <v>1650</v>
      </c>
      <c r="C418" s="515" t="s">
        <v>931</v>
      </c>
      <c r="D418" s="518"/>
    </row>
    <row r="419" spans="1:4" x14ac:dyDescent="0.25">
      <c r="A419" s="514" t="s">
        <v>1651</v>
      </c>
      <c r="B419" s="515" t="s">
        <v>1652</v>
      </c>
      <c r="C419" s="515" t="s">
        <v>931</v>
      </c>
      <c r="D419" s="518"/>
    </row>
    <row r="420" spans="1:4" x14ac:dyDescent="0.25">
      <c r="A420" s="514" t="s">
        <v>1653</v>
      </c>
      <c r="B420" s="515" t="s">
        <v>1654</v>
      </c>
      <c r="C420" s="515" t="s">
        <v>931</v>
      </c>
      <c r="D420" s="518"/>
    </row>
    <row r="421" spans="1:4" x14ac:dyDescent="0.25">
      <c r="A421" s="514" t="s">
        <v>1655</v>
      </c>
      <c r="B421" s="515" t="s">
        <v>1656</v>
      </c>
      <c r="C421" s="515" t="s">
        <v>931</v>
      </c>
      <c r="D421" s="518"/>
    </row>
    <row r="422" spans="1:4" ht="25.5" x14ac:dyDescent="0.25">
      <c r="A422" s="514" t="s">
        <v>1657</v>
      </c>
      <c r="B422" s="515" t="s">
        <v>1658</v>
      </c>
      <c r="C422" s="515" t="s">
        <v>931</v>
      </c>
      <c r="D422" s="518"/>
    </row>
    <row r="423" spans="1:4" ht="25.5" x14ac:dyDescent="0.25">
      <c r="A423" s="514" t="s">
        <v>1659</v>
      </c>
      <c r="B423" s="515" t="s">
        <v>1660</v>
      </c>
      <c r="C423" s="515" t="s">
        <v>931</v>
      </c>
      <c r="D423" s="518"/>
    </row>
    <row r="424" spans="1:4" ht="25.5" x14ac:dyDescent="0.25">
      <c r="A424" s="514" t="s">
        <v>1661</v>
      </c>
      <c r="B424" s="515" t="s">
        <v>1662</v>
      </c>
      <c r="C424" s="515" t="s">
        <v>931</v>
      </c>
      <c r="D424" s="518"/>
    </row>
    <row r="425" spans="1:4" ht="25.5" x14ac:dyDescent="0.25">
      <c r="A425" s="514" t="s">
        <v>1663</v>
      </c>
      <c r="B425" s="515" t="s">
        <v>1664</v>
      </c>
      <c r="C425" s="515" t="s">
        <v>931</v>
      </c>
      <c r="D425" s="518"/>
    </row>
    <row r="426" spans="1:4" s="512" customFormat="1" x14ac:dyDescent="0.25">
      <c r="A426" s="511" t="s">
        <v>1665</v>
      </c>
      <c r="B426" s="843" t="s">
        <v>1666</v>
      </c>
      <c r="C426" s="844"/>
      <c r="D426" s="845"/>
    </row>
    <row r="427" spans="1:4" ht="25.5" x14ac:dyDescent="0.25">
      <c r="A427" s="514" t="s">
        <v>1667</v>
      </c>
      <c r="B427" s="515" t="s">
        <v>1668</v>
      </c>
      <c r="C427" s="515" t="s">
        <v>688</v>
      </c>
      <c r="D427" s="519"/>
    </row>
    <row r="428" spans="1:4" ht="25.5" x14ac:dyDescent="0.25">
      <c r="A428" s="514" t="s">
        <v>1669</v>
      </c>
      <c r="B428" s="515" t="s">
        <v>1670</v>
      </c>
      <c r="C428" s="515" t="s">
        <v>688</v>
      </c>
      <c r="D428" s="518"/>
    </row>
    <row r="429" spans="1:4" ht="25.5" x14ac:dyDescent="0.25">
      <c r="A429" s="514" t="s">
        <v>1671</v>
      </c>
      <c r="B429" s="515" t="s">
        <v>1672</v>
      </c>
      <c r="C429" s="515" t="s">
        <v>688</v>
      </c>
      <c r="D429" s="518"/>
    </row>
    <row r="430" spans="1:4" ht="25.5" x14ac:dyDescent="0.25">
      <c r="A430" s="514" t="s">
        <v>1673</v>
      </c>
      <c r="B430" s="515" t="s">
        <v>1674</v>
      </c>
      <c r="C430" s="515" t="s">
        <v>688</v>
      </c>
      <c r="D430" s="518"/>
    </row>
    <row r="431" spans="1:4" ht="25.5" x14ac:dyDescent="0.25">
      <c r="A431" s="514" t="s">
        <v>1675</v>
      </c>
      <c r="B431" s="515" t="s">
        <v>1676</v>
      </c>
      <c r="C431" s="515" t="s">
        <v>688</v>
      </c>
      <c r="D431" s="518"/>
    </row>
    <row r="432" spans="1:4" ht="25.5" x14ac:dyDescent="0.25">
      <c r="A432" s="514" t="s">
        <v>1677</v>
      </c>
      <c r="B432" s="515" t="s">
        <v>1678</v>
      </c>
      <c r="C432" s="515" t="s">
        <v>688</v>
      </c>
      <c r="D432" s="518"/>
    </row>
    <row r="433" spans="1:4" s="512" customFormat="1" x14ac:dyDescent="0.25">
      <c r="A433" s="511" t="s">
        <v>1679</v>
      </c>
      <c r="B433" s="843" t="s">
        <v>1680</v>
      </c>
      <c r="C433" s="844"/>
      <c r="D433" s="845"/>
    </row>
    <row r="434" spans="1:4" ht="25.5" x14ac:dyDescent="0.25">
      <c r="A434" s="514" t="s">
        <v>1681</v>
      </c>
      <c r="B434" s="515" t="s">
        <v>1682</v>
      </c>
      <c r="C434" s="515" t="s">
        <v>688</v>
      </c>
      <c r="D434" s="519">
        <v>178144.2</v>
      </c>
    </row>
    <row r="435" spans="1:4" ht="25.5" x14ac:dyDescent="0.25">
      <c r="A435" s="514" t="s">
        <v>1683</v>
      </c>
      <c r="B435" s="515" t="s">
        <v>1684</v>
      </c>
      <c r="C435" s="515" t="s">
        <v>688</v>
      </c>
      <c r="D435" s="518"/>
    </row>
    <row r="436" spans="1:4" x14ac:dyDescent="0.25">
      <c r="A436" s="514" t="s">
        <v>1685</v>
      </c>
      <c r="B436" s="515" t="s">
        <v>1686</v>
      </c>
      <c r="C436" s="515" t="s">
        <v>688</v>
      </c>
      <c r="D436" s="530">
        <v>7766.7</v>
      </c>
    </row>
    <row r="437" spans="1:4" x14ac:dyDescent="0.25">
      <c r="A437" s="514" t="s">
        <v>1687</v>
      </c>
      <c r="B437" s="515" t="s">
        <v>1688</v>
      </c>
      <c r="C437" s="515" t="s">
        <v>688</v>
      </c>
      <c r="D437" s="530">
        <v>9278.7000000000007</v>
      </c>
    </row>
    <row r="438" spans="1:4" s="512" customFormat="1" x14ac:dyDescent="0.25">
      <c r="A438" s="511" t="s">
        <v>1689</v>
      </c>
      <c r="B438" s="843" t="s">
        <v>1690</v>
      </c>
      <c r="C438" s="844"/>
      <c r="D438" s="845"/>
    </row>
    <row r="439" spans="1:4" x14ac:dyDescent="0.25">
      <c r="A439" s="514" t="s">
        <v>1691</v>
      </c>
      <c r="B439" s="515" t="s">
        <v>1692</v>
      </c>
      <c r="C439" s="515" t="s">
        <v>1008</v>
      </c>
      <c r="D439" s="518"/>
    </row>
    <row r="440" spans="1:4" x14ac:dyDescent="0.25">
      <c r="A440" s="514" t="s">
        <v>1693</v>
      </c>
      <c r="B440" s="515" t="s">
        <v>1694</v>
      </c>
      <c r="C440" s="515" t="s">
        <v>1008</v>
      </c>
      <c r="D440" s="516">
        <v>324845.8</v>
      </c>
    </row>
    <row r="441" spans="1:4" s="512" customFormat="1" x14ac:dyDescent="0.25">
      <c r="A441" s="511" t="s">
        <v>1695</v>
      </c>
      <c r="B441" s="843" t="s">
        <v>1696</v>
      </c>
      <c r="C441" s="844"/>
      <c r="D441" s="845"/>
    </row>
    <row r="442" spans="1:4" s="512" customFormat="1" x14ac:dyDescent="0.25">
      <c r="A442" s="511" t="s">
        <v>352</v>
      </c>
      <c r="B442" s="843" t="s">
        <v>1697</v>
      </c>
      <c r="C442" s="844"/>
      <c r="D442" s="845"/>
    </row>
    <row r="443" spans="1:4" ht="25.5" x14ac:dyDescent="0.25">
      <c r="A443" s="514" t="s">
        <v>1698</v>
      </c>
      <c r="B443" s="515" t="s">
        <v>1699</v>
      </c>
      <c r="C443" s="515" t="s">
        <v>931</v>
      </c>
      <c r="D443" s="518"/>
    </row>
    <row r="444" spans="1:4" ht="25.5" x14ac:dyDescent="0.25">
      <c r="A444" s="514" t="s">
        <v>1700</v>
      </c>
      <c r="B444" s="515" t="s">
        <v>1701</v>
      </c>
      <c r="C444" s="515" t="s">
        <v>931</v>
      </c>
      <c r="D444" s="518"/>
    </row>
    <row r="445" spans="1:4" ht="25.5" x14ac:dyDescent="0.25">
      <c r="A445" s="514" t="s">
        <v>1702</v>
      </c>
      <c r="B445" s="515" t="s">
        <v>1703</v>
      </c>
      <c r="C445" s="515" t="s">
        <v>931</v>
      </c>
      <c r="D445" s="518"/>
    </row>
    <row r="446" spans="1:4" ht="25.5" x14ac:dyDescent="0.25">
      <c r="A446" s="514" t="s">
        <v>1704</v>
      </c>
      <c r="B446" s="515" t="s">
        <v>1705</v>
      </c>
      <c r="C446" s="515" t="s">
        <v>931</v>
      </c>
      <c r="D446" s="518"/>
    </row>
    <row r="447" spans="1:4" ht="25.5" x14ac:dyDescent="0.25">
      <c r="A447" s="514" t="s">
        <v>1706</v>
      </c>
      <c r="B447" s="515" t="s">
        <v>1707</v>
      </c>
      <c r="C447" s="515" t="s">
        <v>931</v>
      </c>
      <c r="D447" s="518"/>
    </row>
    <row r="448" spans="1:4" ht="25.5" x14ac:dyDescent="0.25">
      <c r="A448" s="514" t="s">
        <v>1708</v>
      </c>
      <c r="B448" s="515" t="s">
        <v>1709</v>
      </c>
      <c r="C448" s="515" t="s">
        <v>931</v>
      </c>
      <c r="D448" s="518"/>
    </row>
    <row r="449" spans="1:4" ht="25.5" x14ac:dyDescent="0.25">
      <c r="A449" s="514" t="s">
        <v>1710</v>
      </c>
      <c r="B449" s="515" t="s">
        <v>1711</v>
      </c>
      <c r="C449" s="515" t="s">
        <v>931</v>
      </c>
      <c r="D449" s="518"/>
    </row>
    <row r="450" spans="1:4" s="512" customFormat="1" x14ac:dyDescent="0.25">
      <c r="A450" s="511" t="s">
        <v>1712</v>
      </c>
      <c r="B450" s="843" t="s">
        <v>1713</v>
      </c>
      <c r="C450" s="844"/>
      <c r="D450" s="845"/>
    </row>
    <row r="451" spans="1:4" x14ac:dyDescent="0.25">
      <c r="A451" s="514" t="s">
        <v>1714</v>
      </c>
      <c r="B451" s="515" t="s">
        <v>1715</v>
      </c>
      <c r="C451" s="515" t="s">
        <v>931</v>
      </c>
      <c r="D451" s="518"/>
    </row>
    <row r="452" spans="1:4" x14ac:dyDescent="0.25">
      <c r="A452" s="514" t="s">
        <v>1716</v>
      </c>
      <c r="B452" s="515" t="s">
        <v>1717</v>
      </c>
      <c r="C452" s="515" t="s">
        <v>931</v>
      </c>
      <c r="D452" s="518"/>
    </row>
    <row r="453" spans="1:4" x14ac:dyDescent="0.25">
      <c r="A453" s="514" t="s">
        <v>1718</v>
      </c>
      <c r="B453" s="515" t="s">
        <v>1719</v>
      </c>
      <c r="C453" s="515" t="s">
        <v>931</v>
      </c>
      <c r="D453" s="519"/>
    </row>
    <row r="454" spans="1:4" x14ac:dyDescent="0.25">
      <c r="A454" s="514" t="s">
        <v>1720</v>
      </c>
      <c r="B454" s="515" t="s">
        <v>1721</v>
      </c>
      <c r="C454" s="515" t="s">
        <v>931</v>
      </c>
      <c r="D454" s="518"/>
    </row>
    <row r="455" spans="1:4" x14ac:dyDescent="0.25">
      <c r="A455" s="514" t="s">
        <v>1722</v>
      </c>
      <c r="B455" s="515" t="s">
        <v>1723</v>
      </c>
      <c r="C455" s="515" t="s">
        <v>931</v>
      </c>
      <c r="D455" s="519"/>
    </row>
    <row r="456" spans="1:4" s="512" customFormat="1" x14ac:dyDescent="0.25">
      <c r="A456" s="511" t="s">
        <v>355</v>
      </c>
      <c r="B456" s="843" t="s">
        <v>1724</v>
      </c>
      <c r="C456" s="844"/>
      <c r="D456" s="845"/>
    </row>
    <row r="457" spans="1:4" s="512" customFormat="1" x14ac:dyDescent="0.25">
      <c r="A457" s="511" t="s">
        <v>1725</v>
      </c>
      <c r="B457" s="843" t="s">
        <v>1726</v>
      </c>
      <c r="C457" s="844"/>
      <c r="D457" s="845"/>
    </row>
    <row r="458" spans="1:4" ht="25.5" x14ac:dyDescent="0.25">
      <c r="A458" s="514" t="s">
        <v>1727</v>
      </c>
      <c r="B458" s="515" t="s">
        <v>1728</v>
      </c>
      <c r="C458" s="515" t="s">
        <v>931</v>
      </c>
      <c r="D458" s="518"/>
    </row>
    <row r="459" spans="1:4" ht="25.5" x14ac:dyDescent="0.25">
      <c r="A459" s="514" t="s">
        <v>1729</v>
      </c>
      <c r="B459" s="515" t="s">
        <v>1730</v>
      </c>
      <c r="C459" s="515" t="s">
        <v>931</v>
      </c>
      <c r="D459" s="518"/>
    </row>
    <row r="460" spans="1:4" ht="25.5" x14ac:dyDescent="0.25">
      <c r="A460" s="514" t="s">
        <v>1731</v>
      </c>
      <c r="B460" s="515" t="s">
        <v>1732</v>
      </c>
      <c r="C460" s="515" t="s">
        <v>931</v>
      </c>
      <c r="D460" s="518"/>
    </row>
    <row r="461" spans="1:4" ht="25.5" x14ac:dyDescent="0.25">
      <c r="A461" s="514" t="s">
        <v>1733</v>
      </c>
      <c r="B461" s="515" t="s">
        <v>1734</v>
      </c>
      <c r="C461" s="515" t="s">
        <v>931</v>
      </c>
      <c r="D461" s="519"/>
    </row>
    <row r="462" spans="1:4" ht="25.5" x14ac:dyDescent="0.25">
      <c r="A462" s="514" t="s">
        <v>1735</v>
      </c>
      <c r="B462" s="515" t="s">
        <v>1736</v>
      </c>
      <c r="C462" s="515" t="s">
        <v>931</v>
      </c>
      <c r="D462" s="518"/>
    </row>
    <row r="463" spans="1:4" ht="25.5" x14ac:dyDescent="0.25">
      <c r="A463" s="514" t="s">
        <v>1737</v>
      </c>
      <c r="B463" s="515" t="s">
        <v>1738</v>
      </c>
      <c r="C463" s="515" t="s">
        <v>931</v>
      </c>
      <c r="D463" s="518"/>
    </row>
    <row r="464" spans="1:4" ht="25.5" x14ac:dyDescent="0.25">
      <c r="A464" s="514" t="s">
        <v>1739</v>
      </c>
      <c r="B464" s="515" t="s">
        <v>1740</v>
      </c>
      <c r="C464" s="515" t="s">
        <v>931</v>
      </c>
      <c r="D464" s="518"/>
    </row>
    <row r="465" spans="1:4" s="512" customFormat="1" x14ac:dyDescent="0.25">
      <c r="A465" s="511" t="s">
        <v>1741</v>
      </c>
      <c r="B465" s="843" t="s">
        <v>1742</v>
      </c>
      <c r="C465" s="844"/>
      <c r="D465" s="845"/>
    </row>
    <row r="466" spans="1:4" ht="25.5" x14ac:dyDescent="0.25">
      <c r="A466" s="514" t="s">
        <v>1743</v>
      </c>
      <c r="B466" s="515" t="s">
        <v>1744</v>
      </c>
      <c r="C466" s="515" t="s">
        <v>931</v>
      </c>
      <c r="D466" s="518"/>
    </row>
    <row r="467" spans="1:4" ht="25.5" x14ac:dyDescent="0.25">
      <c r="A467" s="514" t="s">
        <v>1745</v>
      </c>
      <c r="B467" s="515" t="s">
        <v>1746</v>
      </c>
      <c r="C467" s="515" t="s">
        <v>931</v>
      </c>
      <c r="D467" s="518"/>
    </row>
    <row r="468" spans="1:4" ht="25.5" x14ac:dyDescent="0.25">
      <c r="A468" s="514" t="s">
        <v>1747</v>
      </c>
      <c r="B468" s="515" t="s">
        <v>1748</v>
      </c>
      <c r="C468" s="515" t="s">
        <v>931</v>
      </c>
      <c r="D468" s="518"/>
    </row>
    <row r="469" spans="1:4" ht="25.5" x14ac:dyDescent="0.25">
      <c r="A469" s="514" t="s">
        <v>1749</v>
      </c>
      <c r="B469" s="515" t="s">
        <v>1750</v>
      </c>
      <c r="C469" s="515" t="s">
        <v>931</v>
      </c>
      <c r="D469" s="518"/>
    </row>
    <row r="470" spans="1:4" s="512" customFormat="1" x14ac:dyDescent="0.25">
      <c r="A470" s="511" t="s">
        <v>1751</v>
      </c>
      <c r="B470" s="843" t="s">
        <v>1752</v>
      </c>
      <c r="C470" s="844"/>
      <c r="D470" s="845"/>
    </row>
    <row r="471" spans="1:4" ht="25.5" x14ac:dyDescent="0.25">
      <c r="A471" s="514" t="s">
        <v>1753</v>
      </c>
      <c r="B471" s="515" t="s">
        <v>1754</v>
      </c>
      <c r="C471" s="515" t="s">
        <v>931</v>
      </c>
      <c r="D471" s="518"/>
    </row>
    <row r="472" spans="1:4" ht="25.5" x14ac:dyDescent="0.25">
      <c r="A472" s="514" t="s">
        <v>1755</v>
      </c>
      <c r="B472" s="515" t="s">
        <v>1756</v>
      </c>
      <c r="C472" s="515" t="s">
        <v>931</v>
      </c>
      <c r="D472" s="518"/>
    </row>
    <row r="473" spans="1:4" ht="25.5" x14ac:dyDescent="0.25">
      <c r="A473" s="514" t="s">
        <v>1757</v>
      </c>
      <c r="B473" s="515" t="s">
        <v>1758</v>
      </c>
      <c r="C473" s="515" t="s">
        <v>931</v>
      </c>
      <c r="D473" s="518"/>
    </row>
    <row r="474" spans="1:4" ht="25.5" x14ac:dyDescent="0.25">
      <c r="A474" s="514" t="s">
        <v>1759</v>
      </c>
      <c r="B474" s="515" t="s">
        <v>1760</v>
      </c>
      <c r="C474" s="515" t="s">
        <v>931</v>
      </c>
      <c r="D474" s="518"/>
    </row>
    <row r="475" spans="1:4" x14ac:dyDescent="0.25">
      <c r="A475" s="514" t="s">
        <v>1761</v>
      </c>
      <c r="B475" s="515" t="s">
        <v>1762</v>
      </c>
      <c r="C475" s="515" t="s">
        <v>931</v>
      </c>
      <c r="D475" s="519"/>
    </row>
    <row r="476" spans="1:4" s="512" customFormat="1" x14ac:dyDescent="0.25">
      <c r="A476" s="511" t="s">
        <v>1763</v>
      </c>
      <c r="B476" s="843" t="s">
        <v>1764</v>
      </c>
      <c r="C476" s="844"/>
      <c r="D476" s="845"/>
    </row>
    <row r="477" spans="1:4" s="512" customFormat="1" ht="27.75" customHeight="1" x14ac:dyDescent="0.25">
      <c r="A477" s="511" t="s">
        <v>1765</v>
      </c>
      <c r="B477" s="843" t="s">
        <v>1766</v>
      </c>
      <c r="C477" s="844"/>
      <c r="D477" s="845"/>
    </row>
    <row r="478" spans="1:4" ht="25.5" x14ac:dyDescent="0.25">
      <c r="A478" s="514" t="s">
        <v>1767</v>
      </c>
      <c r="B478" s="515" t="s">
        <v>1768</v>
      </c>
      <c r="C478" s="515" t="s">
        <v>971</v>
      </c>
      <c r="D478" s="519"/>
    </row>
    <row r="479" spans="1:4" ht="25.5" x14ac:dyDescent="0.25">
      <c r="A479" s="514" t="s">
        <v>1769</v>
      </c>
      <c r="B479" s="515" t="s">
        <v>1770</v>
      </c>
      <c r="C479" s="515" t="s">
        <v>971</v>
      </c>
      <c r="D479" s="516">
        <v>445889.6</v>
      </c>
    </row>
    <row r="480" spans="1:4" ht="25.5" x14ac:dyDescent="0.25">
      <c r="A480" s="514" t="s">
        <v>1771</v>
      </c>
      <c r="B480" s="515" t="s">
        <v>1772</v>
      </c>
      <c r="C480" s="515" t="s">
        <v>971</v>
      </c>
      <c r="D480" s="519"/>
    </row>
    <row r="481" spans="1:4" ht="25.5" x14ac:dyDescent="0.25">
      <c r="A481" s="514" t="s">
        <v>1773</v>
      </c>
      <c r="B481" s="515" t="s">
        <v>1774</v>
      </c>
      <c r="C481" s="515" t="s">
        <v>971</v>
      </c>
      <c r="D481" s="518"/>
    </row>
    <row r="482" spans="1:4" ht="25.5" x14ac:dyDescent="0.25">
      <c r="A482" s="514" t="s">
        <v>1775</v>
      </c>
      <c r="B482" s="515" t="s">
        <v>1776</v>
      </c>
      <c r="C482" s="515" t="s">
        <v>931</v>
      </c>
      <c r="D482" s="518"/>
    </row>
    <row r="483" spans="1:4" ht="25.5" x14ac:dyDescent="0.25">
      <c r="A483" s="514" t="s">
        <v>1777</v>
      </c>
      <c r="B483" s="515" t="s">
        <v>1778</v>
      </c>
      <c r="C483" s="515" t="s">
        <v>931</v>
      </c>
      <c r="D483" s="518"/>
    </row>
    <row r="484" spans="1:4" ht="25.5" x14ac:dyDescent="0.25">
      <c r="A484" s="514" t="s">
        <v>1779</v>
      </c>
      <c r="B484" s="515" t="s">
        <v>1780</v>
      </c>
      <c r="C484" s="515" t="s">
        <v>931</v>
      </c>
      <c r="D484" s="518"/>
    </row>
    <row r="485" spans="1:4" ht="25.5" x14ac:dyDescent="0.25">
      <c r="A485" s="514" t="s">
        <v>1781</v>
      </c>
      <c r="B485" s="515" t="s">
        <v>1782</v>
      </c>
      <c r="C485" s="515" t="s">
        <v>931</v>
      </c>
      <c r="D485" s="518"/>
    </row>
    <row r="486" spans="1:4" ht="25.5" x14ac:dyDescent="0.25">
      <c r="A486" s="514" t="s">
        <v>1783</v>
      </c>
      <c r="B486" s="515" t="s">
        <v>1784</v>
      </c>
      <c r="C486" s="515" t="s">
        <v>931</v>
      </c>
      <c r="D486" s="518"/>
    </row>
    <row r="487" spans="1:4" ht="25.5" x14ac:dyDescent="0.25">
      <c r="A487" s="514" t="s">
        <v>1785</v>
      </c>
      <c r="B487" s="515" t="s">
        <v>1786</v>
      </c>
      <c r="C487" s="515" t="s">
        <v>931</v>
      </c>
      <c r="D487" s="518"/>
    </row>
    <row r="488" spans="1:4" ht="25.5" x14ac:dyDescent="0.25">
      <c r="A488" s="514" t="s">
        <v>1787</v>
      </c>
      <c r="B488" s="515" t="s">
        <v>1788</v>
      </c>
      <c r="C488" s="515" t="s">
        <v>971</v>
      </c>
      <c r="D488" s="519"/>
    </row>
    <row r="489" spans="1:4" ht="25.5" x14ac:dyDescent="0.25">
      <c r="A489" s="514" t="s">
        <v>1789</v>
      </c>
      <c r="B489" s="515" t="s">
        <v>1790</v>
      </c>
      <c r="C489" s="515" t="s">
        <v>971</v>
      </c>
      <c r="D489" s="516">
        <v>549797.80000000005</v>
      </c>
    </row>
    <row r="490" spans="1:4" ht="25.5" x14ac:dyDescent="0.25">
      <c r="A490" s="514" t="s">
        <v>1791</v>
      </c>
      <c r="B490" s="515" t="s">
        <v>1792</v>
      </c>
      <c r="C490" s="515" t="s">
        <v>931</v>
      </c>
      <c r="D490" s="518"/>
    </row>
    <row r="491" spans="1:4" ht="25.5" x14ac:dyDescent="0.25">
      <c r="A491" s="514" t="s">
        <v>1793</v>
      </c>
      <c r="B491" s="515" t="s">
        <v>1794</v>
      </c>
      <c r="C491" s="515" t="s">
        <v>931</v>
      </c>
      <c r="D491" s="518"/>
    </row>
    <row r="492" spans="1:4" ht="25.5" x14ac:dyDescent="0.25">
      <c r="A492" s="514" t="s">
        <v>1795</v>
      </c>
      <c r="B492" s="515" t="s">
        <v>1796</v>
      </c>
      <c r="C492" s="515" t="s">
        <v>931</v>
      </c>
      <c r="D492" s="518"/>
    </row>
    <row r="493" spans="1:4" ht="25.5" x14ac:dyDescent="0.25">
      <c r="A493" s="514" t="s">
        <v>1797</v>
      </c>
      <c r="B493" s="515" t="s">
        <v>1798</v>
      </c>
      <c r="C493" s="515" t="s">
        <v>931</v>
      </c>
      <c r="D493" s="518"/>
    </row>
    <row r="494" spans="1:4" ht="25.5" x14ac:dyDescent="0.25">
      <c r="A494" s="514" t="s">
        <v>1799</v>
      </c>
      <c r="B494" s="515" t="s">
        <v>1800</v>
      </c>
      <c r="C494" s="515" t="s">
        <v>931</v>
      </c>
      <c r="D494" s="518"/>
    </row>
    <row r="495" spans="1:4" ht="25.5" x14ac:dyDescent="0.25">
      <c r="A495" s="514" t="s">
        <v>1801</v>
      </c>
      <c r="B495" s="515" t="s">
        <v>1802</v>
      </c>
      <c r="C495" s="515" t="s">
        <v>931</v>
      </c>
      <c r="D495" s="518"/>
    </row>
    <row r="496" spans="1:4" ht="25.5" x14ac:dyDescent="0.25">
      <c r="A496" s="514" t="s">
        <v>1803</v>
      </c>
      <c r="B496" s="515" t="s">
        <v>1804</v>
      </c>
      <c r="C496" s="515" t="s">
        <v>931</v>
      </c>
      <c r="D496" s="518"/>
    </row>
    <row r="497" spans="1:4" ht="25.5" x14ac:dyDescent="0.25">
      <c r="A497" s="514" t="s">
        <v>1805</v>
      </c>
      <c r="B497" s="515" t="s">
        <v>1806</v>
      </c>
      <c r="C497" s="515" t="s">
        <v>931</v>
      </c>
      <c r="D497" s="518"/>
    </row>
    <row r="498" spans="1:4" ht="25.5" x14ac:dyDescent="0.25">
      <c r="A498" s="514" t="s">
        <v>1807</v>
      </c>
      <c r="B498" s="515" t="s">
        <v>1808</v>
      </c>
      <c r="C498" s="515" t="s">
        <v>931</v>
      </c>
      <c r="D498" s="518"/>
    </row>
    <row r="499" spans="1:4" ht="25.5" x14ac:dyDescent="0.25">
      <c r="A499" s="514" t="s">
        <v>1809</v>
      </c>
      <c r="B499" s="515" t="s">
        <v>1810</v>
      </c>
      <c r="C499" s="515" t="s">
        <v>931</v>
      </c>
      <c r="D499" s="518"/>
    </row>
    <row r="500" spans="1:4" ht="25.5" x14ac:dyDescent="0.25">
      <c r="A500" s="514" t="s">
        <v>1811</v>
      </c>
      <c r="B500" s="515" t="s">
        <v>1812</v>
      </c>
      <c r="C500" s="515" t="s">
        <v>971</v>
      </c>
      <c r="D500" s="519"/>
    </row>
    <row r="501" spans="1:4" x14ac:dyDescent="0.25">
      <c r="A501" s="514" t="s">
        <v>1813</v>
      </c>
      <c r="B501" s="515" t="s">
        <v>1814</v>
      </c>
      <c r="C501" s="515" t="s">
        <v>971</v>
      </c>
      <c r="D501" s="516">
        <v>402860.7</v>
      </c>
    </row>
    <row r="502" spans="1:4" s="512" customFormat="1" x14ac:dyDescent="0.25">
      <c r="A502" s="511" t="s">
        <v>1815</v>
      </c>
      <c r="B502" s="843" t="s">
        <v>1816</v>
      </c>
      <c r="C502" s="844"/>
      <c r="D502" s="845"/>
    </row>
    <row r="503" spans="1:4" s="512" customFormat="1" x14ac:dyDescent="0.25">
      <c r="A503" s="511" t="s">
        <v>1817</v>
      </c>
      <c r="B503" s="843" t="s">
        <v>1818</v>
      </c>
      <c r="C503" s="844"/>
      <c r="D503" s="845"/>
    </row>
    <row r="504" spans="1:4" x14ac:dyDescent="0.25">
      <c r="A504" s="514" t="s">
        <v>1819</v>
      </c>
      <c r="B504" s="515" t="s">
        <v>1820</v>
      </c>
      <c r="C504" s="515" t="s">
        <v>971</v>
      </c>
      <c r="D504" s="519"/>
    </row>
    <row r="505" spans="1:4" ht="25.5" x14ac:dyDescent="0.25">
      <c r="A505" s="514" t="s">
        <v>1821</v>
      </c>
      <c r="B505" s="515" t="s">
        <v>1822</v>
      </c>
      <c r="C505" s="515" t="s">
        <v>971</v>
      </c>
      <c r="D505" s="519"/>
    </row>
    <row r="506" spans="1:4" x14ac:dyDescent="0.25">
      <c r="A506" s="514" t="s">
        <v>1823</v>
      </c>
      <c r="B506" s="515" t="s">
        <v>1824</v>
      </c>
      <c r="C506" s="515" t="s">
        <v>971</v>
      </c>
      <c r="D506" s="519"/>
    </row>
    <row r="507" spans="1:4" ht="25.5" x14ac:dyDescent="0.25">
      <c r="A507" s="514" t="s">
        <v>1825</v>
      </c>
      <c r="B507" s="515" t="s">
        <v>1826</v>
      </c>
      <c r="C507" s="515" t="s">
        <v>971</v>
      </c>
      <c r="D507" s="518"/>
    </row>
    <row r="508" spans="1:4" x14ac:dyDescent="0.25">
      <c r="A508" s="514" t="s">
        <v>1827</v>
      </c>
      <c r="B508" s="515" t="s">
        <v>1828</v>
      </c>
      <c r="C508" s="515" t="s">
        <v>971</v>
      </c>
      <c r="D508" s="518"/>
    </row>
    <row r="509" spans="1:4" ht="25.5" x14ac:dyDescent="0.25">
      <c r="A509" s="514" t="s">
        <v>1829</v>
      </c>
      <c r="B509" s="515" t="s">
        <v>1830</v>
      </c>
      <c r="C509" s="515" t="s">
        <v>971</v>
      </c>
      <c r="D509" s="518"/>
    </row>
    <row r="510" spans="1:4" x14ac:dyDescent="0.25">
      <c r="A510" s="514" t="s">
        <v>1831</v>
      </c>
      <c r="B510" s="515" t="s">
        <v>1832</v>
      </c>
      <c r="C510" s="515" t="s">
        <v>971</v>
      </c>
      <c r="D510" s="518"/>
    </row>
    <row r="511" spans="1:4" ht="25.5" x14ac:dyDescent="0.25">
      <c r="A511" s="514" t="s">
        <v>1833</v>
      </c>
      <c r="B511" s="515" t="s">
        <v>1834</v>
      </c>
      <c r="C511" s="515" t="s">
        <v>971</v>
      </c>
      <c r="D511" s="519"/>
    </row>
    <row r="512" spans="1:4" x14ac:dyDescent="0.25">
      <c r="A512" s="514" t="s">
        <v>1835</v>
      </c>
      <c r="B512" s="515" t="s">
        <v>1836</v>
      </c>
      <c r="C512" s="515" t="s">
        <v>971</v>
      </c>
      <c r="D512" s="519"/>
    </row>
    <row r="513" spans="1:4" ht="25.5" x14ac:dyDescent="0.25">
      <c r="A513" s="514" t="s">
        <v>1837</v>
      </c>
      <c r="B513" s="515" t="s">
        <v>1838</v>
      </c>
      <c r="C513" s="515" t="s">
        <v>920</v>
      </c>
      <c r="D513" s="519"/>
    </row>
    <row r="514" spans="1:4" s="512" customFormat="1" x14ac:dyDescent="0.25">
      <c r="A514" s="511" t="s">
        <v>1839</v>
      </c>
      <c r="B514" s="843" t="s">
        <v>1840</v>
      </c>
      <c r="C514" s="844"/>
      <c r="D514" s="845"/>
    </row>
    <row r="515" spans="1:4" s="533" customFormat="1" ht="38.25" x14ac:dyDescent="0.25">
      <c r="A515" s="531" t="s">
        <v>1841</v>
      </c>
      <c r="B515" s="532" t="s">
        <v>1842</v>
      </c>
      <c r="C515" s="532" t="s">
        <v>931</v>
      </c>
      <c r="D515" s="516">
        <v>163694.39999999999</v>
      </c>
    </row>
    <row r="516" spans="1:4" s="533" customFormat="1" ht="38.25" x14ac:dyDescent="0.25">
      <c r="A516" s="531" t="s">
        <v>1843</v>
      </c>
      <c r="B516" s="532" t="s">
        <v>1844</v>
      </c>
      <c r="C516" s="532" t="s">
        <v>931</v>
      </c>
      <c r="D516" s="516">
        <v>159938.4</v>
      </c>
    </row>
    <row r="517" spans="1:4" ht="25.5" x14ac:dyDescent="0.25">
      <c r="A517" s="514" t="s">
        <v>1845</v>
      </c>
      <c r="B517" s="515" t="s">
        <v>1846</v>
      </c>
      <c r="C517" s="515" t="s">
        <v>931</v>
      </c>
      <c r="D517" s="518"/>
    </row>
    <row r="518" spans="1:4" ht="25.5" x14ac:dyDescent="0.25">
      <c r="A518" s="514" t="s">
        <v>1847</v>
      </c>
      <c r="B518" s="515" t="s">
        <v>1848</v>
      </c>
      <c r="C518" s="515" t="s">
        <v>931</v>
      </c>
      <c r="D518" s="518"/>
    </row>
    <row r="519" spans="1:4" s="512" customFormat="1" x14ac:dyDescent="0.25">
      <c r="A519" s="511" t="s">
        <v>1849</v>
      </c>
      <c r="B519" s="843" t="s">
        <v>1850</v>
      </c>
      <c r="C519" s="844"/>
      <c r="D519" s="845"/>
    </row>
    <row r="520" spans="1:4" ht="25.5" x14ac:dyDescent="0.25">
      <c r="A520" s="514" t="s">
        <v>1851</v>
      </c>
      <c r="B520" s="515" t="s">
        <v>1852</v>
      </c>
      <c r="C520" s="515" t="s">
        <v>931</v>
      </c>
      <c r="D520" s="518"/>
    </row>
    <row r="521" spans="1:4" ht="25.5" x14ac:dyDescent="0.25">
      <c r="A521" s="514" t="s">
        <v>1853</v>
      </c>
      <c r="B521" s="515" t="s">
        <v>1854</v>
      </c>
      <c r="C521" s="515" t="s">
        <v>931</v>
      </c>
      <c r="D521" s="518"/>
    </row>
    <row r="522" spans="1:4" ht="25.5" x14ac:dyDescent="0.25">
      <c r="A522" s="514" t="s">
        <v>1855</v>
      </c>
      <c r="B522" s="515" t="s">
        <v>1856</v>
      </c>
      <c r="C522" s="515" t="s">
        <v>931</v>
      </c>
      <c r="D522" s="518"/>
    </row>
    <row r="523" spans="1:4" ht="25.5" x14ac:dyDescent="0.25">
      <c r="A523" s="514" t="s">
        <v>1857</v>
      </c>
      <c r="B523" s="515" t="s">
        <v>1858</v>
      </c>
      <c r="C523" s="515" t="s">
        <v>931</v>
      </c>
      <c r="D523" s="518"/>
    </row>
    <row r="524" spans="1:4" ht="25.5" x14ac:dyDescent="0.25">
      <c r="A524" s="514" t="s">
        <v>1859</v>
      </c>
      <c r="B524" s="515" t="s">
        <v>1860</v>
      </c>
      <c r="C524" s="515" t="s">
        <v>931</v>
      </c>
      <c r="D524" s="518"/>
    </row>
    <row r="525" spans="1:4" ht="25.5" x14ac:dyDescent="0.25">
      <c r="A525" s="514" t="s">
        <v>1861</v>
      </c>
      <c r="B525" s="515" t="s">
        <v>1862</v>
      </c>
      <c r="C525" s="515" t="s">
        <v>931</v>
      </c>
      <c r="D525" s="518"/>
    </row>
    <row r="526" spans="1:4" s="512" customFormat="1" x14ac:dyDescent="0.25">
      <c r="A526" s="511" t="s">
        <v>1863</v>
      </c>
      <c r="B526" s="843" t="s">
        <v>1864</v>
      </c>
      <c r="C526" s="844"/>
      <c r="D526" s="845"/>
    </row>
    <row r="527" spans="1:4" x14ac:dyDescent="0.25">
      <c r="A527" s="514" t="s">
        <v>1865</v>
      </c>
      <c r="B527" s="515" t="s">
        <v>1866</v>
      </c>
      <c r="C527" s="515" t="s">
        <v>1867</v>
      </c>
      <c r="D527" s="516">
        <v>3558.6</v>
      </c>
    </row>
    <row r="528" spans="1:4" x14ac:dyDescent="0.25">
      <c r="A528" s="514" t="s">
        <v>1868</v>
      </c>
      <c r="B528" s="515" t="s">
        <v>1869</v>
      </c>
      <c r="C528" s="515" t="s">
        <v>1867</v>
      </c>
      <c r="D528" s="518"/>
    </row>
    <row r="529" spans="1:4" s="512" customFormat="1" x14ac:dyDescent="0.25">
      <c r="A529" s="511" t="s">
        <v>1870</v>
      </c>
      <c r="B529" s="843" t="s">
        <v>1871</v>
      </c>
      <c r="C529" s="844"/>
      <c r="D529" s="845"/>
    </row>
    <row r="530" spans="1:4" x14ac:dyDescent="0.25">
      <c r="A530" s="514" t="s">
        <v>1872</v>
      </c>
      <c r="B530" s="515" t="s">
        <v>1873</v>
      </c>
      <c r="C530" s="515" t="s">
        <v>880</v>
      </c>
      <c r="D530" s="518"/>
    </row>
    <row r="531" spans="1:4" x14ac:dyDescent="0.25">
      <c r="A531" s="514" t="s">
        <v>1874</v>
      </c>
      <c r="B531" s="515" t="s">
        <v>1875</v>
      </c>
      <c r="C531" s="515" t="s">
        <v>880</v>
      </c>
      <c r="D531" s="518"/>
    </row>
    <row r="532" spans="1:4" s="512" customFormat="1" x14ac:dyDescent="0.25">
      <c r="A532" s="511" t="s">
        <v>1876</v>
      </c>
      <c r="B532" s="843" t="s">
        <v>1877</v>
      </c>
      <c r="C532" s="844"/>
      <c r="D532" s="845"/>
    </row>
    <row r="533" spans="1:4" x14ac:dyDescent="0.25">
      <c r="A533" s="514" t="s">
        <v>1878</v>
      </c>
      <c r="B533" s="515" t="s">
        <v>1879</v>
      </c>
      <c r="C533" s="515" t="s">
        <v>920</v>
      </c>
      <c r="D533" s="516">
        <v>20959.900000000001</v>
      </c>
    </row>
    <row r="534" spans="1:4" x14ac:dyDescent="0.25">
      <c r="A534" s="514" t="s">
        <v>1880</v>
      </c>
      <c r="B534" s="515" t="s">
        <v>1881</v>
      </c>
      <c r="C534" s="515" t="s">
        <v>920</v>
      </c>
      <c r="D534" s="522"/>
    </row>
    <row r="535" spans="1:4" s="512" customFormat="1" x14ac:dyDescent="0.25">
      <c r="A535" s="511" t="s">
        <v>1882</v>
      </c>
      <c r="B535" s="843" t="s">
        <v>1883</v>
      </c>
      <c r="C535" s="844"/>
      <c r="D535" s="845"/>
    </row>
    <row r="536" spans="1:4" s="512" customFormat="1" x14ac:dyDescent="0.25">
      <c r="A536" s="511" t="s">
        <v>1884</v>
      </c>
      <c r="B536" s="843" t="s">
        <v>1885</v>
      </c>
      <c r="C536" s="844"/>
      <c r="D536" s="845"/>
    </row>
    <row r="537" spans="1:4" s="512" customFormat="1" ht="28.5" customHeight="1" x14ac:dyDescent="0.25">
      <c r="A537" s="511" t="s">
        <v>1886</v>
      </c>
      <c r="B537" s="843" t="s">
        <v>1887</v>
      </c>
      <c r="C537" s="844"/>
      <c r="D537" s="845"/>
    </row>
    <row r="538" spans="1:4" ht="15" x14ac:dyDescent="0.25">
      <c r="A538" s="514" t="s">
        <v>1888</v>
      </c>
      <c r="B538" s="515" t="s">
        <v>1889</v>
      </c>
      <c r="C538" s="515" t="s">
        <v>880</v>
      </c>
      <c r="D538" s="518"/>
    </row>
    <row r="539" spans="1:4" ht="15" x14ac:dyDescent="0.25">
      <c r="A539" s="514" t="s">
        <v>1890</v>
      </c>
      <c r="B539" s="515" t="s">
        <v>1891</v>
      </c>
      <c r="C539" s="515" t="s">
        <v>880</v>
      </c>
      <c r="D539" s="518"/>
    </row>
    <row r="540" spans="1:4" ht="15" x14ac:dyDescent="0.25">
      <c r="A540" s="514" t="s">
        <v>1892</v>
      </c>
      <c r="B540" s="515" t="s">
        <v>1893</v>
      </c>
      <c r="C540" s="515" t="s">
        <v>880</v>
      </c>
      <c r="D540" s="518"/>
    </row>
    <row r="541" spans="1:4" s="512" customFormat="1" ht="29.25" customHeight="1" x14ac:dyDescent="0.25">
      <c r="A541" s="511" t="s">
        <v>1894</v>
      </c>
      <c r="B541" s="843" t="s">
        <v>1895</v>
      </c>
      <c r="C541" s="844"/>
      <c r="D541" s="845"/>
    </row>
    <row r="542" spans="1:4" x14ac:dyDescent="0.25">
      <c r="A542" s="514" t="s">
        <v>1896</v>
      </c>
      <c r="B542" s="515" t="s">
        <v>1897</v>
      </c>
      <c r="C542" s="515" t="s">
        <v>880</v>
      </c>
      <c r="D542" s="518"/>
    </row>
    <row r="543" spans="1:4" x14ac:dyDescent="0.25">
      <c r="A543" s="514" t="s">
        <v>1898</v>
      </c>
      <c r="B543" s="515" t="s">
        <v>1899</v>
      </c>
      <c r="C543" s="515" t="s">
        <v>880</v>
      </c>
      <c r="D543" s="518"/>
    </row>
    <row r="544" spans="1:4" s="512" customFormat="1" ht="26.25" customHeight="1" x14ac:dyDescent="0.25">
      <c r="A544" s="511" t="s">
        <v>1900</v>
      </c>
      <c r="B544" s="843" t="s">
        <v>1901</v>
      </c>
      <c r="C544" s="844"/>
      <c r="D544" s="845"/>
    </row>
    <row r="545" spans="1:4" x14ac:dyDescent="0.25">
      <c r="A545" s="514" t="s">
        <v>1902</v>
      </c>
      <c r="B545" s="515" t="s">
        <v>1903</v>
      </c>
      <c r="C545" s="515" t="s">
        <v>880</v>
      </c>
      <c r="D545" s="518"/>
    </row>
    <row r="546" spans="1:4" s="512" customFormat="1" ht="26.25" customHeight="1" x14ac:dyDescent="0.25">
      <c r="A546" s="511" t="s">
        <v>1904</v>
      </c>
      <c r="B546" s="843" t="s">
        <v>1905</v>
      </c>
      <c r="C546" s="844"/>
      <c r="D546" s="845"/>
    </row>
    <row r="547" spans="1:4" x14ac:dyDescent="0.25">
      <c r="A547" s="514" t="s">
        <v>1906</v>
      </c>
      <c r="B547" s="515" t="s">
        <v>1903</v>
      </c>
      <c r="C547" s="515" t="s">
        <v>880</v>
      </c>
      <c r="D547" s="518"/>
    </row>
    <row r="548" spans="1:4" s="512" customFormat="1" ht="24.75" customHeight="1" x14ac:dyDescent="0.25">
      <c r="A548" s="511" t="s">
        <v>1907</v>
      </c>
      <c r="B548" s="843" t="s">
        <v>1908</v>
      </c>
      <c r="C548" s="844"/>
      <c r="D548" s="845"/>
    </row>
    <row r="549" spans="1:4" x14ac:dyDescent="0.25">
      <c r="A549" s="514" t="s">
        <v>1909</v>
      </c>
      <c r="B549" s="515" t="s">
        <v>1903</v>
      </c>
      <c r="C549" s="515" t="s">
        <v>880</v>
      </c>
      <c r="D549" s="518"/>
    </row>
    <row r="550" spans="1:4" s="512" customFormat="1" x14ac:dyDescent="0.25">
      <c r="A550" s="511" t="s">
        <v>1910</v>
      </c>
      <c r="B550" s="843" t="s">
        <v>1911</v>
      </c>
      <c r="C550" s="844"/>
      <c r="D550" s="845"/>
    </row>
    <row r="551" spans="1:4" s="512" customFormat="1" ht="27" customHeight="1" x14ac:dyDescent="0.25">
      <c r="A551" s="511" t="s">
        <v>1912</v>
      </c>
      <c r="B551" s="843" t="s">
        <v>1913</v>
      </c>
      <c r="C551" s="844"/>
      <c r="D551" s="845"/>
    </row>
    <row r="552" spans="1:4" x14ac:dyDescent="0.25">
      <c r="A552" s="514" t="s">
        <v>1914</v>
      </c>
      <c r="B552" s="515" t="s">
        <v>1915</v>
      </c>
      <c r="C552" s="515" t="s">
        <v>880</v>
      </c>
      <c r="D552" s="519"/>
    </row>
    <row r="553" spans="1:4" x14ac:dyDescent="0.25">
      <c r="A553" s="514" t="s">
        <v>1916</v>
      </c>
      <c r="B553" s="515" t="s">
        <v>1917</v>
      </c>
      <c r="C553" s="515" t="s">
        <v>880</v>
      </c>
      <c r="D553" s="516">
        <v>2092448.6</v>
      </c>
    </row>
    <row r="554" spans="1:4" x14ac:dyDescent="0.25">
      <c r="A554" s="514" t="s">
        <v>1918</v>
      </c>
      <c r="B554" s="515" t="s">
        <v>1919</v>
      </c>
      <c r="C554" s="515" t="s">
        <v>880</v>
      </c>
      <c r="D554" s="516">
        <v>2964000.3</v>
      </c>
    </row>
    <row r="555" spans="1:4" x14ac:dyDescent="0.25">
      <c r="A555" s="514" t="s">
        <v>1920</v>
      </c>
      <c r="B555" s="515" t="s">
        <v>1921</v>
      </c>
      <c r="C555" s="515" t="s">
        <v>880</v>
      </c>
      <c r="D555" s="519"/>
    </row>
    <row r="556" spans="1:4" x14ac:dyDescent="0.25">
      <c r="A556" s="514" t="s">
        <v>1922</v>
      </c>
      <c r="B556" s="515" t="s">
        <v>1923</v>
      </c>
      <c r="C556" s="515" t="s">
        <v>880</v>
      </c>
      <c r="D556" s="519"/>
    </row>
    <row r="557" spans="1:4" x14ac:dyDescent="0.25">
      <c r="A557" s="514" t="s">
        <v>1924</v>
      </c>
      <c r="B557" s="515" t="s">
        <v>1925</v>
      </c>
      <c r="C557" s="515" t="s">
        <v>880</v>
      </c>
      <c r="D557" s="519"/>
    </row>
    <row r="558" spans="1:4" x14ac:dyDescent="0.25">
      <c r="A558" s="514" t="s">
        <v>1926</v>
      </c>
      <c r="B558" s="515" t="s">
        <v>1927</v>
      </c>
      <c r="C558" s="515" t="s">
        <v>880</v>
      </c>
      <c r="D558" s="519"/>
    </row>
    <row r="559" spans="1:4" s="512" customFormat="1" ht="26.25" customHeight="1" x14ac:dyDescent="0.25">
      <c r="A559" s="511" t="s">
        <v>1928</v>
      </c>
      <c r="B559" s="843" t="s">
        <v>1895</v>
      </c>
      <c r="C559" s="844"/>
      <c r="D559" s="845"/>
    </row>
    <row r="560" spans="1:4" s="512" customFormat="1" ht="12.75" customHeight="1" x14ac:dyDescent="0.25">
      <c r="A560" s="514" t="s">
        <v>1929</v>
      </c>
      <c r="B560" s="515" t="s">
        <v>1915</v>
      </c>
      <c r="C560" s="515" t="s">
        <v>880</v>
      </c>
      <c r="D560" s="519"/>
    </row>
    <row r="561" spans="1:4" x14ac:dyDescent="0.25">
      <c r="A561" s="514" t="s">
        <v>1930</v>
      </c>
      <c r="B561" s="515" t="s">
        <v>1931</v>
      </c>
      <c r="C561" s="515" t="s">
        <v>880</v>
      </c>
      <c r="D561" s="516">
        <v>2598221.6</v>
      </c>
    </row>
    <row r="562" spans="1:4" s="533" customFormat="1" x14ac:dyDescent="0.25">
      <c r="A562" s="531" t="s">
        <v>1932</v>
      </c>
      <c r="B562" s="532" t="s">
        <v>1933</v>
      </c>
      <c r="C562" s="532" t="s">
        <v>880</v>
      </c>
      <c r="D562" s="516">
        <v>3673458.8</v>
      </c>
    </row>
    <row r="563" spans="1:4" x14ac:dyDescent="0.25">
      <c r="A563" s="514" t="s">
        <v>1934</v>
      </c>
      <c r="B563" s="515" t="s">
        <v>1935</v>
      </c>
      <c r="C563" s="515" t="s">
        <v>880</v>
      </c>
      <c r="D563" s="519"/>
    </row>
    <row r="564" spans="1:4" s="512" customFormat="1" ht="24.75" customHeight="1" x14ac:dyDescent="0.25">
      <c r="A564" s="511" t="s">
        <v>1936</v>
      </c>
      <c r="B564" s="843" t="s">
        <v>1937</v>
      </c>
      <c r="C564" s="844"/>
      <c r="D564" s="845"/>
    </row>
    <row r="565" spans="1:4" x14ac:dyDescent="0.25">
      <c r="A565" s="514" t="s">
        <v>1938</v>
      </c>
      <c r="B565" s="515" t="s">
        <v>1933</v>
      </c>
      <c r="C565" s="515" t="s">
        <v>880</v>
      </c>
      <c r="D565" s="516">
        <v>4425210.3</v>
      </c>
    </row>
    <row r="566" spans="1:4" x14ac:dyDescent="0.25">
      <c r="A566" s="514" t="s">
        <v>1939</v>
      </c>
      <c r="B566" s="515" t="s">
        <v>1935</v>
      </c>
      <c r="C566" s="515" t="s">
        <v>880</v>
      </c>
      <c r="D566" s="516"/>
    </row>
    <row r="567" spans="1:4" s="512" customFormat="1" ht="24.75" customHeight="1" x14ac:dyDescent="0.25">
      <c r="A567" s="511" t="s">
        <v>1940</v>
      </c>
      <c r="B567" s="843" t="s">
        <v>1905</v>
      </c>
      <c r="C567" s="844"/>
      <c r="D567" s="845"/>
    </row>
    <row r="568" spans="1:4" x14ac:dyDescent="0.25">
      <c r="A568" s="514" t="s">
        <v>1941</v>
      </c>
      <c r="B568" s="515" t="s">
        <v>1942</v>
      </c>
      <c r="C568" s="515" t="s">
        <v>880</v>
      </c>
      <c r="D568" s="516">
        <v>4908327.4000000004</v>
      </c>
    </row>
    <row r="569" spans="1:4" x14ac:dyDescent="0.25">
      <c r="A569" s="514" t="s">
        <v>1943</v>
      </c>
      <c r="B569" s="515" t="s">
        <v>1935</v>
      </c>
      <c r="C569" s="515" t="s">
        <v>880</v>
      </c>
      <c r="D569" s="516"/>
    </row>
    <row r="570" spans="1:4" s="512" customFormat="1" ht="24.75" customHeight="1" x14ac:dyDescent="0.25">
      <c r="A570" s="511" t="s">
        <v>1944</v>
      </c>
      <c r="B570" s="843" t="s">
        <v>1908</v>
      </c>
      <c r="C570" s="844"/>
      <c r="D570" s="845"/>
    </row>
    <row r="571" spans="1:4" x14ac:dyDescent="0.25">
      <c r="A571" s="514" t="s">
        <v>1945</v>
      </c>
      <c r="B571" s="515" t="s">
        <v>1933</v>
      </c>
      <c r="C571" s="515" t="s">
        <v>880</v>
      </c>
      <c r="D571" s="529"/>
    </row>
    <row r="572" spans="1:4" x14ac:dyDescent="0.25">
      <c r="A572" s="514" t="s">
        <v>1946</v>
      </c>
      <c r="B572" s="515" t="s">
        <v>1935</v>
      </c>
      <c r="C572" s="515" t="s">
        <v>880</v>
      </c>
      <c r="D572" s="529"/>
    </row>
    <row r="573" spans="1:4" s="512" customFormat="1" x14ac:dyDescent="0.25">
      <c r="A573" s="511" t="s">
        <v>1947</v>
      </c>
      <c r="B573" s="843" t="s">
        <v>1948</v>
      </c>
      <c r="C573" s="844"/>
      <c r="D573" s="845"/>
    </row>
    <row r="574" spans="1:4" s="512" customFormat="1" ht="27.75" customHeight="1" x14ac:dyDescent="0.25">
      <c r="A574" s="511" t="s">
        <v>1949</v>
      </c>
      <c r="B574" s="843" t="s">
        <v>1950</v>
      </c>
      <c r="C574" s="844"/>
      <c r="D574" s="845"/>
    </row>
    <row r="575" spans="1:4" ht="25.5" x14ac:dyDescent="0.25">
      <c r="A575" s="514" t="s">
        <v>1951</v>
      </c>
      <c r="B575" s="515" t="s">
        <v>1952</v>
      </c>
      <c r="C575" s="515" t="s">
        <v>880</v>
      </c>
      <c r="D575" s="518"/>
    </row>
    <row r="576" spans="1:4" ht="25.5" x14ac:dyDescent="0.25">
      <c r="A576" s="514" t="s">
        <v>1953</v>
      </c>
      <c r="B576" s="515" t="s">
        <v>1954</v>
      </c>
      <c r="C576" s="515" t="s">
        <v>880</v>
      </c>
      <c r="D576" s="518"/>
    </row>
    <row r="577" spans="1:4" x14ac:dyDescent="0.25">
      <c r="A577" s="514" t="s">
        <v>1955</v>
      </c>
      <c r="B577" s="515" t="s">
        <v>1956</v>
      </c>
      <c r="C577" s="515" t="s">
        <v>880</v>
      </c>
      <c r="D577" s="518"/>
    </row>
    <row r="578" spans="1:4" ht="25.5" x14ac:dyDescent="0.25">
      <c r="A578" s="514" t="s">
        <v>1957</v>
      </c>
      <c r="B578" s="515" t="s">
        <v>1958</v>
      </c>
      <c r="C578" s="515" t="s">
        <v>880</v>
      </c>
      <c r="D578" s="518"/>
    </row>
    <row r="579" spans="1:4" ht="25.5" x14ac:dyDescent="0.25">
      <c r="A579" s="514" t="s">
        <v>1959</v>
      </c>
      <c r="B579" s="515" t="s">
        <v>1960</v>
      </c>
      <c r="C579" s="515" t="s">
        <v>880</v>
      </c>
      <c r="D579" s="518"/>
    </row>
    <row r="580" spans="1:4" s="512" customFormat="1" ht="24.75" customHeight="1" x14ac:dyDescent="0.25">
      <c r="A580" s="511" t="s">
        <v>1961</v>
      </c>
      <c r="B580" s="843" t="s">
        <v>1962</v>
      </c>
      <c r="C580" s="844"/>
      <c r="D580" s="845"/>
    </row>
    <row r="581" spans="1:4" x14ac:dyDescent="0.25">
      <c r="A581" s="514" t="s">
        <v>1963</v>
      </c>
      <c r="B581" s="515" t="s">
        <v>1931</v>
      </c>
      <c r="C581" s="515" t="s">
        <v>880</v>
      </c>
      <c r="D581" s="518"/>
    </row>
    <row r="582" spans="1:4" x14ac:dyDescent="0.25">
      <c r="A582" s="514" t="s">
        <v>1964</v>
      </c>
      <c r="B582" s="515" t="s">
        <v>1965</v>
      </c>
      <c r="C582" s="515" t="s">
        <v>880</v>
      </c>
      <c r="D582" s="518"/>
    </row>
    <row r="583" spans="1:4" x14ac:dyDescent="0.25">
      <c r="A583" s="514" t="s">
        <v>1966</v>
      </c>
      <c r="B583" s="515" t="s">
        <v>1935</v>
      </c>
      <c r="C583" s="515" t="s">
        <v>880</v>
      </c>
      <c r="D583" s="518"/>
    </row>
    <row r="584" spans="1:4" s="512" customFormat="1" x14ac:dyDescent="0.25">
      <c r="A584" s="511" t="s">
        <v>1967</v>
      </c>
      <c r="B584" s="843" t="s">
        <v>1968</v>
      </c>
      <c r="C584" s="844"/>
      <c r="D584" s="845"/>
    </row>
    <row r="585" spans="1:4" s="512" customFormat="1" ht="27.75" customHeight="1" x14ac:dyDescent="0.25">
      <c r="A585" s="511" t="s">
        <v>1969</v>
      </c>
      <c r="B585" s="843" t="s">
        <v>1970</v>
      </c>
      <c r="C585" s="844"/>
      <c r="D585" s="845"/>
    </row>
    <row r="586" spans="1:4" ht="25.5" x14ac:dyDescent="0.25">
      <c r="A586" s="514" t="s">
        <v>1971</v>
      </c>
      <c r="B586" s="515" t="s">
        <v>1972</v>
      </c>
      <c r="C586" s="515" t="s">
        <v>880</v>
      </c>
      <c r="D586" s="518"/>
    </row>
    <row r="587" spans="1:4" x14ac:dyDescent="0.25">
      <c r="A587" s="514" t="s">
        <v>1973</v>
      </c>
      <c r="B587" s="515" t="s">
        <v>1974</v>
      </c>
      <c r="C587" s="515" t="s">
        <v>880</v>
      </c>
      <c r="D587" s="518"/>
    </row>
    <row r="588" spans="1:4" x14ac:dyDescent="0.25">
      <c r="A588" s="514" t="s">
        <v>1975</v>
      </c>
      <c r="B588" s="515" t="s">
        <v>1976</v>
      </c>
      <c r="C588" s="515" t="s">
        <v>880</v>
      </c>
      <c r="D588" s="518"/>
    </row>
    <row r="589" spans="1:4" x14ac:dyDescent="0.25">
      <c r="A589" s="514" t="s">
        <v>1977</v>
      </c>
      <c r="B589" s="515" t="s">
        <v>1978</v>
      </c>
      <c r="C589" s="518"/>
      <c r="D589" s="518"/>
    </row>
    <row r="590" spans="1:4" s="512" customFormat="1" ht="28.5" customHeight="1" x14ac:dyDescent="0.25">
      <c r="A590" s="511" t="s">
        <v>1979</v>
      </c>
      <c r="B590" s="843" t="s">
        <v>1980</v>
      </c>
      <c r="C590" s="844"/>
      <c r="D590" s="845"/>
    </row>
    <row r="591" spans="1:4" x14ac:dyDescent="0.25">
      <c r="A591" s="514" t="s">
        <v>1981</v>
      </c>
      <c r="B591" s="515" t="s">
        <v>1982</v>
      </c>
      <c r="C591" s="515" t="s">
        <v>880</v>
      </c>
      <c r="D591" s="518"/>
    </row>
    <row r="592" spans="1:4" x14ac:dyDescent="0.25">
      <c r="A592" s="514" t="s">
        <v>1983</v>
      </c>
      <c r="B592" s="515" t="s">
        <v>1984</v>
      </c>
      <c r="C592" s="515" t="s">
        <v>880</v>
      </c>
      <c r="D592" s="518"/>
    </row>
    <row r="593" spans="1:4" s="512" customFormat="1" ht="26.25" customHeight="1" x14ac:dyDescent="0.25">
      <c r="A593" s="511" t="s">
        <v>1985</v>
      </c>
      <c r="B593" s="843" t="s">
        <v>1986</v>
      </c>
      <c r="C593" s="844"/>
      <c r="D593" s="845"/>
    </row>
    <row r="594" spans="1:4" x14ac:dyDescent="0.25">
      <c r="A594" s="514" t="s">
        <v>1987</v>
      </c>
      <c r="B594" s="515" t="s">
        <v>1988</v>
      </c>
      <c r="C594" s="515" t="s">
        <v>880</v>
      </c>
      <c r="D594" s="518"/>
    </row>
    <row r="595" spans="1:4" x14ac:dyDescent="0.25">
      <c r="A595" s="514" t="s">
        <v>1989</v>
      </c>
      <c r="B595" s="515" t="s">
        <v>1990</v>
      </c>
      <c r="C595" s="515" t="s">
        <v>880</v>
      </c>
      <c r="D595" s="518"/>
    </row>
    <row r="596" spans="1:4" s="512" customFormat="1" ht="26.25" customHeight="1" x14ac:dyDescent="0.25">
      <c r="A596" s="511" t="s">
        <v>1991</v>
      </c>
      <c r="B596" s="843" t="s">
        <v>1992</v>
      </c>
      <c r="C596" s="844"/>
      <c r="D596" s="845"/>
    </row>
    <row r="597" spans="1:4" x14ac:dyDescent="0.25">
      <c r="A597" s="514" t="s">
        <v>1993</v>
      </c>
      <c r="B597" s="515" t="s">
        <v>1988</v>
      </c>
      <c r="C597" s="515" t="s">
        <v>880</v>
      </c>
      <c r="D597" s="518"/>
    </row>
    <row r="598" spans="1:4" x14ac:dyDescent="0.25">
      <c r="A598" s="514" t="s">
        <v>1994</v>
      </c>
      <c r="B598" s="515" t="s">
        <v>1995</v>
      </c>
      <c r="C598" s="515" t="s">
        <v>880</v>
      </c>
      <c r="D598" s="518"/>
    </row>
    <row r="599" spans="1:4" s="512" customFormat="1" ht="27" customHeight="1" x14ac:dyDescent="0.25">
      <c r="A599" s="511" t="s">
        <v>1996</v>
      </c>
      <c r="B599" s="843" t="s">
        <v>1997</v>
      </c>
      <c r="C599" s="844"/>
      <c r="D599" s="845"/>
    </row>
    <row r="600" spans="1:4" x14ac:dyDescent="0.25">
      <c r="A600" s="514" t="s">
        <v>1998</v>
      </c>
      <c r="B600" s="515" t="s">
        <v>1999</v>
      </c>
      <c r="C600" s="515" t="s">
        <v>880</v>
      </c>
      <c r="D600" s="518"/>
    </row>
    <row r="601" spans="1:4" x14ac:dyDescent="0.25">
      <c r="A601" s="514" t="s">
        <v>2000</v>
      </c>
      <c r="B601" s="515" t="s">
        <v>1995</v>
      </c>
      <c r="C601" s="515" t="s">
        <v>880</v>
      </c>
      <c r="D601" s="518"/>
    </row>
    <row r="602" spans="1:4" s="512" customFormat="1" ht="26.25" customHeight="1" x14ac:dyDescent="0.25">
      <c r="A602" s="511" t="s">
        <v>2001</v>
      </c>
      <c r="B602" s="843" t="s">
        <v>2002</v>
      </c>
      <c r="C602" s="844"/>
      <c r="D602" s="845"/>
    </row>
    <row r="603" spans="1:4" ht="25.5" x14ac:dyDescent="0.25">
      <c r="A603" s="514" t="s">
        <v>2003</v>
      </c>
      <c r="B603" s="515" t="s">
        <v>2004</v>
      </c>
      <c r="C603" s="515" t="s">
        <v>880</v>
      </c>
      <c r="D603" s="518"/>
    </row>
    <row r="604" spans="1:4" ht="25.5" x14ac:dyDescent="0.25">
      <c r="A604" s="514" t="s">
        <v>2005</v>
      </c>
      <c r="B604" s="515" t="s">
        <v>2006</v>
      </c>
      <c r="C604" s="515" t="s">
        <v>880</v>
      </c>
      <c r="D604" s="518"/>
    </row>
    <row r="605" spans="1:4" ht="25.5" x14ac:dyDescent="0.25">
      <c r="A605" s="514" t="s">
        <v>2007</v>
      </c>
      <c r="B605" s="515" t="s">
        <v>2008</v>
      </c>
      <c r="C605" s="515" t="s">
        <v>880</v>
      </c>
      <c r="D605" s="518"/>
    </row>
    <row r="606" spans="1:4" ht="25.5" x14ac:dyDescent="0.25">
      <c r="A606" s="514" t="s">
        <v>2009</v>
      </c>
      <c r="B606" s="515" t="s">
        <v>2010</v>
      </c>
      <c r="C606" s="515" t="s">
        <v>880</v>
      </c>
      <c r="D606" s="518"/>
    </row>
    <row r="607" spans="1:4" ht="25.5" x14ac:dyDescent="0.25">
      <c r="A607" s="514" t="s">
        <v>2011</v>
      </c>
      <c r="B607" s="515" t="s">
        <v>2012</v>
      </c>
      <c r="C607" s="515" t="s">
        <v>880</v>
      </c>
      <c r="D607" s="518"/>
    </row>
    <row r="608" spans="1:4" ht="25.5" x14ac:dyDescent="0.25">
      <c r="A608" s="514" t="s">
        <v>2013</v>
      </c>
      <c r="B608" s="515" t="s">
        <v>2014</v>
      </c>
      <c r="C608" s="515" t="s">
        <v>880</v>
      </c>
      <c r="D608" s="518"/>
    </row>
    <row r="609" spans="1:4" s="512" customFormat="1" x14ac:dyDescent="0.25">
      <c r="A609" s="511" t="s">
        <v>2015</v>
      </c>
      <c r="B609" s="843" t="s">
        <v>2016</v>
      </c>
      <c r="C609" s="844"/>
      <c r="D609" s="845"/>
    </row>
    <row r="610" spans="1:4" s="512" customFormat="1" x14ac:dyDescent="0.25">
      <c r="A610" s="511" t="s">
        <v>2017</v>
      </c>
      <c r="B610" s="843" t="s">
        <v>2018</v>
      </c>
      <c r="C610" s="844"/>
      <c r="D610" s="845"/>
    </row>
    <row r="611" spans="1:4" ht="25.5" x14ac:dyDescent="0.25">
      <c r="A611" s="514" t="s">
        <v>2019</v>
      </c>
      <c r="B611" s="515" t="s">
        <v>2020</v>
      </c>
      <c r="C611" s="515" t="s">
        <v>880</v>
      </c>
      <c r="D611" s="519"/>
    </row>
    <row r="612" spans="1:4" s="512" customFormat="1" x14ac:dyDescent="0.25">
      <c r="A612" s="511" t="s">
        <v>2021</v>
      </c>
      <c r="B612" s="843" t="s">
        <v>2022</v>
      </c>
      <c r="C612" s="844"/>
      <c r="D612" s="845"/>
    </row>
    <row r="613" spans="1:4" ht="25.5" x14ac:dyDescent="0.25">
      <c r="A613" s="514" t="s">
        <v>2023</v>
      </c>
      <c r="B613" s="515" t="s">
        <v>2024</v>
      </c>
      <c r="C613" s="515" t="s">
        <v>880</v>
      </c>
      <c r="D613" s="519"/>
    </row>
    <row r="614" spans="1:4" ht="25.5" x14ac:dyDescent="0.25">
      <c r="A614" s="514" t="s">
        <v>2025</v>
      </c>
      <c r="B614" s="515" t="s">
        <v>2026</v>
      </c>
      <c r="C614" s="515" t="s">
        <v>880</v>
      </c>
      <c r="D614" s="519"/>
    </row>
    <row r="615" spans="1:4" ht="25.5" x14ac:dyDescent="0.25">
      <c r="A615" s="514" t="s">
        <v>2027</v>
      </c>
      <c r="B615" s="515" t="s">
        <v>2028</v>
      </c>
      <c r="C615" s="515" t="s">
        <v>880</v>
      </c>
      <c r="D615" s="519"/>
    </row>
    <row r="616" spans="1:4" ht="25.5" x14ac:dyDescent="0.25">
      <c r="A616" s="514" t="s">
        <v>2029</v>
      </c>
      <c r="B616" s="515" t="s">
        <v>2030</v>
      </c>
      <c r="C616" s="515" t="s">
        <v>880</v>
      </c>
      <c r="D616" s="519"/>
    </row>
    <row r="617" spans="1:4" ht="25.5" x14ac:dyDescent="0.25">
      <c r="A617" s="514" t="s">
        <v>2031</v>
      </c>
      <c r="B617" s="515" t="s">
        <v>2032</v>
      </c>
      <c r="C617" s="515" t="s">
        <v>880</v>
      </c>
      <c r="D617" s="519"/>
    </row>
    <row r="618" spans="1:4" s="512" customFormat="1" ht="26.25" customHeight="1" x14ac:dyDescent="0.25">
      <c r="A618" s="511" t="s">
        <v>2033</v>
      </c>
      <c r="B618" s="843" t="s">
        <v>2034</v>
      </c>
      <c r="C618" s="844"/>
      <c r="D618" s="845"/>
    </row>
    <row r="619" spans="1:4" s="512" customFormat="1" x14ac:dyDescent="0.25">
      <c r="A619" s="511" t="s">
        <v>2035</v>
      </c>
      <c r="B619" s="843" t="s">
        <v>2036</v>
      </c>
      <c r="C619" s="844"/>
      <c r="D619" s="845"/>
    </row>
    <row r="620" spans="1:4" ht="25.5" x14ac:dyDescent="0.25">
      <c r="A620" s="514" t="s">
        <v>2037</v>
      </c>
      <c r="B620" s="515" t="s">
        <v>2038</v>
      </c>
      <c r="C620" s="515" t="s">
        <v>880</v>
      </c>
      <c r="D620" s="518"/>
    </row>
    <row r="621" spans="1:4" ht="25.5" x14ac:dyDescent="0.25">
      <c r="A621" s="514" t="s">
        <v>2039</v>
      </c>
      <c r="B621" s="515" t="s">
        <v>2040</v>
      </c>
      <c r="C621" s="515" t="s">
        <v>880</v>
      </c>
      <c r="D621" s="518"/>
    </row>
    <row r="622" spans="1:4" ht="25.5" x14ac:dyDescent="0.25">
      <c r="A622" s="514" t="s">
        <v>2041</v>
      </c>
      <c r="B622" s="515" t="s">
        <v>2042</v>
      </c>
      <c r="C622" s="515" t="s">
        <v>880</v>
      </c>
      <c r="D622" s="518"/>
    </row>
    <row r="623" spans="1:4" ht="25.5" x14ac:dyDescent="0.25">
      <c r="A623" s="514" t="s">
        <v>2043</v>
      </c>
      <c r="B623" s="515" t="s">
        <v>2044</v>
      </c>
      <c r="C623" s="515" t="s">
        <v>880</v>
      </c>
      <c r="D623" s="518"/>
    </row>
    <row r="624" spans="1:4" ht="25.5" x14ac:dyDescent="0.25">
      <c r="A624" s="514" t="s">
        <v>2045</v>
      </c>
      <c r="B624" s="515" t="s">
        <v>2046</v>
      </c>
      <c r="C624" s="515" t="s">
        <v>880</v>
      </c>
      <c r="D624" s="518"/>
    </row>
    <row r="625" spans="1:4" ht="25.5" x14ac:dyDescent="0.25">
      <c r="A625" s="514" t="s">
        <v>2047</v>
      </c>
      <c r="B625" s="515" t="s">
        <v>2048</v>
      </c>
      <c r="C625" s="515" t="s">
        <v>880</v>
      </c>
      <c r="D625" s="518"/>
    </row>
    <row r="626" spans="1:4" ht="25.5" x14ac:dyDescent="0.25">
      <c r="A626" s="514" t="s">
        <v>2049</v>
      </c>
      <c r="B626" s="515" t="s">
        <v>2050</v>
      </c>
      <c r="C626" s="515" t="s">
        <v>880</v>
      </c>
      <c r="D626" s="518"/>
    </row>
    <row r="627" spans="1:4" s="512" customFormat="1" x14ac:dyDescent="0.25">
      <c r="A627" s="511" t="s">
        <v>2051</v>
      </c>
      <c r="B627" s="843" t="s">
        <v>2052</v>
      </c>
      <c r="C627" s="844"/>
      <c r="D627" s="845"/>
    </row>
    <row r="628" spans="1:4" ht="25.5" x14ac:dyDescent="0.25">
      <c r="A628" s="514" t="s">
        <v>2053</v>
      </c>
      <c r="B628" s="515" t="s">
        <v>2038</v>
      </c>
      <c r="C628" s="515" t="s">
        <v>880</v>
      </c>
      <c r="D628" s="518"/>
    </row>
    <row r="629" spans="1:4" ht="25.5" x14ac:dyDescent="0.25">
      <c r="A629" s="514" t="s">
        <v>2054</v>
      </c>
      <c r="B629" s="515" t="s">
        <v>2040</v>
      </c>
      <c r="C629" s="515" t="s">
        <v>880</v>
      </c>
      <c r="D629" s="518"/>
    </row>
    <row r="630" spans="1:4" ht="25.5" x14ac:dyDescent="0.25">
      <c r="A630" s="514" t="s">
        <v>2055</v>
      </c>
      <c r="B630" s="515" t="s">
        <v>2042</v>
      </c>
      <c r="C630" s="515" t="s">
        <v>880</v>
      </c>
      <c r="D630" s="518"/>
    </row>
    <row r="631" spans="1:4" ht="25.5" x14ac:dyDescent="0.25">
      <c r="A631" s="514" t="s">
        <v>2056</v>
      </c>
      <c r="B631" s="515" t="s">
        <v>2044</v>
      </c>
      <c r="C631" s="515" t="s">
        <v>880</v>
      </c>
      <c r="D631" s="518"/>
    </row>
    <row r="632" spans="1:4" ht="25.5" x14ac:dyDescent="0.25">
      <c r="A632" s="514" t="s">
        <v>2057</v>
      </c>
      <c r="B632" s="515" t="s">
        <v>2046</v>
      </c>
      <c r="C632" s="515" t="s">
        <v>880</v>
      </c>
      <c r="D632" s="518"/>
    </row>
    <row r="633" spans="1:4" ht="25.5" x14ac:dyDescent="0.25">
      <c r="A633" s="514" t="s">
        <v>2058</v>
      </c>
      <c r="B633" s="515" t="s">
        <v>2059</v>
      </c>
      <c r="C633" s="515" t="s">
        <v>880</v>
      </c>
      <c r="D633" s="518"/>
    </row>
    <row r="634" spans="1:4" ht="25.5" x14ac:dyDescent="0.25">
      <c r="A634" s="514" t="s">
        <v>2060</v>
      </c>
      <c r="B634" s="515" t="s">
        <v>2050</v>
      </c>
      <c r="C634" s="515" t="s">
        <v>880</v>
      </c>
      <c r="D634" s="518"/>
    </row>
    <row r="635" spans="1:4" s="512" customFormat="1" x14ac:dyDescent="0.25">
      <c r="A635" s="511" t="s">
        <v>2061</v>
      </c>
      <c r="B635" s="843" t="s">
        <v>2062</v>
      </c>
      <c r="C635" s="844"/>
      <c r="D635" s="845"/>
    </row>
    <row r="636" spans="1:4" s="512" customFormat="1" x14ac:dyDescent="0.25">
      <c r="A636" s="511" t="s">
        <v>2063</v>
      </c>
      <c r="B636" s="843" t="s">
        <v>2064</v>
      </c>
      <c r="C636" s="844"/>
      <c r="D636" s="845"/>
    </row>
    <row r="637" spans="1:4" ht="25.5" x14ac:dyDescent="0.25">
      <c r="A637" s="514" t="s">
        <v>2065</v>
      </c>
      <c r="B637" s="515" t="s">
        <v>2066</v>
      </c>
      <c r="C637" s="515" t="s">
        <v>880</v>
      </c>
      <c r="D637" s="518"/>
    </row>
    <row r="638" spans="1:4" ht="25.5" x14ac:dyDescent="0.25">
      <c r="A638" s="514" t="s">
        <v>2067</v>
      </c>
      <c r="B638" s="515" t="s">
        <v>2068</v>
      </c>
      <c r="C638" s="515" t="s">
        <v>880</v>
      </c>
      <c r="D638" s="518"/>
    </row>
    <row r="639" spans="1:4" ht="25.5" x14ac:dyDescent="0.25">
      <c r="A639" s="514" t="s">
        <v>2069</v>
      </c>
      <c r="B639" s="515" t="s">
        <v>2070</v>
      </c>
      <c r="C639" s="515" t="s">
        <v>880</v>
      </c>
      <c r="D639" s="518"/>
    </row>
    <row r="640" spans="1:4" ht="25.5" x14ac:dyDescent="0.25">
      <c r="A640" s="514" t="s">
        <v>2071</v>
      </c>
      <c r="B640" s="515" t="s">
        <v>2072</v>
      </c>
      <c r="C640" s="515" t="s">
        <v>880</v>
      </c>
      <c r="D640" s="518"/>
    </row>
    <row r="641" spans="1:4" ht="25.5" x14ac:dyDescent="0.25">
      <c r="A641" s="514" t="s">
        <v>2073</v>
      </c>
      <c r="B641" s="515" t="s">
        <v>2074</v>
      </c>
      <c r="C641" s="515" t="s">
        <v>880</v>
      </c>
      <c r="D641" s="518"/>
    </row>
    <row r="642" spans="1:4" ht="25.5" x14ac:dyDescent="0.25">
      <c r="A642" s="514" t="s">
        <v>2075</v>
      </c>
      <c r="B642" s="515" t="s">
        <v>2076</v>
      </c>
      <c r="C642" s="515" t="s">
        <v>880</v>
      </c>
      <c r="D642" s="518"/>
    </row>
    <row r="643" spans="1:4" s="512" customFormat="1" x14ac:dyDescent="0.25">
      <c r="A643" s="511" t="s">
        <v>2077</v>
      </c>
      <c r="B643" s="843" t="s">
        <v>2078</v>
      </c>
      <c r="C643" s="844"/>
      <c r="D643" s="845"/>
    </row>
    <row r="644" spans="1:4" ht="25.5" x14ac:dyDescent="0.25">
      <c r="A644" s="514" t="s">
        <v>2079</v>
      </c>
      <c r="B644" s="515" t="s">
        <v>2080</v>
      </c>
      <c r="C644" s="515" t="s">
        <v>880</v>
      </c>
      <c r="D644" s="518"/>
    </row>
    <row r="645" spans="1:4" ht="25.5" x14ac:dyDescent="0.25">
      <c r="A645" s="514" t="s">
        <v>2081</v>
      </c>
      <c r="B645" s="515" t="s">
        <v>2082</v>
      </c>
      <c r="C645" s="515" t="s">
        <v>880</v>
      </c>
      <c r="D645" s="518"/>
    </row>
    <row r="646" spans="1:4" ht="25.5" x14ac:dyDescent="0.25">
      <c r="A646" s="514" t="s">
        <v>2083</v>
      </c>
      <c r="B646" s="515" t="s">
        <v>2084</v>
      </c>
      <c r="C646" s="515" t="s">
        <v>880</v>
      </c>
      <c r="D646" s="518"/>
    </row>
    <row r="647" spans="1:4" ht="25.5" x14ac:dyDescent="0.25">
      <c r="A647" s="514" t="s">
        <v>2085</v>
      </c>
      <c r="B647" s="515" t="s">
        <v>2086</v>
      </c>
      <c r="C647" s="515" t="s">
        <v>880</v>
      </c>
      <c r="D647" s="518"/>
    </row>
    <row r="648" spans="1:4" ht="25.5" x14ac:dyDescent="0.25">
      <c r="A648" s="514" t="s">
        <v>2087</v>
      </c>
      <c r="B648" s="515" t="s">
        <v>2088</v>
      </c>
      <c r="C648" s="515" t="s">
        <v>880</v>
      </c>
      <c r="D648" s="518"/>
    </row>
    <row r="649" spans="1:4" ht="25.5" x14ac:dyDescent="0.25">
      <c r="A649" s="514" t="s">
        <v>2089</v>
      </c>
      <c r="B649" s="515" t="s">
        <v>2076</v>
      </c>
      <c r="C649" s="515" t="s">
        <v>880</v>
      </c>
      <c r="D649" s="518"/>
    </row>
    <row r="650" spans="1:4" s="512" customFormat="1" x14ac:dyDescent="0.25">
      <c r="A650" s="511" t="s">
        <v>2090</v>
      </c>
      <c r="B650" s="843" t="s">
        <v>2091</v>
      </c>
      <c r="C650" s="844"/>
      <c r="D650" s="845"/>
    </row>
    <row r="651" spans="1:4" x14ac:dyDescent="0.25">
      <c r="A651" s="514" t="s">
        <v>2092</v>
      </c>
      <c r="B651" s="515" t="s">
        <v>2093</v>
      </c>
      <c r="C651" s="515" t="s">
        <v>880</v>
      </c>
      <c r="D651" s="519"/>
    </row>
    <row r="652" spans="1:4" x14ac:dyDescent="0.25">
      <c r="A652" s="514" t="s">
        <v>2094</v>
      </c>
      <c r="B652" s="515" t="s">
        <v>2095</v>
      </c>
      <c r="C652" s="515" t="s">
        <v>880</v>
      </c>
      <c r="D652" s="518"/>
    </row>
    <row r="653" spans="1:4" ht="25.5" x14ac:dyDescent="0.25">
      <c r="A653" s="514" t="s">
        <v>2096</v>
      </c>
      <c r="B653" s="515" t="s">
        <v>2097</v>
      </c>
      <c r="C653" s="515" t="s">
        <v>880</v>
      </c>
      <c r="D653" s="518"/>
    </row>
    <row r="654" spans="1:4" s="512" customFormat="1" ht="25.5" customHeight="1" x14ac:dyDescent="0.25">
      <c r="A654" s="511" t="s">
        <v>2098</v>
      </c>
      <c r="B654" s="843" t="s">
        <v>2099</v>
      </c>
      <c r="C654" s="844"/>
      <c r="D654" s="845"/>
    </row>
    <row r="655" spans="1:4" x14ac:dyDescent="0.25">
      <c r="A655" s="514" t="s">
        <v>2100</v>
      </c>
      <c r="B655" s="515" t="s">
        <v>2101</v>
      </c>
      <c r="C655" s="515" t="s">
        <v>880</v>
      </c>
      <c r="D655" s="518"/>
    </row>
    <row r="656" spans="1:4" x14ac:dyDescent="0.25">
      <c r="A656" s="514" t="s">
        <v>2102</v>
      </c>
      <c r="B656" s="515" t="s">
        <v>2103</v>
      </c>
      <c r="C656" s="515" t="s">
        <v>880</v>
      </c>
      <c r="D656" s="518"/>
    </row>
    <row r="657" spans="1:4" s="512" customFormat="1" x14ac:dyDescent="0.25">
      <c r="A657" s="511" t="s">
        <v>2104</v>
      </c>
      <c r="B657" s="843" t="s">
        <v>2105</v>
      </c>
      <c r="C657" s="844"/>
      <c r="D657" s="845"/>
    </row>
    <row r="658" spans="1:4" s="512" customFormat="1" x14ac:dyDescent="0.25">
      <c r="A658" s="511" t="s">
        <v>2106</v>
      </c>
      <c r="B658" s="843" t="s">
        <v>2107</v>
      </c>
      <c r="C658" s="844"/>
      <c r="D658" s="845"/>
    </row>
    <row r="659" spans="1:4" ht="25.5" x14ac:dyDescent="0.25">
      <c r="A659" s="514" t="s">
        <v>2108</v>
      </c>
      <c r="B659" s="515" t="s">
        <v>2109</v>
      </c>
      <c r="C659" s="515" t="s">
        <v>880</v>
      </c>
      <c r="D659" s="518"/>
    </row>
    <row r="660" spans="1:4" ht="25.5" x14ac:dyDescent="0.25">
      <c r="A660" s="514" t="s">
        <v>2110</v>
      </c>
      <c r="B660" s="515" t="s">
        <v>2111</v>
      </c>
      <c r="C660" s="515" t="s">
        <v>880</v>
      </c>
      <c r="D660" s="518"/>
    </row>
    <row r="661" spans="1:4" ht="25.5" x14ac:dyDescent="0.25">
      <c r="A661" s="514" t="s">
        <v>2112</v>
      </c>
      <c r="B661" s="515" t="s">
        <v>2113</v>
      </c>
      <c r="C661" s="515" t="s">
        <v>880</v>
      </c>
      <c r="D661" s="518"/>
    </row>
    <row r="662" spans="1:4" ht="25.5" x14ac:dyDescent="0.25">
      <c r="A662" s="514" t="s">
        <v>2114</v>
      </c>
      <c r="B662" s="515" t="s">
        <v>2115</v>
      </c>
      <c r="C662" s="515" t="s">
        <v>880</v>
      </c>
      <c r="D662" s="518"/>
    </row>
    <row r="663" spans="1:4" ht="25.5" x14ac:dyDescent="0.25">
      <c r="A663" s="514" t="s">
        <v>2116</v>
      </c>
      <c r="B663" s="515" t="s">
        <v>2117</v>
      </c>
      <c r="C663" s="515" t="s">
        <v>880</v>
      </c>
      <c r="D663" s="518"/>
    </row>
    <row r="664" spans="1:4" ht="25.5" x14ac:dyDescent="0.25">
      <c r="A664" s="514" t="s">
        <v>2118</v>
      </c>
      <c r="B664" s="515" t="s">
        <v>2119</v>
      </c>
      <c r="C664" s="515" t="s">
        <v>880</v>
      </c>
      <c r="D664" s="518"/>
    </row>
    <row r="665" spans="1:4" ht="25.5" x14ac:dyDescent="0.25">
      <c r="A665" s="514" t="s">
        <v>2120</v>
      </c>
      <c r="B665" s="515" t="s">
        <v>2121</v>
      </c>
      <c r="C665" s="515" t="s">
        <v>880</v>
      </c>
      <c r="D665" s="519"/>
    </row>
    <row r="666" spans="1:4" ht="25.5" x14ac:dyDescent="0.25">
      <c r="A666" s="514" t="s">
        <v>2122</v>
      </c>
      <c r="B666" s="515" t="s">
        <v>2123</v>
      </c>
      <c r="C666" s="515" t="s">
        <v>880</v>
      </c>
      <c r="D666" s="519"/>
    </row>
    <row r="667" spans="1:4" ht="25.5" x14ac:dyDescent="0.25">
      <c r="A667" s="514" t="s">
        <v>2124</v>
      </c>
      <c r="B667" s="515" t="s">
        <v>2125</v>
      </c>
      <c r="C667" s="515" t="s">
        <v>880</v>
      </c>
      <c r="D667" s="519"/>
    </row>
    <row r="668" spans="1:4" ht="25.5" x14ac:dyDescent="0.25">
      <c r="A668" s="514" t="s">
        <v>2126</v>
      </c>
      <c r="B668" s="515" t="s">
        <v>2127</v>
      </c>
      <c r="C668" s="515" t="s">
        <v>880</v>
      </c>
      <c r="D668" s="519"/>
    </row>
    <row r="669" spans="1:4" s="512" customFormat="1" x14ac:dyDescent="0.25">
      <c r="A669" s="511" t="s">
        <v>2128</v>
      </c>
      <c r="B669" s="843" t="s">
        <v>2129</v>
      </c>
      <c r="C669" s="844"/>
      <c r="D669" s="845"/>
    </row>
    <row r="670" spans="1:4" ht="25.5" x14ac:dyDescent="0.25">
      <c r="A670" s="514" t="s">
        <v>2130</v>
      </c>
      <c r="B670" s="515" t="s">
        <v>2113</v>
      </c>
      <c r="C670" s="515" t="s">
        <v>880</v>
      </c>
      <c r="D670" s="518"/>
    </row>
    <row r="671" spans="1:4" ht="25.5" x14ac:dyDescent="0.25">
      <c r="A671" s="514" t="s">
        <v>2131</v>
      </c>
      <c r="B671" s="515" t="s">
        <v>2115</v>
      </c>
      <c r="C671" s="515" t="s">
        <v>880</v>
      </c>
      <c r="D671" s="518"/>
    </row>
    <row r="672" spans="1:4" ht="25.5" x14ac:dyDescent="0.25">
      <c r="A672" s="514" t="s">
        <v>2132</v>
      </c>
      <c r="B672" s="515" t="s">
        <v>2117</v>
      </c>
      <c r="C672" s="515" t="s">
        <v>880</v>
      </c>
      <c r="D672" s="518"/>
    </row>
    <row r="673" spans="1:4" ht="25.5" x14ac:dyDescent="0.25">
      <c r="A673" s="514" t="s">
        <v>2133</v>
      </c>
      <c r="B673" s="515" t="s">
        <v>2119</v>
      </c>
      <c r="C673" s="515" t="s">
        <v>880</v>
      </c>
      <c r="D673" s="518"/>
    </row>
    <row r="674" spans="1:4" ht="25.5" x14ac:dyDescent="0.25">
      <c r="A674" s="514" t="s">
        <v>2134</v>
      </c>
      <c r="B674" s="515" t="s">
        <v>2135</v>
      </c>
      <c r="C674" s="515" t="s">
        <v>880</v>
      </c>
      <c r="D674" s="518"/>
    </row>
    <row r="675" spans="1:4" ht="25.5" x14ac:dyDescent="0.25">
      <c r="A675" s="514" t="s">
        <v>2136</v>
      </c>
      <c r="B675" s="515" t="s">
        <v>2123</v>
      </c>
      <c r="C675" s="515" t="s">
        <v>880</v>
      </c>
      <c r="D675" s="518"/>
    </row>
    <row r="676" spans="1:4" ht="25.5" x14ac:dyDescent="0.25">
      <c r="A676" s="514" t="s">
        <v>2137</v>
      </c>
      <c r="B676" s="515" t="s">
        <v>2125</v>
      </c>
      <c r="C676" s="515" t="s">
        <v>880</v>
      </c>
      <c r="D676" s="518"/>
    </row>
    <row r="677" spans="1:4" ht="25.5" x14ac:dyDescent="0.25">
      <c r="A677" s="514" t="s">
        <v>2138</v>
      </c>
      <c r="B677" s="515" t="s">
        <v>2139</v>
      </c>
      <c r="C677" s="515" t="s">
        <v>880</v>
      </c>
      <c r="D677" s="518"/>
    </row>
    <row r="678" spans="1:4" s="512" customFormat="1" x14ac:dyDescent="0.25">
      <c r="A678" s="511" t="s">
        <v>2140</v>
      </c>
      <c r="B678" s="843" t="s">
        <v>2141</v>
      </c>
      <c r="C678" s="844"/>
      <c r="D678" s="845"/>
    </row>
    <row r="679" spans="1:4" ht="25.5" x14ac:dyDescent="0.25">
      <c r="A679" s="514" t="s">
        <v>2142</v>
      </c>
      <c r="B679" s="515" t="s">
        <v>2135</v>
      </c>
      <c r="C679" s="515" t="s">
        <v>880</v>
      </c>
      <c r="D679" s="518"/>
    </row>
    <row r="680" spans="1:4" ht="25.5" x14ac:dyDescent="0.25">
      <c r="A680" s="514" t="s">
        <v>2143</v>
      </c>
      <c r="B680" s="515" t="s">
        <v>2123</v>
      </c>
      <c r="C680" s="515" t="s">
        <v>880</v>
      </c>
      <c r="D680" s="519"/>
    </row>
    <row r="681" spans="1:4" ht="25.5" x14ac:dyDescent="0.25">
      <c r="A681" s="514" t="s">
        <v>2144</v>
      </c>
      <c r="B681" s="515" t="s">
        <v>2125</v>
      </c>
      <c r="C681" s="515" t="s">
        <v>880</v>
      </c>
      <c r="D681" s="518"/>
    </row>
    <row r="682" spans="1:4" ht="25.5" x14ac:dyDescent="0.25">
      <c r="A682" s="514" t="s">
        <v>2145</v>
      </c>
      <c r="B682" s="515" t="s">
        <v>2139</v>
      </c>
      <c r="C682" s="515" t="s">
        <v>880</v>
      </c>
      <c r="D682" s="518"/>
    </row>
    <row r="683" spans="1:4" ht="25.5" x14ac:dyDescent="0.25">
      <c r="A683" s="514" t="s">
        <v>2146</v>
      </c>
      <c r="B683" s="515" t="s">
        <v>2147</v>
      </c>
      <c r="C683" s="515" t="s">
        <v>880</v>
      </c>
      <c r="D683" s="518"/>
    </row>
    <row r="684" spans="1:4" s="512" customFormat="1" x14ac:dyDescent="0.25">
      <c r="A684" s="511" t="s">
        <v>2148</v>
      </c>
      <c r="B684" s="843" t="s">
        <v>2149</v>
      </c>
      <c r="C684" s="844"/>
      <c r="D684" s="845"/>
    </row>
    <row r="685" spans="1:4" s="512" customFormat="1" x14ac:dyDescent="0.25">
      <c r="A685" s="511" t="s">
        <v>2150</v>
      </c>
      <c r="B685" s="843" t="s">
        <v>2151</v>
      </c>
      <c r="C685" s="844"/>
      <c r="D685" s="845"/>
    </row>
    <row r="686" spans="1:4" x14ac:dyDescent="0.25">
      <c r="A686" s="514" t="s">
        <v>2152</v>
      </c>
      <c r="B686" s="515" t="s">
        <v>2153</v>
      </c>
      <c r="C686" s="515" t="s">
        <v>697</v>
      </c>
      <c r="D686" s="518"/>
    </row>
    <row r="687" spans="1:4" x14ac:dyDescent="0.25">
      <c r="A687" s="514" t="s">
        <v>2154</v>
      </c>
      <c r="B687" s="515" t="s">
        <v>2155</v>
      </c>
      <c r="C687" s="515" t="s">
        <v>697</v>
      </c>
      <c r="D687" s="518"/>
    </row>
    <row r="688" spans="1:4" ht="25.5" x14ac:dyDescent="0.25">
      <c r="A688" s="514" t="s">
        <v>2156</v>
      </c>
      <c r="B688" s="515" t="s">
        <v>2157</v>
      </c>
      <c r="C688" s="515" t="s">
        <v>697</v>
      </c>
      <c r="D688" s="519"/>
    </row>
    <row r="689" spans="1:4" x14ac:dyDescent="0.25">
      <c r="A689" s="514" t="s">
        <v>2158</v>
      </c>
      <c r="B689" s="515" t="s">
        <v>2159</v>
      </c>
      <c r="C689" s="515" t="s">
        <v>697</v>
      </c>
      <c r="D689" s="518"/>
    </row>
    <row r="690" spans="1:4" s="512" customFormat="1" x14ac:dyDescent="0.25">
      <c r="A690" s="511" t="s">
        <v>2160</v>
      </c>
      <c r="B690" s="843" t="s">
        <v>2161</v>
      </c>
      <c r="C690" s="844"/>
      <c r="D690" s="845"/>
    </row>
    <row r="691" spans="1:4" x14ac:dyDescent="0.25">
      <c r="A691" s="514" t="s">
        <v>2162</v>
      </c>
      <c r="B691" s="515" t="s">
        <v>2153</v>
      </c>
      <c r="C691" s="515" t="s">
        <v>697</v>
      </c>
      <c r="D691" s="518"/>
    </row>
    <row r="692" spans="1:4" x14ac:dyDescent="0.25">
      <c r="A692" s="514" t="s">
        <v>2163</v>
      </c>
      <c r="B692" s="515" t="s">
        <v>2155</v>
      </c>
      <c r="C692" s="515" t="s">
        <v>697</v>
      </c>
      <c r="D692" s="518"/>
    </row>
    <row r="693" spans="1:4" ht="25.5" x14ac:dyDescent="0.25">
      <c r="A693" s="514" t="s">
        <v>2164</v>
      </c>
      <c r="B693" s="515" t="s">
        <v>2157</v>
      </c>
      <c r="C693" s="515" t="s">
        <v>697</v>
      </c>
      <c r="D693" s="519"/>
    </row>
    <row r="694" spans="1:4" x14ac:dyDescent="0.25">
      <c r="A694" s="514" t="s">
        <v>2165</v>
      </c>
      <c r="B694" s="515" t="s">
        <v>2159</v>
      </c>
      <c r="C694" s="515" t="s">
        <v>697</v>
      </c>
      <c r="D694" s="518"/>
    </row>
    <row r="695" spans="1:4" s="512" customFormat="1" x14ac:dyDescent="0.25">
      <c r="A695" s="511" t="s">
        <v>2166</v>
      </c>
      <c r="B695" s="843" t="s">
        <v>2167</v>
      </c>
      <c r="C695" s="844"/>
      <c r="D695" s="845"/>
    </row>
    <row r="696" spans="1:4" x14ac:dyDescent="0.25">
      <c r="A696" s="514" t="s">
        <v>2168</v>
      </c>
      <c r="B696" s="515" t="s">
        <v>2153</v>
      </c>
      <c r="C696" s="515" t="s">
        <v>697</v>
      </c>
      <c r="D696" s="518"/>
    </row>
    <row r="697" spans="1:4" x14ac:dyDescent="0.25">
      <c r="A697" s="514" t="s">
        <v>2169</v>
      </c>
      <c r="B697" s="515" t="s">
        <v>2155</v>
      </c>
      <c r="C697" s="515" t="s">
        <v>697</v>
      </c>
      <c r="D697" s="518"/>
    </row>
    <row r="698" spans="1:4" ht="25.5" x14ac:dyDescent="0.25">
      <c r="A698" s="514" t="s">
        <v>2170</v>
      </c>
      <c r="B698" s="515" t="s">
        <v>2157</v>
      </c>
      <c r="C698" s="515" t="s">
        <v>697</v>
      </c>
      <c r="D698" s="519"/>
    </row>
    <row r="699" spans="1:4" x14ac:dyDescent="0.25">
      <c r="A699" s="514" t="s">
        <v>2171</v>
      </c>
      <c r="B699" s="515" t="s">
        <v>2159</v>
      </c>
      <c r="C699" s="515" t="s">
        <v>697</v>
      </c>
      <c r="D699" s="518"/>
    </row>
    <row r="700" spans="1:4" s="512" customFormat="1" x14ac:dyDescent="0.25">
      <c r="A700" s="511" t="s">
        <v>2172</v>
      </c>
      <c r="B700" s="843" t="s">
        <v>2173</v>
      </c>
      <c r="C700" s="844" t="s">
        <v>880</v>
      </c>
      <c r="D700" s="845"/>
    </row>
    <row r="701" spans="1:4" ht="25.5" x14ac:dyDescent="0.25">
      <c r="A701" s="514" t="s">
        <v>2174</v>
      </c>
      <c r="B701" s="515" t="s">
        <v>2175</v>
      </c>
      <c r="C701" s="515" t="s">
        <v>880</v>
      </c>
      <c r="D701" s="518"/>
    </row>
    <row r="702" spans="1:4" ht="25.5" x14ac:dyDescent="0.25">
      <c r="A702" s="514" t="s">
        <v>2176</v>
      </c>
      <c r="B702" s="515" t="s">
        <v>2177</v>
      </c>
      <c r="C702" s="515" t="s">
        <v>880</v>
      </c>
      <c r="D702" s="518"/>
    </row>
    <row r="703" spans="1:4" ht="25.5" x14ac:dyDescent="0.25">
      <c r="A703" s="514" t="s">
        <v>2178</v>
      </c>
      <c r="B703" s="515" t="s">
        <v>2179</v>
      </c>
      <c r="C703" s="515" t="s">
        <v>880</v>
      </c>
      <c r="D703" s="518"/>
    </row>
    <row r="704" spans="1:4" ht="25.5" x14ac:dyDescent="0.25">
      <c r="A704" s="514" t="s">
        <v>2180</v>
      </c>
      <c r="B704" s="515" t="s">
        <v>2181</v>
      </c>
      <c r="C704" s="515" t="s">
        <v>880</v>
      </c>
      <c r="D704" s="518"/>
    </row>
    <row r="705" spans="1:4" ht="25.5" x14ac:dyDescent="0.25">
      <c r="A705" s="514" t="s">
        <v>2182</v>
      </c>
      <c r="B705" s="515" t="s">
        <v>2183</v>
      </c>
      <c r="C705" s="515" t="s">
        <v>880</v>
      </c>
      <c r="D705" s="518"/>
    </row>
    <row r="706" spans="1:4" ht="25.5" x14ac:dyDescent="0.25">
      <c r="A706" s="514" t="s">
        <v>2184</v>
      </c>
      <c r="B706" s="515" t="s">
        <v>2185</v>
      </c>
      <c r="C706" s="515" t="s">
        <v>880</v>
      </c>
      <c r="D706" s="518"/>
    </row>
    <row r="707" spans="1:4" ht="38.25" x14ac:dyDescent="0.25">
      <c r="A707" s="514" t="s">
        <v>2186</v>
      </c>
      <c r="B707" s="515" t="s">
        <v>2187</v>
      </c>
      <c r="C707" s="515" t="s">
        <v>880</v>
      </c>
      <c r="D707" s="518"/>
    </row>
    <row r="708" spans="1:4" ht="38.25" x14ac:dyDescent="0.25">
      <c r="A708" s="514" t="s">
        <v>2188</v>
      </c>
      <c r="B708" s="515" t="s">
        <v>2189</v>
      </c>
      <c r="C708" s="515" t="s">
        <v>880</v>
      </c>
      <c r="D708" s="518"/>
    </row>
    <row r="709" spans="1:4" ht="38.25" x14ac:dyDescent="0.25">
      <c r="A709" s="514" t="s">
        <v>2190</v>
      </c>
      <c r="B709" s="515" t="s">
        <v>2191</v>
      </c>
      <c r="C709" s="515" t="s">
        <v>880</v>
      </c>
      <c r="D709" s="518"/>
    </row>
    <row r="710" spans="1:4" ht="38.25" x14ac:dyDescent="0.25">
      <c r="A710" s="514" t="s">
        <v>2192</v>
      </c>
      <c r="B710" s="515" t="s">
        <v>2193</v>
      </c>
      <c r="C710" s="515" t="s">
        <v>880</v>
      </c>
      <c r="D710" s="518"/>
    </row>
    <row r="711" spans="1:4" ht="38.25" x14ac:dyDescent="0.25">
      <c r="A711" s="514" t="s">
        <v>2194</v>
      </c>
      <c r="B711" s="515" t="s">
        <v>2195</v>
      </c>
      <c r="C711" s="515" t="s">
        <v>880</v>
      </c>
      <c r="D711" s="518"/>
    </row>
    <row r="712" spans="1:4" ht="38.25" x14ac:dyDescent="0.25">
      <c r="A712" s="514" t="s">
        <v>2196</v>
      </c>
      <c r="B712" s="515" t="s">
        <v>2197</v>
      </c>
      <c r="C712" s="515" t="s">
        <v>880</v>
      </c>
      <c r="D712" s="519"/>
    </row>
    <row r="713" spans="1:4" ht="38.25" x14ac:dyDescent="0.25">
      <c r="A713" s="514" t="s">
        <v>2198</v>
      </c>
      <c r="B713" s="515" t="s">
        <v>2199</v>
      </c>
      <c r="C713" s="515" t="s">
        <v>880</v>
      </c>
      <c r="D713" s="519"/>
    </row>
    <row r="714" spans="1:4" ht="38.25" x14ac:dyDescent="0.25">
      <c r="A714" s="514" t="s">
        <v>2200</v>
      </c>
      <c r="B714" s="515" t="s">
        <v>2201</v>
      </c>
      <c r="C714" s="515" t="s">
        <v>880</v>
      </c>
      <c r="D714" s="518"/>
    </row>
    <row r="715" spans="1:4" ht="38.25" x14ac:dyDescent="0.25">
      <c r="A715" s="514" t="s">
        <v>2202</v>
      </c>
      <c r="B715" s="515" t="s">
        <v>2203</v>
      </c>
      <c r="C715" s="515" t="s">
        <v>880</v>
      </c>
      <c r="D715" s="518"/>
    </row>
    <row r="716" spans="1:4" ht="38.25" x14ac:dyDescent="0.25">
      <c r="A716" s="514" t="s">
        <v>2204</v>
      </c>
      <c r="B716" s="515" t="s">
        <v>2205</v>
      </c>
      <c r="C716" s="515" t="s">
        <v>880</v>
      </c>
      <c r="D716" s="518"/>
    </row>
    <row r="717" spans="1:4" ht="38.25" x14ac:dyDescent="0.25">
      <c r="A717" s="514" t="s">
        <v>2206</v>
      </c>
      <c r="B717" s="515" t="s">
        <v>2207</v>
      </c>
      <c r="C717" s="515" t="s">
        <v>880</v>
      </c>
      <c r="D717" s="518"/>
    </row>
    <row r="718" spans="1:4" ht="38.25" x14ac:dyDescent="0.25">
      <c r="A718" s="514" t="s">
        <v>2208</v>
      </c>
      <c r="B718" s="515" t="s">
        <v>2209</v>
      </c>
      <c r="C718" s="515" t="s">
        <v>880</v>
      </c>
      <c r="D718" s="518"/>
    </row>
    <row r="719" spans="1:4" ht="25.5" x14ac:dyDescent="0.25">
      <c r="A719" s="514" t="s">
        <v>2210</v>
      </c>
      <c r="B719" s="515" t="s">
        <v>2211</v>
      </c>
      <c r="C719" s="515" t="s">
        <v>880</v>
      </c>
      <c r="D719" s="518"/>
    </row>
    <row r="720" spans="1:4" ht="25.5" x14ac:dyDescent="0.25">
      <c r="A720" s="514" t="s">
        <v>2212</v>
      </c>
      <c r="B720" s="515" t="s">
        <v>2213</v>
      </c>
      <c r="C720" s="515" t="s">
        <v>880</v>
      </c>
      <c r="D720" s="518"/>
    </row>
    <row r="721" spans="1:4" ht="25.5" x14ac:dyDescent="0.25">
      <c r="A721" s="514" t="s">
        <v>2214</v>
      </c>
      <c r="B721" s="515" t="s">
        <v>2215</v>
      </c>
      <c r="C721" s="515" t="s">
        <v>880</v>
      </c>
      <c r="D721" s="518"/>
    </row>
    <row r="722" spans="1:4" ht="25.5" x14ac:dyDescent="0.25">
      <c r="A722" s="514" t="s">
        <v>2216</v>
      </c>
      <c r="B722" s="515" t="s">
        <v>2217</v>
      </c>
      <c r="C722" s="515" t="s">
        <v>880</v>
      </c>
      <c r="D722" s="518"/>
    </row>
    <row r="723" spans="1:4" ht="25.5" x14ac:dyDescent="0.25">
      <c r="A723" s="514" t="s">
        <v>2218</v>
      </c>
      <c r="B723" s="515" t="s">
        <v>2219</v>
      </c>
      <c r="C723" s="515" t="s">
        <v>880</v>
      </c>
      <c r="D723" s="518"/>
    </row>
    <row r="724" spans="1:4" ht="25.5" x14ac:dyDescent="0.25">
      <c r="A724" s="514" t="s">
        <v>2220</v>
      </c>
      <c r="B724" s="515" t="s">
        <v>2221</v>
      </c>
      <c r="C724" s="515" t="s">
        <v>880</v>
      </c>
      <c r="D724" s="518"/>
    </row>
    <row r="725" spans="1:4" ht="25.5" x14ac:dyDescent="0.25">
      <c r="A725" s="514" t="s">
        <v>2222</v>
      </c>
      <c r="B725" s="515" t="s">
        <v>2223</v>
      </c>
      <c r="C725" s="515" t="s">
        <v>880</v>
      </c>
      <c r="D725" s="518"/>
    </row>
    <row r="726" spans="1:4" ht="25.5" x14ac:dyDescent="0.25">
      <c r="A726" s="514" t="s">
        <v>2224</v>
      </c>
      <c r="B726" s="515" t="s">
        <v>2225</v>
      </c>
      <c r="C726" s="515" t="s">
        <v>880</v>
      </c>
      <c r="D726" s="518"/>
    </row>
    <row r="727" spans="1:4" ht="25.5" x14ac:dyDescent="0.25">
      <c r="A727" s="514" t="s">
        <v>2226</v>
      </c>
      <c r="B727" s="515" t="s">
        <v>2227</v>
      </c>
      <c r="C727" s="515" t="s">
        <v>880</v>
      </c>
      <c r="D727" s="518"/>
    </row>
    <row r="728" spans="1:4" ht="25.5" x14ac:dyDescent="0.25">
      <c r="A728" s="514" t="s">
        <v>2228</v>
      </c>
      <c r="B728" s="515" t="s">
        <v>2229</v>
      </c>
      <c r="C728" s="515" t="s">
        <v>880</v>
      </c>
      <c r="D728" s="518"/>
    </row>
    <row r="729" spans="1:4" ht="38.25" x14ac:dyDescent="0.25">
      <c r="A729" s="514" t="s">
        <v>2230</v>
      </c>
      <c r="B729" s="515" t="s">
        <v>2231</v>
      </c>
      <c r="C729" s="515" t="s">
        <v>880</v>
      </c>
      <c r="D729" s="518"/>
    </row>
    <row r="730" spans="1:4" ht="38.25" x14ac:dyDescent="0.25">
      <c r="A730" s="514" t="s">
        <v>2232</v>
      </c>
      <c r="B730" s="515" t="s">
        <v>2233</v>
      </c>
      <c r="C730" s="515" t="s">
        <v>880</v>
      </c>
      <c r="D730" s="518"/>
    </row>
    <row r="731" spans="1:4" ht="38.25" x14ac:dyDescent="0.25">
      <c r="A731" s="514" t="s">
        <v>2234</v>
      </c>
      <c r="B731" s="515" t="s">
        <v>2235</v>
      </c>
      <c r="C731" s="515" t="s">
        <v>880</v>
      </c>
      <c r="D731" s="518"/>
    </row>
    <row r="732" spans="1:4" ht="38.25" x14ac:dyDescent="0.25">
      <c r="A732" s="514" t="s">
        <v>2236</v>
      </c>
      <c r="B732" s="515" t="s">
        <v>2237</v>
      </c>
      <c r="C732" s="515" t="s">
        <v>880</v>
      </c>
      <c r="D732" s="518"/>
    </row>
    <row r="733" spans="1:4" ht="25.5" x14ac:dyDescent="0.25">
      <c r="A733" s="514" t="s">
        <v>2238</v>
      </c>
      <c r="B733" s="515" t="s">
        <v>2239</v>
      </c>
      <c r="C733" s="515" t="s">
        <v>880</v>
      </c>
      <c r="D733" s="518"/>
    </row>
    <row r="734" spans="1:4" ht="25.5" x14ac:dyDescent="0.25">
      <c r="A734" s="514" t="s">
        <v>2240</v>
      </c>
      <c r="B734" s="515" t="s">
        <v>2241</v>
      </c>
      <c r="C734" s="515" t="s">
        <v>880</v>
      </c>
      <c r="D734" s="518"/>
    </row>
    <row r="735" spans="1:4" ht="25.5" x14ac:dyDescent="0.25">
      <c r="A735" s="514" t="s">
        <v>2242</v>
      </c>
      <c r="B735" s="515" t="s">
        <v>2243</v>
      </c>
      <c r="C735" s="515" t="s">
        <v>880</v>
      </c>
      <c r="D735" s="518"/>
    </row>
    <row r="736" spans="1:4" ht="25.5" x14ac:dyDescent="0.25">
      <c r="A736" s="514" t="s">
        <v>2244</v>
      </c>
      <c r="B736" s="515" t="s">
        <v>2245</v>
      </c>
      <c r="C736" s="515" t="s">
        <v>880</v>
      </c>
      <c r="D736" s="518"/>
    </row>
    <row r="737" spans="1:4" ht="38.25" x14ac:dyDescent="0.25">
      <c r="A737" s="514" t="s">
        <v>2246</v>
      </c>
      <c r="B737" s="515" t="s">
        <v>2247</v>
      </c>
      <c r="C737" s="515" t="s">
        <v>880</v>
      </c>
      <c r="D737" s="519"/>
    </row>
    <row r="738" spans="1:4" ht="38.25" x14ac:dyDescent="0.25">
      <c r="A738" s="514" t="s">
        <v>2248</v>
      </c>
      <c r="B738" s="515" t="s">
        <v>2249</v>
      </c>
      <c r="C738" s="515" t="s">
        <v>880</v>
      </c>
      <c r="D738" s="519"/>
    </row>
    <row r="739" spans="1:4" ht="38.25" x14ac:dyDescent="0.25">
      <c r="A739" s="514" t="s">
        <v>2250</v>
      </c>
      <c r="B739" s="515" t="s">
        <v>2251</v>
      </c>
      <c r="C739" s="515" t="s">
        <v>880</v>
      </c>
      <c r="D739" s="518"/>
    </row>
    <row r="740" spans="1:4" ht="38.25" x14ac:dyDescent="0.25">
      <c r="A740" s="514" t="s">
        <v>2252</v>
      </c>
      <c r="B740" s="515" t="s">
        <v>2253</v>
      </c>
      <c r="C740" s="515" t="s">
        <v>880</v>
      </c>
      <c r="D740" s="518"/>
    </row>
    <row r="741" spans="1:4" s="512" customFormat="1" x14ac:dyDescent="0.25">
      <c r="A741" s="511" t="s">
        <v>2254</v>
      </c>
      <c r="B741" s="843" t="s">
        <v>2255</v>
      </c>
      <c r="C741" s="844"/>
      <c r="D741" s="845"/>
    </row>
    <row r="742" spans="1:4" s="512" customFormat="1" x14ac:dyDescent="0.25">
      <c r="A742" s="511" t="s">
        <v>2256</v>
      </c>
      <c r="B742" s="843" t="s">
        <v>2257</v>
      </c>
      <c r="C742" s="844"/>
      <c r="D742" s="845"/>
    </row>
    <row r="743" spans="1:4" x14ac:dyDescent="0.25">
      <c r="A743" s="514" t="s">
        <v>2258</v>
      </c>
      <c r="B743" s="515" t="s">
        <v>2259</v>
      </c>
      <c r="C743" s="515" t="s">
        <v>971</v>
      </c>
      <c r="D743" s="519"/>
    </row>
    <row r="744" spans="1:4" x14ac:dyDescent="0.25">
      <c r="A744" s="514" t="s">
        <v>2260</v>
      </c>
      <c r="B744" s="515" t="s">
        <v>2261</v>
      </c>
      <c r="C744" s="515" t="s">
        <v>971</v>
      </c>
      <c r="D744" s="518"/>
    </row>
    <row r="745" spans="1:4" s="512" customFormat="1" x14ac:dyDescent="0.25">
      <c r="A745" s="511" t="s">
        <v>2262</v>
      </c>
      <c r="B745" s="843" t="s">
        <v>2263</v>
      </c>
      <c r="C745" s="844"/>
      <c r="D745" s="845"/>
    </row>
    <row r="746" spans="1:4" s="512" customFormat="1" ht="26.25" customHeight="1" x14ac:dyDescent="0.25">
      <c r="A746" s="511" t="s">
        <v>2264</v>
      </c>
      <c r="B746" s="843" t="s">
        <v>2265</v>
      </c>
      <c r="C746" s="844"/>
      <c r="D746" s="845"/>
    </row>
    <row r="747" spans="1:4" ht="25.5" x14ac:dyDescent="0.25">
      <c r="A747" s="514" t="s">
        <v>2266</v>
      </c>
      <c r="B747" s="515" t="s">
        <v>2267</v>
      </c>
      <c r="C747" s="515" t="s">
        <v>920</v>
      </c>
      <c r="D747" s="519"/>
    </row>
    <row r="748" spans="1:4" ht="25.5" x14ac:dyDescent="0.25">
      <c r="A748" s="514" t="s">
        <v>2268</v>
      </c>
      <c r="B748" s="515" t="s">
        <v>2269</v>
      </c>
      <c r="C748" s="515" t="s">
        <v>920</v>
      </c>
      <c r="D748" s="519"/>
    </row>
    <row r="749" spans="1:4" ht="25.5" x14ac:dyDescent="0.25">
      <c r="A749" s="514" t="s">
        <v>2270</v>
      </c>
      <c r="B749" s="515" t="s">
        <v>2271</v>
      </c>
      <c r="C749" s="515" t="s">
        <v>920</v>
      </c>
      <c r="D749" s="519"/>
    </row>
    <row r="750" spans="1:4" ht="25.5" x14ac:dyDescent="0.25">
      <c r="A750" s="514" t="s">
        <v>2272</v>
      </c>
      <c r="B750" s="515" t="s">
        <v>2273</v>
      </c>
      <c r="C750" s="515" t="s">
        <v>920</v>
      </c>
      <c r="D750" s="519"/>
    </row>
    <row r="751" spans="1:4" s="512" customFormat="1" ht="28.5" customHeight="1" x14ac:dyDescent="0.25">
      <c r="A751" s="511" t="s">
        <v>2274</v>
      </c>
      <c r="B751" s="843" t="s">
        <v>2275</v>
      </c>
      <c r="C751" s="844"/>
      <c r="D751" s="845"/>
    </row>
    <row r="752" spans="1:4" ht="25.5" x14ac:dyDescent="0.25">
      <c r="A752" s="514" t="s">
        <v>2276</v>
      </c>
      <c r="B752" s="515" t="s">
        <v>2277</v>
      </c>
      <c r="C752" s="515" t="s">
        <v>920</v>
      </c>
      <c r="D752" s="519"/>
    </row>
    <row r="753" spans="1:4" ht="25.5" x14ac:dyDescent="0.25">
      <c r="A753" s="514" t="s">
        <v>2278</v>
      </c>
      <c r="B753" s="515" t="s">
        <v>2279</v>
      </c>
      <c r="C753" s="515" t="s">
        <v>920</v>
      </c>
      <c r="D753" s="519"/>
    </row>
    <row r="754" spans="1:4" ht="25.5" x14ac:dyDescent="0.25">
      <c r="A754" s="514" t="s">
        <v>2280</v>
      </c>
      <c r="B754" s="515" t="s">
        <v>2281</v>
      </c>
      <c r="C754" s="515" t="s">
        <v>920</v>
      </c>
      <c r="D754" s="519"/>
    </row>
    <row r="755" spans="1:4" ht="25.5" x14ac:dyDescent="0.25">
      <c r="A755" s="514" t="s">
        <v>2282</v>
      </c>
      <c r="B755" s="515" t="s">
        <v>2283</v>
      </c>
      <c r="C755" s="515" t="s">
        <v>920</v>
      </c>
      <c r="D755" s="519"/>
    </row>
    <row r="756" spans="1:4" ht="25.5" x14ac:dyDescent="0.25">
      <c r="A756" s="514" t="s">
        <v>2284</v>
      </c>
      <c r="B756" s="515" t="s">
        <v>2285</v>
      </c>
      <c r="C756" s="515" t="s">
        <v>920</v>
      </c>
      <c r="D756" s="519"/>
    </row>
    <row r="757" spans="1:4" ht="25.5" x14ac:dyDescent="0.25">
      <c r="A757" s="514" t="s">
        <v>2286</v>
      </c>
      <c r="B757" s="515" t="s">
        <v>2287</v>
      </c>
      <c r="C757" s="515" t="s">
        <v>920</v>
      </c>
      <c r="D757" s="519"/>
    </row>
    <row r="758" spans="1:4" ht="25.5" x14ac:dyDescent="0.25">
      <c r="A758" s="514" t="s">
        <v>2288</v>
      </c>
      <c r="B758" s="515" t="s">
        <v>2289</v>
      </c>
      <c r="C758" s="515" t="s">
        <v>920</v>
      </c>
      <c r="D758" s="519"/>
    </row>
    <row r="759" spans="1:4" s="512" customFormat="1" x14ac:dyDescent="0.25">
      <c r="A759" s="511" t="s">
        <v>2290</v>
      </c>
      <c r="B759" s="843" t="s">
        <v>2291</v>
      </c>
      <c r="C759" s="844"/>
      <c r="D759" s="845"/>
    </row>
    <row r="760" spans="1:4" s="512" customFormat="1" x14ac:dyDescent="0.25">
      <c r="A760" s="511" t="s">
        <v>2292</v>
      </c>
      <c r="B760" s="843" t="s">
        <v>2293</v>
      </c>
      <c r="C760" s="844"/>
      <c r="D760" s="845"/>
    </row>
    <row r="761" spans="1:4" ht="25.5" x14ac:dyDescent="0.25">
      <c r="A761" s="514" t="s">
        <v>2294</v>
      </c>
      <c r="B761" s="515" t="s">
        <v>2295</v>
      </c>
      <c r="C761" s="515" t="s">
        <v>688</v>
      </c>
      <c r="D761" s="518"/>
    </row>
    <row r="762" spans="1:4" ht="25.5" x14ac:dyDescent="0.25">
      <c r="A762" s="514" t="s">
        <v>2296</v>
      </c>
      <c r="B762" s="515" t="s">
        <v>2297</v>
      </c>
      <c r="C762" s="515" t="s">
        <v>688</v>
      </c>
      <c r="D762" s="518"/>
    </row>
    <row r="763" spans="1:4" s="512" customFormat="1" x14ac:dyDescent="0.25">
      <c r="A763" s="511" t="s">
        <v>2298</v>
      </c>
      <c r="B763" s="843" t="s">
        <v>2299</v>
      </c>
      <c r="C763" s="844"/>
      <c r="D763" s="845"/>
    </row>
    <row r="764" spans="1:4" ht="25.5" x14ac:dyDescent="0.25">
      <c r="A764" s="514" t="s">
        <v>2300</v>
      </c>
      <c r="B764" s="515" t="s">
        <v>2301</v>
      </c>
      <c r="C764" s="515" t="s">
        <v>880</v>
      </c>
      <c r="D764" s="518"/>
    </row>
    <row r="765" spans="1:4" ht="25.5" x14ac:dyDescent="0.25">
      <c r="A765" s="514" t="s">
        <v>2302</v>
      </c>
      <c r="B765" s="515" t="s">
        <v>2303</v>
      </c>
      <c r="C765" s="515" t="s">
        <v>880</v>
      </c>
      <c r="D765" s="518"/>
    </row>
    <row r="766" spans="1:4" ht="25.5" x14ac:dyDescent="0.25">
      <c r="A766" s="514" t="s">
        <v>2304</v>
      </c>
      <c r="B766" s="515" t="s">
        <v>2305</v>
      </c>
      <c r="C766" s="515" t="s">
        <v>880</v>
      </c>
      <c r="D766" s="518"/>
    </row>
    <row r="767" spans="1:4" ht="25.5" x14ac:dyDescent="0.25">
      <c r="A767" s="514" t="s">
        <v>2306</v>
      </c>
      <c r="B767" s="515" t="s">
        <v>2307</v>
      </c>
      <c r="C767" s="515" t="s">
        <v>880</v>
      </c>
      <c r="D767" s="518"/>
    </row>
    <row r="768" spans="1:4" ht="25.5" x14ac:dyDescent="0.25">
      <c r="A768" s="514" t="s">
        <v>2308</v>
      </c>
      <c r="B768" s="515" t="s">
        <v>2309</v>
      </c>
      <c r="C768" s="515" t="s">
        <v>880</v>
      </c>
      <c r="D768" s="518"/>
    </row>
    <row r="769" spans="1:4" ht="25.5" x14ac:dyDescent="0.25">
      <c r="A769" s="514" t="s">
        <v>2310</v>
      </c>
      <c r="B769" s="515" t="s">
        <v>2311</v>
      </c>
      <c r="C769" s="515" t="s">
        <v>880</v>
      </c>
      <c r="D769" s="518"/>
    </row>
    <row r="770" spans="1:4" ht="25.5" x14ac:dyDescent="0.25">
      <c r="A770" s="514" t="s">
        <v>2312</v>
      </c>
      <c r="B770" s="515" t="s">
        <v>2313</v>
      </c>
      <c r="C770" s="515" t="s">
        <v>880</v>
      </c>
      <c r="D770" s="518"/>
    </row>
    <row r="771" spans="1:4" s="512" customFormat="1" x14ac:dyDescent="0.25">
      <c r="A771" s="511" t="s">
        <v>2314</v>
      </c>
      <c r="B771" s="843" t="s">
        <v>2315</v>
      </c>
      <c r="C771" s="844"/>
      <c r="D771" s="845"/>
    </row>
    <row r="772" spans="1:4" ht="25.5" x14ac:dyDescent="0.25">
      <c r="A772" s="514" t="s">
        <v>2316</v>
      </c>
      <c r="B772" s="515" t="s">
        <v>2317</v>
      </c>
      <c r="C772" s="515" t="s">
        <v>688</v>
      </c>
      <c r="D772" s="518"/>
    </row>
    <row r="773" spans="1:4" ht="25.5" x14ac:dyDescent="0.25">
      <c r="A773" s="514" t="s">
        <v>2318</v>
      </c>
      <c r="B773" s="515" t="s">
        <v>2319</v>
      </c>
      <c r="C773" s="515" t="s">
        <v>688</v>
      </c>
      <c r="D773" s="518"/>
    </row>
    <row r="774" spans="1:4" s="512" customFormat="1" x14ac:dyDescent="0.25">
      <c r="A774" s="511" t="s">
        <v>2320</v>
      </c>
      <c r="B774" s="843" t="s">
        <v>2321</v>
      </c>
      <c r="C774" s="844"/>
      <c r="D774" s="845"/>
    </row>
    <row r="775" spans="1:4" ht="25.5" x14ac:dyDescent="0.25">
      <c r="A775" s="514" t="s">
        <v>2322</v>
      </c>
      <c r="B775" s="515" t="s">
        <v>2323</v>
      </c>
      <c r="C775" s="515" t="s">
        <v>688</v>
      </c>
      <c r="D775" s="519"/>
    </row>
    <row r="776" spans="1:4" ht="25.5" x14ac:dyDescent="0.25">
      <c r="A776" s="514" t="s">
        <v>2324</v>
      </c>
      <c r="B776" s="515" t="s">
        <v>2325</v>
      </c>
      <c r="C776" s="515" t="s">
        <v>688</v>
      </c>
      <c r="D776" s="518"/>
    </row>
    <row r="777" spans="1:4" ht="25.5" x14ac:dyDescent="0.25">
      <c r="A777" s="514" t="s">
        <v>2326</v>
      </c>
      <c r="B777" s="515" t="s">
        <v>2327</v>
      </c>
      <c r="C777" s="515" t="s">
        <v>688</v>
      </c>
      <c r="D777" s="518"/>
    </row>
    <row r="778" spans="1:4" s="512" customFormat="1" x14ac:dyDescent="0.25">
      <c r="A778" s="511" t="s">
        <v>2328</v>
      </c>
      <c r="B778" s="843" t="s">
        <v>2329</v>
      </c>
      <c r="C778" s="844"/>
      <c r="D778" s="845"/>
    </row>
    <row r="779" spans="1:4" s="512" customFormat="1" x14ac:dyDescent="0.25">
      <c r="A779" s="511" t="s">
        <v>2330</v>
      </c>
      <c r="B779" s="843" t="s">
        <v>2331</v>
      </c>
      <c r="C779" s="844"/>
      <c r="D779" s="845"/>
    </row>
    <row r="780" spans="1:4" x14ac:dyDescent="0.25">
      <c r="A780" s="514" t="s">
        <v>2332</v>
      </c>
      <c r="B780" s="515" t="s">
        <v>2333</v>
      </c>
      <c r="C780" s="515" t="s">
        <v>931</v>
      </c>
      <c r="D780" s="518"/>
    </row>
    <row r="781" spans="1:4" x14ac:dyDescent="0.25">
      <c r="A781" s="514" t="s">
        <v>2334</v>
      </c>
      <c r="B781" s="515" t="s">
        <v>2335</v>
      </c>
      <c r="C781" s="515" t="s">
        <v>931</v>
      </c>
      <c r="D781" s="519"/>
    </row>
    <row r="782" spans="1:4" x14ac:dyDescent="0.25">
      <c r="A782" s="514" t="s">
        <v>2336</v>
      </c>
      <c r="B782" s="515" t="s">
        <v>2337</v>
      </c>
      <c r="C782" s="515" t="s">
        <v>931</v>
      </c>
      <c r="D782" s="516">
        <v>9982.2999999999993</v>
      </c>
    </row>
    <row r="783" spans="1:4" x14ac:dyDescent="0.25">
      <c r="A783" s="514" t="s">
        <v>2338</v>
      </c>
      <c r="B783" s="515" t="s">
        <v>2339</v>
      </c>
      <c r="C783" s="515" t="s">
        <v>931</v>
      </c>
      <c r="D783" s="519"/>
    </row>
    <row r="784" spans="1:4" s="533" customFormat="1" x14ac:dyDescent="0.25">
      <c r="A784" s="531" t="s">
        <v>2340</v>
      </c>
      <c r="B784" s="532" t="s">
        <v>2341</v>
      </c>
      <c r="C784" s="532" t="s">
        <v>931</v>
      </c>
      <c r="D784" s="534"/>
    </row>
    <row r="785" spans="1:4" x14ac:dyDescent="0.25">
      <c r="A785" s="514" t="s">
        <v>2342</v>
      </c>
      <c r="B785" s="515" t="s">
        <v>2343</v>
      </c>
      <c r="C785" s="515" t="s">
        <v>931</v>
      </c>
      <c r="D785" s="518"/>
    </row>
    <row r="786" spans="1:4" s="512" customFormat="1" x14ac:dyDescent="0.25">
      <c r="A786" s="511" t="s">
        <v>2344</v>
      </c>
      <c r="B786" s="843" t="s">
        <v>2345</v>
      </c>
      <c r="C786" s="844"/>
      <c r="D786" s="845"/>
    </row>
    <row r="787" spans="1:4" x14ac:dyDescent="0.25">
      <c r="A787" s="514" t="s">
        <v>2346</v>
      </c>
      <c r="B787" s="515" t="s">
        <v>2347</v>
      </c>
      <c r="C787" s="515" t="s">
        <v>931</v>
      </c>
      <c r="D787" s="518"/>
    </row>
    <row r="788" spans="1:4" x14ac:dyDescent="0.25">
      <c r="A788" s="514" t="s">
        <v>2348</v>
      </c>
      <c r="B788" s="515" t="s">
        <v>2349</v>
      </c>
      <c r="C788" s="515" t="s">
        <v>931</v>
      </c>
      <c r="D788" s="518"/>
    </row>
    <row r="789" spans="1:4" x14ac:dyDescent="0.25">
      <c r="A789" s="514" t="s">
        <v>2350</v>
      </c>
      <c r="B789" s="515" t="s">
        <v>2351</v>
      </c>
      <c r="C789" s="515" t="s">
        <v>931</v>
      </c>
      <c r="D789" s="518"/>
    </row>
    <row r="790" spans="1:4" x14ac:dyDescent="0.25">
      <c r="A790" s="514" t="s">
        <v>2352</v>
      </c>
      <c r="B790" s="515" t="s">
        <v>2353</v>
      </c>
      <c r="C790" s="515" t="s">
        <v>931</v>
      </c>
      <c r="D790" s="518"/>
    </row>
    <row r="791" spans="1:4" x14ac:dyDescent="0.25">
      <c r="A791" s="514" t="s">
        <v>2354</v>
      </c>
      <c r="B791" s="515" t="s">
        <v>2355</v>
      </c>
      <c r="C791" s="515" t="s">
        <v>931</v>
      </c>
      <c r="D791" s="518"/>
    </row>
    <row r="792" spans="1:4" x14ac:dyDescent="0.25">
      <c r="A792" s="514" t="s">
        <v>2356</v>
      </c>
      <c r="B792" s="515" t="s">
        <v>2357</v>
      </c>
      <c r="C792" s="515" t="s">
        <v>931</v>
      </c>
      <c r="D792" s="518"/>
    </row>
    <row r="793" spans="1:4" x14ac:dyDescent="0.25">
      <c r="A793" s="514" t="s">
        <v>2358</v>
      </c>
      <c r="B793" s="515" t="s">
        <v>2359</v>
      </c>
      <c r="C793" s="515" t="s">
        <v>931</v>
      </c>
      <c r="D793" s="518"/>
    </row>
    <row r="794" spans="1:4" x14ac:dyDescent="0.25">
      <c r="A794" s="514" t="s">
        <v>2360</v>
      </c>
      <c r="B794" s="515" t="s">
        <v>2361</v>
      </c>
      <c r="C794" s="515" t="s">
        <v>931</v>
      </c>
      <c r="D794" s="518"/>
    </row>
    <row r="795" spans="1:4" x14ac:dyDescent="0.25">
      <c r="A795" s="514" t="s">
        <v>2362</v>
      </c>
      <c r="B795" s="515" t="s">
        <v>2363</v>
      </c>
      <c r="C795" s="515" t="s">
        <v>931</v>
      </c>
      <c r="D795" s="516">
        <v>4761</v>
      </c>
    </row>
    <row r="796" spans="1:4" x14ac:dyDescent="0.25">
      <c r="A796" s="514" t="s">
        <v>2364</v>
      </c>
      <c r="B796" s="515" t="s">
        <v>2365</v>
      </c>
      <c r="C796" s="515" t="s">
        <v>931</v>
      </c>
      <c r="D796" s="518"/>
    </row>
    <row r="797" spans="1:4" x14ac:dyDescent="0.25">
      <c r="A797" s="514" t="s">
        <v>2366</v>
      </c>
      <c r="B797" s="515" t="s">
        <v>2367</v>
      </c>
      <c r="C797" s="515" t="s">
        <v>931</v>
      </c>
      <c r="D797" s="518"/>
    </row>
    <row r="798" spans="1:4" x14ac:dyDescent="0.25">
      <c r="A798" s="514" t="s">
        <v>2368</v>
      </c>
      <c r="B798" s="515" t="s">
        <v>2369</v>
      </c>
      <c r="C798" s="515" t="s">
        <v>931</v>
      </c>
      <c r="D798" s="518"/>
    </row>
    <row r="799" spans="1:4" x14ac:dyDescent="0.25">
      <c r="A799" s="514" t="s">
        <v>2370</v>
      </c>
      <c r="B799" s="515" t="s">
        <v>2371</v>
      </c>
      <c r="C799" s="515" t="s">
        <v>931</v>
      </c>
      <c r="D799" s="518"/>
    </row>
    <row r="800" spans="1:4" x14ac:dyDescent="0.25">
      <c r="A800" s="514" t="s">
        <v>2372</v>
      </c>
      <c r="B800" s="515" t="s">
        <v>2373</v>
      </c>
      <c r="C800" s="515" t="s">
        <v>931</v>
      </c>
      <c r="D800" s="518"/>
    </row>
    <row r="801" spans="1:4" x14ac:dyDescent="0.25">
      <c r="A801" s="514" t="s">
        <v>2374</v>
      </c>
      <c r="B801" s="515" t="s">
        <v>2375</v>
      </c>
      <c r="C801" s="515" t="s">
        <v>931</v>
      </c>
      <c r="D801" s="518"/>
    </row>
    <row r="802" spans="1:4" x14ac:dyDescent="0.25">
      <c r="A802" s="514" t="s">
        <v>2376</v>
      </c>
      <c r="B802" s="515" t="s">
        <v>2377</v>
      </c>
      <c r="C802" s="515" t="s">
        <v>931</v>
      </c>
      <c r="D802" s="518"/>
    </row>
    <row r="803" spans="1:4" ht="25.5" x14ac:dyDescent="0.25">
      <c r="A803" s="514" t="s">
        <v>2378</v>
      </c>
      <c r="B803" s="526" t="s">
        <v>2379</v>
      </c>
      <c r="C803" s="515" t="s">
        <v>931</v>
      </c>
      <c r="D803" s="516">
        <v>26182</v>
      </c>
    </row>
    <row r="804" spans="1:4" s="512" customFormat="1" x14ac:dyDescent="0.25">
      <c r="A804" s="514" t="s">
        <v>2380</v>
      </c>
      <c r="B804" s="526" t="s">
        <v>2381</v>
      </c>
      <c r="C804" s="515" t="s">
        <v>42</v>
      </c>
      <c r="D804" s="516" t="e">
        <f>#REF!</f>
        <v>#REF!</v>
      </c>
    </row>
    <row r="805" spans="1:4" x14ac:dyDescent="0.25">
      <c r="A805" s="511" t="s">
        <v>2382</v>
      </c>
      <c r="B805" s="591" t="s">
        <v>2383</v>
      </c>
      <c r="C805" s="592"/>
      <c r="D805" s="519"/>
    </row>
    <row r="806" spans="1:4" s="512" customFormat="1" x14ac:dyDescent="0.25">
      <c r="A806" s="511" t="s">
        <v>2384</v>
      </c>
      <c r="B806" s="520" t="s">
        <v>2385</v>
      </c>
      <c r="C806" s="515" t="s">
        <v>971</v>
      </c>
      <c r="D806" s="593"/>
    </row>
    <row r="807" spans="1:4" x14ac:dyDescent="0.25">
      <c r="A807" s="511" t="s">
        <v>2386</v>
      </c>
      <c r="B807" s="591" t="s">
        <v>2387</v>
      </c>
      <c r="C807" s="592"/>
      <c r="D807" s="519"/>
    </row>
    <row r="808" spans="1:4" x14ac:dyDescent="0.25">
      <c r="A808" s="514" t="s">
        <v>2388</v>
      </c>
      <c r="B808" s="515" t="s">
        <v>2389</v>
      </c>
      <c r="C808" s="515" t="s">
        <v>931</v>
      </c>
      <c r="D808" s="518"/>
    </row>
    <row r="809" spans="1:4" x14ac:dyDescent="0.25">
      <c r="A809" s="514" t="s">
        <v>2390</v>
      </c>
      <c r="B809" s="515" t="s">
        <v>2391</v>
      </c>
      <c r="C809" s="515" t="s">
        <v>931</v>
      </c>
      <c r="D809" s="519"/>
    </row>
    <row r="810" spans="1:4" s="512" customFormat="1" ht="25.5" x14ac:dyDescent="0.25">
      <c r="A810" s="511" t="s">
        <v>2392</v>
      </c>
      <c r="B810" s="520" t="s">
        <v>2393</v>
      </c>
      <c r="C810" s="515" t="s">
        <v>971</v>
      </c>
      <c r="D810" s="593"/>
    </row>
    <row r="811" spans="1:4" ht="25.5" x14ac:dyDescent="0.25">
      <c r="A811" s="511" t="s">
        <v>2394</v>
      </c>
      <c r="B811" s="591" t="s">
        <v>2395</v>
      </c>
      <c r="C811" s="592"/>
      <c r="D811" s="518"/>
    </row>
    <row r="812" spans="1:4" ht="25.5" x14ac:dyDescent="0.25">
      <c r="A812" s="514" t="s">
        <v>2396</v>
      </c>
      <c r="B812" s="515" t="s">
        <v>2397</v>
      </c>
      <c r="C812" s="515" t="s">
        <v>971</v>
      </c>
      <c r="D812" s="518"/>
    </row>
    <row r="813" spans="1:4" ht="25.5" x14ac:dyDescent="0.25">
      <c r="A813" s="514" t="s">
        <v>2398</v>
      </c>
      <c r="B813" s="515" t="s">
        <v>2399</v>
      </c>
      <c r="C813" s="515" t="s">
        <v>971</v>
      </c>
      <c r="D813" s="518"/>
    </row>
    <row r="814" spans="1:4" ht="25.5" x14ac:dyDescent="0.25">
      <c r="A814" s="514" t="s">
        <v>2400</v>
      </c>
      <c r="B814" s="515" t="s">
        <v>2401</v>
      </c>
      <c r="C814" s="515" t="s">
        <v>971</v>
      </c>
      <c r="D814" s="518"/>
    </row>
    <row r="815" spans="1:4" s="512" customFormat="1" ht="12.75" customHeight="1" x14ac:dyDescent="0.25">
      <c r="A815" s="514" t="s">
        <v>2402</v>
      </c>
      <c r="B815" s="515" t="s">
        <v>2403</v>
      </c>
      <c r="C815" s="515" t="s">
        <v>971</v>
      </c>
      <c r="D815" s="593"/>
    </row>
    <row r="816" spans="1:4" ht="25.5" x14ac:dyDescent="0.25">
      <c r="A816" s="511" t="s">
        <v>2404</v>
      </c>
      <c r="B816" s="591" t="s">
        <v>2405</v>
      </c>
      <c r="C816" s="592"/>
      <c r="D816" s="518"/>
    </row>
    <row r="817" spans="1:4" ht="38.25" x14ac:dyDescent="0.25">
      <c r="A817" s="514" t="s">
        <v>2406</v>
      </c>
      <c r="B817" s="515" t="s">
        <v>2407</v>
      </c>
      <c r="C817" s="515" t="s">
        <v>971</v>
      </c>
      <c r="D817" s="518"/>
    </row>
    <row r="818" spans="1:4" ht="38.25" x14ac:dyDescent="0.25">
      <c r="A818" s="514" t="s">
        <v>2408</v>
      </c>
      <c r="B818" s="515" t="s">
        <v>2409</v>
      </c>
      <c r="C818" s="515" t="s">
        <v>971</v>
      </c>
      <c r="D818" s="518"/>
    </row>
    <row r="819" spans="1:4" ht="38.25" x14ac:dyDescent="0.25">
      <c r="A819" s="514" t="s">
        <v>2410</v>
      </c>
      <c r="B819" s="515" t="s">
        <v>2411</v>
      </c>
      <c r="C819" s="515" t="s">
        <v>971</v>
      </c>
      <c r="D819" s="518"/>
    </row>
    <row r="820" spans="1:4" ht="38.25" x14ac:dyDescent="0.25">
      <c r="A820" s="514" t="s">
        <v>2412</v>
      </c>
      <c r="B820" s="515" t="s">
        <v>2413</v>
      </c>
      <c r="C820" s="515" t="s">
        <v>971</v>
      </c>
      <c r="D820" s="518"/>
    </row>
    <row r="821" spans="1:4" ht="38.25" x14ac:dyDescent="0.25">
      <c r="A821" s="514" t="s">
        <v>2414</v>
      </c>
      <c r="B821" s="515" t="s">
        <v>2415</v>
      </c>
      <c r="C821" s="515" t="s">
        <v>971</v>
      </c>
      <c r="D821" s="518"/>
    </row>
    <row r="822" spans="1:4" ht="38.25" x14ac:dyDescent="0.25">
      <c r="A822" s="514" t="s">
        <v>2416</v>
      </c>
      <c r="B822" s="515" t="s">
        <v>2417</v>
      </c>
      <c r="C822" s="515" t="s">
        <v>971</v>
      </c>
      <c r="D822" s="518"/>
    </row>
    <row r="823" spans="1:4" ht="38.25" x14ac:dyDescent="0.25">
      <c r="A823" s="514" t="s">
        <v>2418</v>
      </c>
      <c r="B823" s="515" t="s">
        <v>2419</v>
      </c>
      <c r="C823" s="515" t="s">
        <v>971</v>
      </c>
      <c r="D823" s="518"/>
    </row>
    <row r="824" spans="1:4" ht="38.25" x14ac:dyDescent="0.25">
      <c r="A824" s="514" t="s">
        <v>2420</v>
      </c>
      <c r="B824" s="515" t="s">
        <v>2421</v>
      </c>
      <c r="C824" s="515" t="s">
        <v>971</v>
      </c>
      <c r="D824" s="518"/>
    </row>
    <row r="825" spans="1:4" ht="38.25" x14ac:dyDescent="0.25">
      <c r="A825" s="514" t="s">
        <v>2422</v>
      </c>
      <c r="B825" s="515" t="s">
        <v>2423</v>
      </c>
      <c r="C825" s="515" t="s">
        <v>971</v>
      </c>
      <c r="D825" s="518"/>
    </row>
    <row r="826" spans="1:4" ht="38.25" x14ac:dyDescent="0.25">
      <c r="A826" s="514" t="s">
        <v>2424</v>
      </c>
      <c r="B826" s="515" t="s">
        <v>2425</v>
      </c>
      <c r="C826" s="515" t="s">
        <v>971</v>
      </c>
      <c r="D826" s="518"/>
    </row>
    <row r="827" spans="1:4" ht="38.25" x14ac:dyDescent="0.25">
      <c r="A827" s="514" t="s">
        <v>2426</v>
      </c>
      <c r="B827" s="515" t="s">
        <v>2427</v>
      </c>
      <c r="C827" s="515" t="s">
        <v>971</v>
      </c>
      <c r="D827" s="518"/>
    </row>
    <row r="828" spans="1:4" s="512" customFormat="1" ht="38.25" x14ac:dyDescent="0.25">
      <c r="A828" s="514" t="s">
        <v>2428</v>
      </c>
      <c r="B828" s="515" t="s">
        <v>2429</v>
      </c>
      <c r="C828" s="515" t="s">
        <v>971</v>
      </c>
      <c r="D828" s="528"/>
    </row>
    <row r="829" spans="1:4" s="512" customFormat="1" ht="25.5" x14ac:dyDescent="0.25">
      <c r="A829" s="511" t="s">
        <v>2430</v>
      </c>
      <c r="B829" s="520" t="s">
        <v>2431</v>
      </c>
      <c r="C829" s="520" t="s">
        <v>971</v>
      </c>
      <c r="D829" s="528"/>
    </row>
    <row r="830" spans="1:4" s="512" customFormat="1" ht="12.75" customHeight="1" x14ac:dyDescent="0.25">
      <c r="A830" s="511" t="s">
        <v>2432</v>
      </c>
      <c r="B830" s="520" t="s">
        <v>2433</v>
      </c>
      <c r="C830" s="520" t="s">
        <v>971</v>
      </c>
      <c r="D830" s="593"/>
    </row>
    <row r="831" spans="1:4" ht="25.5" x14ac:dyDescent="0.25">
      <c r="A831" s="511" t="s">
        <v>2434</v>
      </c>
      <c r="B831" s="591" t="s">
        <v>2435</v>
      </c>
      <c r="C831" s="592"/>
      <c r="D831" s="518"/>
    </row>
    <row r="832" spans="1:4" ht="25.5" x14ac:dyDescent="0.25">
      <c r="A832" s="514" t="s">
        <v>2436</v>
      </c>
      <c r="B832" s="515" t="s">
        <v>2437</v>
      </c>
      <c r="C832" s="515" t="s">
        <v>931</v>
      </c>
      <c r="D832" s="518"/>
    </row>
    <row r="833" spans="1:4" s="512" customFormat="1" ht="25.5" x14ac:dyDescent="0.25">
      <c r="A833" s="514" t="s">
        <v>2438</v>
      </c>
      <c r="B833" s="515" t="s">
        <v>2439</v>
      </c>
      <c r="C833" s="515" t="s">
        <v>931</v>
      </c>
      <c r="D833" s="528"/>
    </row>
    <row r="834" spans="1:4" s="512" customFormat="1" x14ac:dyDescent="0.25">
      <c r="A834" s="511" t="s">
        <v>2440</v>
      </c>
      <c r="B834" s="520" t="s">
        <v>2441</v>
      </c>
      <c r="C834" s="520" t="s">
        <v>971</v>
      </c>
      <c r="D834" s="593"/>
    </row>
    <row r="835" spans="1:4" s="512" customFormat="1" ht="26.25" customHeight="1" x14ac:dyDescent="0.25">
      <c r="A835" s="511" t="s">
        <v>361</v>
      </c>
      <c r="B835" s="591" t="s">
        <v>2442</v>
      </c>
      <c r="C835" s="592"/>
      <c r="D835" s="593"/>
    </row>
    <row r="836" spans="1:4" ht="51" x14ac:dyDescent="0.25">
      <c r="A836" s="511" t="s">
        <v>2443</v>
      </c>
      <c r="B836" s="591" t="s">
        <v>2444</v>
      </c>
      <c r="C836" s="592"/>
      <c r="D836" s="519"/>
    </row>
    <row r="837" spans="1:4" x14ac:dyDescent="0.25">
      <c r="A837" s="514" t="s">
        <v>2445</v>
      </c>
      <c r="B837" s="515" t="s">
        <v>2446</v>
      </c>
      <c r="C837" s="515" t="s">
        <v>880</v>
      </c>
      <c r="D837" s="519"/>
    </row>
    <row r="838" spans="1:4" x14ac:dyDescent="0.25">
      <c r="A838" s="514" t="s">
        <v>2447</v>
      </c>
      <c r="B838" s="515" t="s">
        <v>2448</v>
      </c>
      <c r="C838" s="515" t="s">
        <v>880</v>
      </c>
      <c r="D838" s="519"/>
    </row>
    <row r="839" spans="1:4" x14ac:dyDescent="0.25">
      <c r="A839" s="514" t="s">
        <v>2449</v>
      </c>
      <c r="B839" s="515" t="s">
        <v>2450</v>
      </c>
      <c r="C839" s="515" t="s">
        <v>880</v>
      </c>
      <c r="D839" s="519"/>
    </row>
    <row r="840" spans="1:4" x14ac:dyDescent="0.25">
      <c r="A840" s="514" t="s">
        <v>2451</v>
      </c>
      <c r="B840" s="515" t="s">
        <v>2452</v>
      </c>
      <c r="C840" s="515" t="s">
        <v>880</v>
      </c>
      <c r="D840" s="519"/>
    </row>
    <row r="841" spans="1:4" x14ac:dyDescent="0.25">
      <c r="A841" s="514" t="s">
        <v>2453</v>
      </c>
      <c r="B841" s="515" t="s">
        <v>2454</v>
      </c>
      <c r="C841" s="515" t="s">
        <v>880</v>
      </c>
      <c r="D841" s="519"/>
    </row>
    <row r="842" spans="1:4" x14ac:dyDescent="0.25">
      <c r="A842" s="514" t="s">
        <v>2455</v>
      </c>
      <c r="B842" s="515" t="s">
        <v>2456</v>
      </c>
      <c r="C842" s="515" t="s">
        <v>880</v>
      </c>
      <c r="D842" s="519"/>
    </row>
    <row r="843" spans="1:4" x14ac:dyDescent="0.25">
      <c r="A843" s="514" t="s">
        <v>2457</v>
      </c>
      <c r="B843" s="515" t="s">
        <v>2458</v>
      </c>
      <c r="C843" s="515" t="s">
        <v>880</v>
      </c>
      <c r="D843" s="519"/>
    </row>
    <row r="844" spans="1:4" x14ac:dyDescent="0.25">
      <c r="A844" s="514" t="s">
        <v>2459</v>
      </c>
      <c r="B844" s="515" t="s">
        <v>2460</v>
      </c>
      <c r="C844" s="515" t="s">
        <v>880</v>
      </c>
      <c r="D844" s="519"/>
    </row>
    <row r="845" spans="1:4" x14ac:dyDescent="0.25">
      <c r="A845" s="514" t="s">
        <v>2461</v>
      </c>
      <c r="B845" s="515" t="s">
        <v>2462</v>
      </c>
      <c r="C845" s="515" t="s">
        <v>880</v>
      </c>
      <c r="D845" s="519"/>
    </row>
    <row r="846" spans="1:4" x14ac:dyDescent="0.25">
      <c r="A846" s="514" t="s">
        <v>2463</v>
      </c>
      <c r="B846" s="515" t="s">
        <v>2464</v>
      </c>
      <c r="C846" s="515" t="s">
        <v>880</v>
      </c>
      <c r="D846" s="519"/>
    </row>
    <row r="847" spans="1:4" x14ac:dyDescent="0.25">
      <c r="A847" s="514" t="s">
        <v>2465</v>
      </c>
      <c r="B847" s="515" t="s">
        <v>2466</v>
      </c>
      <c r="C847" s="515" t="s">
        <v>880</v>
      </c>
      <c r="D847" s="519"/>
    </row>
    <row r="848" spans="1:4" x14ac:dyDescent="0.25">
      <c r="A848" s="514" t="s">
        <v>2467</v>
      </c>
      <c r="B848" s="515" t="s">
        <v>2468</v>
      </c>
      <c r="C848" s="515" t="s">
        <v>880</v>
      </c>
      <c r="D848" s="519"/>
    </row>
    <row r="849" spans="1:4" x14ac:dyDescent="0.25">
      <c r="A849" s="514" t="s">
        <v>2469</v>
      </c>
      <c r="B849" s="515" t="s">
        <v>2470</v>
      </c>
      <c r="C849" s="515" t="s">
        <v>880</v>
      </c>
      <c r="D849" s="518"/>
    </row>
    <row r="850" spans="1:4" x14ac:dyDescent="0.25">
      <c r="A850" s="514" t="s">
        <v>2471</v>
      </c>
      <c r="B850" s="515" t="s">
        <v>2472</v>
      </c>
      <c r="C850" s="515" t="s">
        <v>880</v>
      </c>
      <c r="D850" s="518"/>
    </row>
    <row r="851" spans="1:4" x14ac:dyDescent="0.25">
      <c r="A851" s="514" t="s">
        <v>2473</v>
      </c>
      <c r="B851" s="515" t="s">
        <v>2474</v>
      </c>
      <c r="C851" s="515" t="s">
        <v>880</v>
      </c>
      <c r="D851" s="518"/>
    </row>
    <row r="852" spans="1:4" x14ac:dyDescent="0.25">
      <c r="A852" s="514" t="s">
        <v>2475</v>
      </c>
      <c r="B852" s="515" t="s">
        <v>2476</v>
      </c>
      <c r="C852" s="515" t="s">
        <v>880</v>
      </c>
      <c r="D852" s="518"/>
    </row>
    <row r="853" spans="1:4" s="512" customFormat="1" ht="26.25" customHeight="1" x14ac:dyDescent="0.25">
      <c r="A853" s="514" t="s">
        <v>2477</v>
      </c>
      <c r="B853" s="515" t="s">
        <v>2478</v>
      </c>
      <c r="C853" s="515" t="s">
        <v>880</v>
      </c>
      <c r="D853" s="593"/>
    </row>
    <row r="854" spans="1:4" ht="51" x14ac:dyDescent="0.25">
      <c r="A854" s="511" t="s">
        <v>2479</v>
      </c>
      <c r="B854" s="591" t="s">
        <v>2480</v>
      </c>
      <c r="C854" s="592"/>
      <c r="D854" s="519"/>
    </row>
    <row r="855" spans="1:4" x14ac:dyDescent="0.25">
      <c r="A855" s="514" t="s">
        <v>2481</v>
      </c>
      <c r="B855" s="515" t="s">
        <v>2456</v>
      </c>
      <c r="C855" s="515" t="s">
        <v>880</v>
      </c>
      <c r="D855" s="519"/>
    </row>
    <row r="856" spans="1:4" x14ac:dyDescent="0.25">
      <c r="A856" s="514" t="s">
        <v>2482</v>
      </c>
      <c r="B856" s="515" t="s">
        <v>2483</v>
      </c>
      <c r="C856" s="515" t="s">
        <v>880</v>
      </c>
      <c r="D856" s="519"/>
    </row>
    <row r="857" spans="1:4" x14ac:dyDescent="0.25">
      <c r="A857" s="514" t="s">
        <v>2484</v>
      </c>
      <c r="B857" s="515" t="s">
        <v>2485</v>
      </c>
      <c r="C857" s="515" t="s">
        <v>880</v>
      </c>
      <c r="D857" s="518"/>
    </row>
    <row r="858" spans="1:4" x14ac:dyDescent="0.25">
      <c r="A858" s="514" t="s">
        <v>2486</v>
      </c>
      <c r="B858" s="515" t="s">
        <v>2487</v>
      </c>
      <c r="C858" s="515" t="s">
        <v>880</v>
      </c>
      <c r="D858" s="518"/>
    </row>
    <row r="859" spans="1:4" x14ac:dyDescent="0.25">
      <c r="A859" s="514" t="s">
        <v>2488</v>
      </c>
      <c r="B859" s="515" t="s">
        <v>2489</v>
      </c>
      <c r="C859" s="515" t="s">
        <v>880</v>
      </c>
      <c r="D859" s="518"/>
    </row>
    <row r="860" spans="1:4" x14ac:dyDescent="0.25">
      <c r="A860" s="514" t="s">
        <v>2490</v>
      </c>
      <c r="B860" s="515" t="s">
        <v>2491</v>
      </c>
      <c r="C860" s="515" t="s">
        <v>880</v>
      </c>
      <c r="D860" s="518"/>
    </row>
    <row r="861" spans="1:4" x14ac:dyDescent="0.25">
      <c r="A861" s="514" t="s">
        <v>2492</v>
      </c>
      <c r="B861" s="515" t="s">
        <v>2493</v>
      </c>
      <c r="C861" s="515" t="s">
        <v>880</v>
      </c>
      <c r="D861" s="518"/>
    </row>
    <row r="862" spans="1:4" x14ac:dyDescent="0.25">
      <c r="A862" s="514" t="s">
        <v>2494</v>
      </c>
      <c r="B862" s="515" t="s">
        <v>2472</v>
      </c>
      <c r="C862" s="515" t="s">
        <v>880</v>
      </c>
      <c r="D862" s="518"/>
    </row>
    <row r="863" spans="1:4" x14ac:dyDescent="0.25">
      <c r="A863" s="514" t="s">
        <v>2495</v>
      </c>
      <c r="B863" s="515" t="s">
        <v>2474</v>
      </c>
      <c r="C863" s="515" t="s">
        <v>880</v>
      </c>
      <c r="D863" s="518"/>
    </row>
    <row r="864" spans="1:4" x14ac:dyDescent="0.25">
      <c r="A864" s="514" t="s">
        <v>2496</v>
      </c>
      <c r="B864" s="515" t="s">
        <v>2476</v>
      </c>
      <c r="C864" s="515" t="s">
        <v>880</v>
      </c>
      <c r="D864" s="518"/>
    </row>
    <row r="865" spans="1:4" x14ac:dyDescent="0.25">
      <c r="A865" s="514" t="s">
        <v>2497</v>
      </c>
      <c r="B865" s="515" t="s">
        <v>2478</v>
      </c>
      <c r="C865" s="515" t="s">
        <v>880</v>
      </c>
      <c r="D865" s="518"/>
    </row>
    <row r="866" spans="1:4" x14ac:dyDescent="0.25">
      <c r="A866" s="514" t="s">
        <v>2498</v>
      </c>
      <c r="B866" s="515" t="s">
        <v>2499</v>
      </c>
      <c r="C866" s="515" t="s">
        <v>880</v>
      </c>
      <c r="D866" s="518"/>
    </row>
    <row r="867" spans="1:4" x14ac:dyDescent="0.25">
      <c r="A867" s="514" t="s">
        <v>2500</v>
      </c>
      <c r="B867" s="515" t="s">
        <v>2501</v>
      </c>
      <c r="C867" s="515" t="s">
        <v>880</v>
      </c>
      <c r="D867" s="518"/>
    </row>
    <row r="868" spans="1:4" x14ac:dyDescent="0.25">
      <c r="A868" s="514" t="s">
        <v>2502</v>
      </c>
      <c r="B868" s="515" t="s">
        <v>2503</v>
      </c>
      <c r="C868" s="515" t="s">
        <v>880</v>
      </c>
      <c r="D868" s="518"/>
    </row>
    <row r="869" spans="1:4" x14ac:dyDescent="0.25">
      <c r="A869" s="514" t="s">
        <v>2504</v>
      </c>
      <c r="B869" s="515" t="s">
        <v>2505</v>
      </c>
      <c r="C869" s="515" t="s">
        <v>880</v>
      </c>
      <c r="D869" s="518"/>
    </row>
    <row r="870" spans="1:4" s="512" customFormat="1" ht="26.25" customHeight="1" x14ac:dyDescent="0.25">
      <c r="A870" s="514" t="s">
        <v>2506</v>
      </c>
      <c r="B870" s="515" t="s">
        <v>2507</v>
      </c>
      <c r="C870" s="515" t="s">
        <v>880</v>
      </c>
      <c r="D870" s="593"/>
    </row>
    <row r="871" spans="1:4" ht="51" x14ac:dyDescent="0.25">
      <c r="A871" s="511" t="s">
        <v>2508</v>
      </c>
      <c r="B871" s="591" t="s">
        <v>2509</v>
      </c>
      <c r="C871" s="592"/>
      <c r="D871" s="518"/>
    </row>
    <row r="872" spans="1:4" x14ac:dyDescent="0.25">
      <c r="A872" s="514" t="s">
        <v>2510</v>
      </c>
      <c r="B872" s="515" t="s">
        <v>2456</v>
      </c>
      <c r="C872" s="515" t="s">
        <v>880</v>
      </c>
      <c r="D872" s="518"/>
    </row>
    <row r="873" spans="1:4" x14ac:dyDescent="0.25">
      <c r="A873" s="514" t="s">
        <v>2511</v>
      </c>
      <c r="B873" s="515" t="s">
        <v>2483</v>
      </c>
      <c r="C873" s="515" t="s">
        <v>880</v>
      </c>
      <c r="D873" s="518"/>
    </row>
    <row r="874" spans="1:4" x14ac:dyDescent="0.25">
      <c r="A874" s="514" t="s">
        <v>2512</v>
      </c>
      <c r="B874" s="515" t="s">
        <v>2485</v>
      </c>
      <c r="C874" s="515" t="s">
        <v>880</v>
      </c>
      <c r="D874" s="518"/>
    </row>
    <row r="875" spans="1:4" x14ac:dyDescent="0.25">
      <c r="A875" s="514" t="s">
        <v>2513</v>
      </c>
      <c r="B875" s="515" t="s">
        <v>2487</v>
      </c>
      <c r="C875" s="515" t="s">
        <v>880</v>
      </c>
      <c r="D875" s="518"/>
    </row>
    <row r="876" spans="1:4" x14ac:dyDescent="0.25">
      <c r="A876" s="514" t="s">
        <v>2514</v>
      </c>
      <c r="B876" s="515" t="s">
        <v>2489</v>
      </c>
      <c r="C876" s="515" t="s">
        <v>880</v>
      </c>
      <c r="D876" s="518"/>
    </row>
    <row r="877" spans="1:4" x14ac:dyDescent="0.25">
      <c r="A877" s="514" t="s">
        <v>2515</v>
      </c>
      <c r="B877" s="515" t="s">
        <v>2491</v>
      </c>
      <c r="C877" s="515" t="s">
        <v>880</v>
      </c>
      <c r="D877" s="518"/>
    </row>
    <row r="878" spans="1:4" x14ac:dyDescent="0.25">
      <c r="A878" s="514" t="s">
        <v>2516</v>
      </c>
      <c r="B878" s="515" t="s">
        <v>2493</v>
      </c>
      <c r="C878" s="515" t="s">
        <v>880</v>
      </c>
      <c r="D878" s="518"/>
    </row>
    <row r="879" spans="1:4" x14ac:dyDescent="0.25">
      <c r="A879" s="514" t="s">
        <v>2517</v>
      </c>
      <c r="B879" s="515" t="s">
        <v>2472</v>
      </c>
      <c r="C879" s="515" t="s">
        <v>880</v>
      </c>
      <c r="D879" s="518"/>
    </row>
    <row r="880" spans="1:4" x14ac:dyDescent="0.25">
      <c r="A880" s="514" t="s">
        <v>2518</v>
      </c>
      <c r="B880" s="515" t="s">
        <v>2474</v>
      </c>
      <c r="C880" s="515" t="s">
        <v>880</v>
      </c>
      <c r="D880" s="518"/>
    </row>
    <row r="881" spans="1:4" x14ac:dyDescent="0.25">
      <c r="A881" s="514" t="s">
        <v>2519</v>
      </c>
      <c r="B881" s="515" t="s">
        <v>2476</v>
      </c>
      <c r="C881" s="515" t="s">
        <v>880</v>
      </c>
      <c r="D881" s="518"/>
    </row>
    <row r="882" spans="1:4" x14ac:dyDescent="0.25">
      <c r="A882" s="514" t="s">
        <v>2520</v>
      </c>
      <c r="B882" s="515" t="s">
        <v>2478</v>
      </c>
      <c r="C882" s="515" t="s">
        <v>880</v>
      </c>
      <c r="D882" s="518"/>
    </row>
    <row r="883" spans="1:4" x14ac:dyDescent="0.25">
      <c r="A883" s="514" t="s">
        <v>2521</v>
      </c>
      <c r="B883" s="515" t="s">
        <v>2499</v>
      </c>
      <c r="C883" s="515" t="s">
        <v>880</v>
      </c>
      <c r="D883" s="518"/>
    </row>
    <row r="884" spans="1:4" x14ac:dyDescent="0.25">
      <c r="A884" s="514" t="s">
        <v>2522</v>
      </c>
      <c r="B884" s="515" t="s">
        <v>2501</v>
      </c>
      <c r="C884" s="515" t="s">
        <v>880</v>
      </c>
      <c r="D884" s="518"/>
    </row>
    <row r="885" spans="1:4" x14ac:dyDescent="0.25">
      <c r="A885" s="514" t="s">
        <v>2523</v>
      </c>
      <c r="B885" s="515" t="s">
        <v>2503</v>
      </c>
      <c r="C885" s="515" t="s">
        <v>880</v>
      </c>
      <c r="D885" s="518"/>
    </row>
    <row r="886" spans="1:4" x14ac:dyDescent="0.25">
      <c r="A886" s="514" t="s">
        <v>2524</v>
      </c>
      <c r="B886" s="515" t="s">
        <v>2505</v>
      </c>
      <c r="C886" s="515" t="s">
        <v>880</v>
      </c>
      <c r="D886" s="518"/>
    </row>
    <row r="887" spans="1:4" s="512" customFormat="1" ht="29.25" customHeight="1" x14ac:dyDescent="0.25">
      <c r="A887" s="514" t="s">
        <v>2525</v>
      </c>
      <c r="B887" s="515" t="s">
        <v>2507</v>
      </c>
      <c r="C887" s="515" t="s">
        <v>880</v>
      </c>
      <c r="D887" s="593"/>
    </row>
    <row r="888" spans="1:4" ht="51" x14ac:dyDescent="0.25">
      <c r="A888" s="511" t="s">
        <v>2526</v>
      </c>
      <c r="B888" s="591" t="s">
        <v>2527</v>
      </c>
      <c r="C888" s="592"/>
      <c r="D888" s="519"/>
    </row>
    <row r="889" spans="1:4" x14ac:dyDescent="0.25">
      <c r="A889" s="514" t="s">
        <v>2528</v>
      </c>
      <c r="B889" s="515" t="s">
        <v>2448</v>
      </c>
      <c r="C889" s="515" t="s">
        <v>880</v>
      </c>
      <c r="D889" s="519"/>
    </row>
    <row r="890" spans="1:4" x14ac:dyDescent="0.25">
      <c r="A890" s="514" t="s">
        <v>2529</v>
      </c>
      <c r="B890" s="515" t="s">
        <v>2450</v>
      </c>
      <c r="C890" s="515" t="s">
        <v>880</v>
      </c>
      <c r="D890" s="519"/>
    </row>
    <row r="891" spans="1:4" x14ac:dyDescent="0.25">
      <c r="A891" s="514" t="s">
        <v>2530</v>
      </c>
      <c r="B891" s="515" t="s">
        <v>2452</v>
      </c>
      <c r="C891" s="515" t="s">
        <v>880</v>
      </c>
      <c r="D891" s="518"/>
    </row>
    <row r="892" spans="1:4" s="512" customFormat="1" ht="25.5" customHeight="1" x14ac:dyDescent="0.25">
      <c r="A892" s="514" t="s">
        <v>2531</v>
      </c>
      <c r="B892" s="515" t="s">
        <v>2532</v>
      </c>
      <c r="C892" s="515" t="s">
        <v>880</v>
      </c>
      <c r="D892" s="593"/>
    </row>
    <row r="893" spans="1:4" ht="51" x14ac:dyDescent="0.25">
      <c r="A893" s="511" t="s">
        <v>2533</v>
      </c>
      <c r="B893" s="591" t="s">
        <v>2534</v>
      </c>
      <c r="C893" s="592"/>
      <c r="D893" s="518"/>
    </row>
    <row r="894" spans="1:4" x14ac:dyDescent="0.25">
      <c r="A894" s="514" t="s">
        <v>2535</v>
      </c>
      <c r="B894" s="515" t="s">
        <v>2446</v>
      </c>
      <c r="C894" s="515" t="s">
        <v>880</v>
      </c>
      <c r="D894" s="518"/>
    </row>
    <row r="895" spans="1:4" x14ac:dyDescent="0.25">
      <c r="A895" s="514" t="s">
        <v>2536</v>
      </c>
      <c r="B895" s="515" t="s">
        <v>2448</v>
      </c>
      <c r="C895" s="515" t="s">
        <v>880</v>
      </c>
      <c r="D895" s="518"/>
    </row>
    <row r="896" spans="1:4" s="512" customFormat="1" ht="30" customHeight="1" x14ac:dyDescent="0.25">
      <c r="A896" s="514" t="s">
        <v>2537</v>
      </c>
      <c r="B896" s="515" t="s">
        <v>2450</v>
      </c>
      <c r="C896" s="515" t="s">
        <v>880</v>
      </c>
      <c r="D896" s="593"/>
    </row>
    <row r="897" spans="1:5" ht="51" x14ac:dyDescent="0.25">
      <c r="A897" s="511" t="s">
        <v>2538</v>
      </c>
      <c r="B897" s="591" t="s">
        <v>2539</v>
      </c>
      <c r="C897" s="592"/>
      <c r="D897" s="519"/>
    </row>
    <row r="898" spans="1:5" x14ac:dyDescent="0.25">
      <c r="A898" s="514" t="s">
        <v>2540</v>
      </c>
      <c r="B898" s="515" t="s">
        <v>2446</v>
      </c>
      <c r="C898" s="515" t="s">
        <v>880</v>
      </c>
      <c r="D898" s="519"/>
    </row>
    <row r="899" spans="1:5" x14ac:dyDescent="0.25">
      <c r="A899" s="514" t="s">
        <v>2541</v>
      </c>
      <c r="B899" s="515" t="s">
        <v>2448</v>
      </c>
      <c r="C899" s="515" t="s">
        <v>880</v>
      </c>
      <c r="D899" s="519"/>
    </row>
    <row r="900" spans="1:5" x14ac:dyDescent="0.25">
      <c r="A900" s="514" t="s">
        <v>2542</v>
      </c>
      <c r="B900" s="515" t="s">
        <v>2450</v>
      </c>
      <c r="C900" s="515" t="s">
        <v>880</v>
      </c>
      <c r="D900" s="519"/>
    </row>
    <row r="901" spans="1:5" s="512" customFormat="1" ht="25.5" customHeight="1" x14ac:dyDescent="0.25">
      <c r="A901" s="514" t="s">
        <v>2543</v>
      </c>
      <c r="B901" s="515" t="s">
        <v>2452</v>
      </c>
      <c r="C901" s="515" t="s">
        <v>880</v>
      </c>
      <c r="D901" s="593"/>
      <c r="E901" s="517"/>
    </row>
    <row r="902" spans="1:5" ht="51" x14ac:dyDescent="0.25">
      <c r="A902" s="511" t="s">
        <v>2544</v>
      </c>
      <c r="B902" s="591" t="s">
        <v>2545</v>
      </c>
      <c r="C902" s="592"/>
      <c r="D902" s="518"/>
    </row>
    <row r="903" spans="1:5" x14ac:dyDescent="0.25">
      <c r="A903" s="514" t="s">
        <v>2546</v>
      </c>
      <c r="B903" s="515" t="s">
        <v>2446</v>
      </c>
      <c r="C903" s="515" t="s">
        <v>880</v>
      </c>
      <c r="D903" s="518"/>
    </row>
    <row r="904" spans="1:5" x14ac:dyDescent="0.25">
      <c r="A904" s="514" t="s">
        <v>2547</v>
      </c>
      <c r="B904" s="515" t="s">
        <v>2548</v>
      </c>
      <c r="C904" s="515" t="s">
        <v>880</v>
      </c>
      <c r="D904" s="518"/>
    </row>
    <row r="905" spans="1:5" s="512" customFormat="1" x14ac:dyDescent="0.25">
      <c r="A905" s="514" t="s">
        <v>2549</v>
      </c>
      <c r="B905" s="515" t="s">
        <v>2450</v>
      </c>
      <c r="C905" s="515" t="s">
        <v>880</v>
      </c>
      <c r="D905" s="593"/>
    </row>
    <row r="906" spans="1:5" s="512" customFormat="1" ht="24.75" customHeight="1" x14ac:dyDescent="0.25">
      <c r="A906" s="511" t="s">
        <v>2550</v>
      </c>
      <c r="B906" s="591" t="s">
        <v>2551</v>
      </c>
      <c r="C906" s="592"/>
      <c r="D906" s="593"/>
    </row>
    <row r="907" spans="1:5" ht="51" x14ac:dyDescent="0.25">
      <c r="A907" s="511" t="s">
        <v>2552</v>
      </c>
      <c r="B907" s="591" t="s">
        <v>2553</v>
      </c>
      <c r="C907" s="592"/>
      <c r="D907" s="518"/>
    </row>
    <row r="908" spans="1:5" x14ac:dyDescent="0.25">
      <c r="A908" s="514" t="s">
        <v>2554</v>
      </c>
      <c r="B908" s="515" t="s">
        <v>2448</v>
      </c>
      <c r="C908" s="515" t="s">
        <v>880</v>
      </c>
      <c r="D908" s="519"/>
    </row>
    <row r="909" spans="1:5" x14ac:dyDescent="0.25">
      <c r="A909" s="514" t="s">
        <v>2555</v>
      </c>
      <c r="B909" s="515" t="s">
        <v>2450</v>
      </c>
      <c r="C909" s="515" t="s">
        <v>880</v>
      </c>
      <c r="D909" s="518"/>
    </row>
    <row r="910" spans="1:5" x14ac:dyDescent="0.25">
      <c r="A910" s="514" t="s">
        <v>2556</v>
      </c>
      <c r="B910" s="515" t="s">
        <v>2452</v>
      </c>
      <c r="C910" s="515" t="s">
        <v>880</v>
      </c>
      <c r="D910" s="519"/>
    </row>
    <row r="911" spans="1:5" x14ac:dyDescent="0.25">
      <c r="A911" s="514" t="s">
        <v>2557</v>
      </c>
      <c r="B911" s="515" t="s">
        <v>2454</v>
      </c>
      <c r="C911" s="515" t="s">
        <v>880</v>
      </c>
      <c r="D911" s="519"/>
    </row>
    <row r="912" spans="1:5" x14ac:dyDescent="0.25">
      <c r="A912" s="514" t="s">
        <v>2558</v>
      </c>
      <c r="B912" s="515" t="s">
        <v>2456</v>
      </c>
      <c r="C912" s="515" t="s">
        <v>880</v>
      </c>
      <c r="D912" s="518"/>
    </row>
    <row r="913" spans="1:4" x14ac:dyDescent="0.25">
      <c r="A913" s="514" t="s">
        <v>2559</v>
      </c>
      <c r="B913" s="515" t="s">
        <v>2483</v>
      </c>
      <c r="C913" s="515" t="s">
        <v>880</v>
      </c>
      <c r="D913" s="518"/>
    </row>
    <row r="914" spans="1:4" x14ac:dyDescent="0.25">
      <c r="A914" s="514" t="s">
        <v>2560</v>
      </c>
      <c r="B914" s="515" t="s">
        <v>2485</v>
      </c>
      <c r="C914" s="515" t="s">
        <v>880</v>
      </c>
      <c r="D914" s="518"/>
    </row>
    <row r="915" spans="1:4" x14ac:dyDescent="0.25">
      <c r="A915" s="514" t="s">
        <v>2561</v>
      </c>
      <c r="B915" s="515" t="s">
        <v>2487</v>
      </c>
      <c r="C915" s="515" t="s">
        <v>880</v>
      </c>
      <c r="D915" s="518"/>
    </row>
    <row r="916" spans="1:4" x14ac:dyDescent="0.25">
      <c r="A916" s="514" t="s">
        <v>2562</v>
      </c>
      <c r="B916" s="515" t="s">
        <v>2489</v>
      </c>
      <c r="C916" s="515" t="s">
        <v>880</v>
      </c>
      <c r="D916" s="518"/>
    </row>
    <row r="917" spans="1:4" x14ac:dyDescent="0.25">
      <c r="A917" s="514" t="s">
        <v>2563</v>
      </c>
      <c r="B917" s="515" t="s">
        <v>2491</v>
      </c>
      <c r="C917" s="515" t="s">
        <v>880</v>
      </c>
      <c r="D917" s="518"/>
    </row>
    <row r="918" spans="1:4" s="512" customFormat="1" ht="27" customHeight="1" x14ac:dyDescent="0.25">
      <c r="A918" s="514" t="s">
        <v>2564</v>
      </c>
      <c r="B918" s="515" t="s">
        <v>2493</v>
      </c>
      <c r="C918" s="515" t="s">
        <v>880</v>
      </c>
      <c r="D918" s="593"/>
    </row>
    <row r="919" spans="1:4" ht="51" x14ac:dyDescent="0.25">
      <c r="A919" s="511" t="s">
        <v>2565</v>
      </c>
      <c r="B919" s="591" t="s">
        <v>2566</v>
      </c>
      <c r="C919" s="592"/>
      <c r="D919" s="518"/>
    </row>
    <row r="920" spans="1:4" x14ac:dyDescent="0.25">
      <c r="A920" s="514" t="s">
        <v>2567</v>
      </c>
      <c r="B920" s="515" t="s">
        <v>2448</v>
      </c>
      <c r="C920" s="515" t="s">
        <v>880</v>
      </c>
      <c r="D920" s="518"/>
    </row>
    <row r="921" spans="1:4" x14ac:dyDescent="0.25">
      <c r="A921" s="514" t="s">
        <v>2568</v>
      </c>
      <c r="B921" s="515" t="s">
        <v>2450</v>
      </c>
      <c r="C921" s="515" t="s">
        <v>880</v>
      </c>
      <c r="D921" s="518"/>
    </row>
    <row r="922" spans="1:4" x14ac:dyDescent="0.25">
      <c r="A922" s="514" t="s">
        <v>2569</v>
      </c>
      <c r="B922" s="515" t="s">
        <v>2452</v>
      </c>
      <c r="C922" s="515" t="s">
        <v>880</v>
      </c>
      <c r="D922" s="518"/>
    </row>
    <row r="923" spans="1:4" x14ac:dyDescent="0.25">
      <c r="A923" s="514" t="s">
        <v>2570</v>
      </c>
      <c r="B923" s="515" t="s">
        <v>2454</v>
      </c>
      <c r="C923" s="515" t="s">
        <v>880</v>
      </c>
      <c r="D923" s="518"/>
    </row>
    <row r="924" spans="1:4" x14ac:dyDescent="0.25">
      <c r="A924" s="514" t="s">
        <v>2571</v>
      </c>
      <c r="B924" s="515" t="s">
        <v>2456</v>
      </c>
      <c r="C924" s="515" t="s">
        <v>880</v>
      </c>
      <c r="D924" s="518"/>
    </row>
    <row r="925" spans="1:4" x14ac:dyDescent="0.25">
      <c r="A925" s="514" t="s">
        <v>2572</v>
      </c>
      <c r="B925" s="515" t="s">
        <v>2483</v>
      </c>
      <c r="C925" s="515" t="s">
        <v>880</v>
      </c>
      <c r="D925" s="518"/>
    </row>
    <row r="926" spans="1:4" x14ac:dyDescent="0.25">
      <c r="A926" s="514" t="s">
        <v>2573</v>
      </c>
      <c r="B926" s="515" t="s">
        <v>2485</v>
      </c>
      <c r="C926" s="515" t="s">
        <v>880</v>
      </c>
      <c r="D926" s="518"/>
    </row>
    <row r="927" spans="1:4" x14ac:dyDescent="0.25">
      <c r="A927" s="514" t="s">
        <v>2574</v>
      </c>
      <c r="B927" s="515" t="s">
        <v>2487</v>
      </c>
      <c r="C927" s="515" t="s">
        <v>880</v>
      </c>
      <c r="D927" s="518"/>
    </row>
    <row r="928" spans="1:4" x14ac:dyDescent="0.25">
      <c r="A928" s="514" t="s">
        <v>2575</v>
      </c>
      <c r="B928" s="515" t="s">
        <v>2489</v>
      </c>
      <c r="C928" s="515" t="s">
        <v>880</v>
      </c>
      <c r="D928" s="518"/>
    </row>
    <row r="929" spans="1:4" x14ac:dyDescent="0.25">
      <c r="A929" s="514" t="s">
        <v>2576</v>
      </c>
      <c r="B929" s="515" t="s">
        <v>2491</v>
      </c>
      <c r="C929" s="515" t="s">
        <v>880</v>
      </c>
      <c r="D929" s="518"/>
    </row>
    <row r="930" spans="1:4" s="512" customFormat="1" ht="27.75" customHeight="1" x14ac:dyDescent="0.25">
      <c r="A930" s="514" t="s">
        <v>2577</v>
      </c>
      <c r="B930" s="515" t="s">
        <v>2493</v>
      </c>
      <c r="C930" s="515" t="s">
        <v>880</v>
      </c>
      <c r="D930" s="593"/>
    </row>
    <row r="931" spans="1:4" ht="51" x14ac:dyDescent="0.25">
      <c r="A931" s="511" t="s">
        <v>2578</v>
      </c>
      <c r="B931" s="591" t="s">
        <v>2579</v>
      </c>
      <c r="C931" s="592"/>
      <c r="D931" s="518"/>
    </row>
    <row r="932" spans="1:4" x14ac:dyDescent="0.25">
      <c r="A932" s="514" t="s">
        <v>2580</v>
      </c>
      <c r="B932" s="515" t="s">
        <v>2448</v>
      </c>
      <c r="C932" s="515" t="s">
        <v>880</v>
      </c>
      <c r="D932" s="518"/>
    </row>
    <row r="933" spans="1:4" x14ac:dyDescent="0.25">
      <c r="A933" s="514" t="s">
        <v>2581</v>
      </c>
      <c r="B933" s="515" t="s">
        <v>2450</v>
      </c>
      <c r="C933" s="515" t="s">
        <v>880</v>
      </c>
      <c r="D933" s="518"/>
    </row>
    <row r="934" spans="1:4" x14ac:dyDescent="0.25">
      <c r="A934" s="514" t="s">
        <v>2582</v>
      </c>
      <c r="B934" s="515" t="s">
        <v>2452</v>
      </c>
      <c r="C934" s="515" t="s">
        <v>880</v>
      </c>
      <c r="D934" s="518"/>
    </row>
    <row r="935" spans="1:4" x14ac:dyDescent="0.25">
      <c r="A935" s="514" t="s">
        <v>2583</v>
      </c>
      <c r="B935" s="515" t="s">
        <v>2454</v>
      </c>
      <c r="C935" s="515" t="s">
        <v>880</v>
      </c>
      <c r="D935" s="518"/>
    </row>
    <row r="936" spans="1:4" x14ac:dyDescent="0.25">
      <c r="A936" s="514" t="s">
        <v>2584</v>
      </c>
      <c r="B936" s="515" t="s">
        <v>2456</v>
      </c>
      <c r="C936" s="515" t="s">
        <v>880</v>
      </c>
      <c r="D936" s="518"/>
    </row>
    <row r="937" spans="1:4" x14ac:dyDescent="0.25">
      <c r="A937" s="514" t="s">
        <v>2585</v>
      </c>
      <c r="B937" s="515" t="s">
        <v>2483</v>
      </c>
      <c r="C937" s="515" t="s">
        <v>880</v>
      </c>
      <c r="D937" s="518"/>
    </row>
    <row r="938" spans="1:4" x14ac:dyDescent="0.25">
      <c r="A938" s="514" t="s">
        <v>2586</v>
      </c>
      <c r="B938" s="515" t="s">
        <v>2485</v>
      </c>
      <c r="C938" s="515" t="s">
        <v>880</v>
      </c>
      <c r="D938" s="518"/>
    </row>
    <row r="939" spans="1:4" x14ac:dyDescent="0.25">
      <c r="A939" s="514" t="s">
        <v>2587</v>
      </c>
      <c r="B939" s="515" t="s">
        <v>2487</v>
      </c>
      <c r="C939" s="515" t="s">
        <v>880</v>
      </c>
      <c r="D939" s="518"/>
    </row>
    <row r="940" spans="1:4" x14ac:dyDescent="0.25">
      <c r="A940" s="514" t="s">
        <v>2588</v>
      </c>
      <c r="B940" s="515" t="s">
        <v>2489</v>
      </c>
      <c r="C940" s="515" t="s">
        <v>880</v>
      </c>
      <c r="D940" s="518"/>
    </row>
    <row r="941" spans="1:4" x14ac:dyDescent="0.25">
      <c r="A941" s="514" t="s">
        <v>2589</v>
      </c>
      <c r="B941" s="515" t="s">
        <v>2491</v>
      </c>
      <c r="C941" s="515" t="s">
        <v>880</v>
      </c>
      <c r="D941" s="518"/>
    </row>
    <row r="942" spans="1:4" s="512" customFormat="1" ht="27.75" customHeight="1" x14ac:dyDescent="0.25">
      <c r="A942" s="514" t="s">
        <v>2590</v>
      </c>
      <c r="B942" s="515" t="s">
        <v>2493</v>
      </c>
      <c r="C942" s="515" t="s">
        <v>880</v>
      </c>
      <c r="D942" s="593"/>
    </row>
    <row r="943" spans="1:4" ht="51" x14ac:dyDescent="0.25">
      <c r="A943" s="511" t="s">
        <v>2591</v>
      </c>
      <c r="B943" s="591" t="s">
        <v>2592</v>
      </c>
      <c r="C943" s="592"/>
      <c r="D943" s="518"/>
    </row>
    <row r="944" spans="1:4" x14ac:dyDescent="0.25">
      <c r="A944" s="514" t="s">
        <v>2593</v>
      </c>
      <c r="B944" s="515" t="s">
        <v>2448</v>
      </c>
      <c r="C944" s="515" t="s">
        <v>880</v>
      </c>
      <c r="D944" s="518"/>
    </row>
    <row r="945" spans="1:4" x14ac:dyDescent="0.25">
      <c r="A945" s="514" t="s">
        <v>2594</v>
      </c>
      <c r="B945" s="515" t="s">
        <v>2450</v>
      </c>
      <c r="C945" s="515" t="s">
        <v>880</v>
      </c>
      <c r="D945" s="518"/>
    </row>
    <row r="946" spans="1:4" x14ac:dyDescent="0.25">
      <c r="A946" s="514" t="s">
        <v>2595</v>
      </c>
      <c r="B946" s="515" t="s">
        <v>2452</v>
      </c>
      <c r="C946" s="515" t="s">
        <v>880</v>
      </c>
      <c r="D946" s="518"/>
    </row>
    <row r="947" spans="1:4" x14ac:dyDescent="0.25">
      <c r="A947" s="514" t="s">
        <v>2596</v>
      </c>
      <c r="B947" s="515" t="s">
        <v>2454</v>
      </c>
      <c r="C947" s="515" t="s">
        <v>880</v>
      </c>
      <c r="D947" s="518"/>
    </row>
    <row r="948" spans="1:4" x14ac:dyDescent="0.25">
      <c r="A948" s="514" t="s">
        <v>2597</v>
      </c>
      <c r="B948" s="515" t="s">
        <v>2456</v>
      </c>
      <c r="C948" s="515" t="s">
        <v>880</v>
      </c>
      <c r="D948" s="518"/>
    </row>
    <row r="949" spans="1:4" x14ac:dyDescent="0.25">
      <c r="A949" s="514" t="s">
        <v>2598</v>
      </c>
      <c r="B949" s="515" t="s">
        <v>2483</v>
      </c>
      <c r="C949" s="515" t="s">
        <v>880</v>
      </c>
      <c r="D949" s="518"/>
    </row>
    <row r="950" spans="1:4" x14ac:dyDescent="0.25">
      <c r="A950" s="514" t="s">
        <v>2599</v>
      </c>
      <c r="B950" s="515" t="s">
        <v>2485</v>
      </c>
      <c r="C950" s="515" t="s">
        <v>880</v>
      </c>
      <c r="D950" s="518"/>
    </row>
    <row r="951" spans="1:4" x14ac:dyDescent="0.25">
      <c r="A951" s="514" t="s">
        <v>2600</v>
      </c>
      <c r="B951" s="515" t="s">
        <v>2487</v>
      </c>
      <c r="C951" s="515" t="s">
        <v>880</v>
      </c>
      <c r="D951" s="518"/>
    </row>
    <row r="952" spans="1:4" x14ac:dyDescent="0.25">
      <c r="A952" s="514" t="s">
        <v>2601</v>
      </c>
      <c r="B952" s="515" t="s">
        <v>2489</v>
      </c>
      <c r="C952" s="515" t="s">
        <v>880</v>
      </c>
      <c r="D952" s="518"/>
    </row>
    <row r="953" spans="1:4" x14ac:dyDescent="0.25">
      <c r="A953" s="514" t="s">
        <v>2602</v>
      </c>
      <c r="B953" s="515" t="s">
        <v>2491</v>
      </c>
      <c r="C953" s="515" t="s">
        <v>880</v>
      </c>
      <c r="D953" s="518"/>
    </row>
    <row r="954" spans="1:4" s="512" customFormat="1" ht="30.75" customHeight="1" x14ac:dyDescent="0.25">
      <c r="A954" s="514" t="s">
        <v>2603</v>
      </c>
      <c r="B954" s="515" t="s">
        <v>2493</v>
      </c>
      <c r="C954" s="515" t="s">
        <v>880</v>
      </c>
      <c r="D954" s="593"/>
    </row>
    <row r="955" spans="1:4" ht="51" x14ac:dyDescent="0.25">
      <c r="A955" s="511" t="s">
        <v>2604</v>
      </c>
      <c r="B955" s="591" t="s">
        <v>2605</v>
      </c>
      <c r="C955" s="592"/>
      <c r="D955" s="519"/>
    </row>
    <row r="956" spans="1:4" x14ac:dyDescent="0.25">
      <c r="A956" s="514" t="s">
        <v>2606</v>
      </c>
      <c r="B956" s="515" t="s">
        <v>2448</v>
      </c>
      <c r="C956" s="515" t="s">
        <v>880</v>
      </c>
      <c r="D956" s="519"/>
    </row>
    <row r="957" spans="1:4" x14ac:dyDescent="0.25">
      <c r="A957" s="514" t="s">
        <v>2607</v>
      </c>
      <c r="B957" s="515" t="s">
        <v>2450</v>
      </c>
      <c r="C957" s="515" t="s">
        <v>880</v>
      </c>
      <c r="D957" s="519"/>
    </row>
    <row r="958" spans="1:4" x14ac:dyDescent="0.25">
      <c r="A958" s="514" t="s">
        <v>2608</v>
      </c>
      <c r="B958" s="515" t="s">
        <v>2452</v>
      </c>
      <c r="C958" s="515" t="s">
        <v>880</v>
      </c>
      <c r="D958" s="519"/>
    </row>
    <row r="959" spans="1:4" x14ac:dyDescent="0.25">
      <c r="A959" s="514" t="s">
        <v>2609</v>
      </c>
      <c r="B959" s="515" t="s">
        <v>2454</v>
      </c>
      <c r="C959" s="515" t="s">
        <v>880</v>
      </c>
      <c r="D959" s="519"/>
    </row>
    <row r="960" spans="1:4" x14ac:dyDescent="0.25">
      <c r="A960" s="514" t="s">
        <v>2610</v>
      </c>
      <c r="B960" s="515" t="s">
        <v>2456</v>
      </c>
      <c r="C960" s="515" t="s">
        <v>880</v>
      </c>
      <c r="D960" s="519"/>
    </row>
    <row r="961" spans="1:5" s="512" customFormat="1" ht="30.75" customHeight="1" x14ac:dyDescent="0.25">
      <c r="A961" s="514" t="s">
        <v>2611</v>
      </c>
      <c r="B961" s="515" t="s">
        <v>2483</v>
      </c>
      <c r="C961" s="515" t="s">
        <v>880</v>
      </c>
      <c r="D961" s="593"/>
    </row>
    <row r="962" spans="1:5" ht="51" x14ac:dyDescent="0.25">
      <c r="A962" s="511" t="s">
        <v>2612</v>
      </c>
      <c r="B962" s="591" t="s">
        <v>2613</v>
      </c>
      <c r="C962" s="592"/>
      <c r="D962" s="518"/>
    </row>
    <row r="963" spans="1:5" x14ac:dyDescent="0.25">
      <c r="A963" s="514" t="s">
        <v>2614</v>
      </c>
      <c r="B963" s="515" t="s">
        <v>2446</v>
      </c>
      <c r="C963" s="515" t="s">
        <v>880</v>
      </c>
      <c r="D963" s="519"/>
    </row>
    <row r="964" spans="1:5" x14ac:dyDescent="0.25">
      <c r="A964" s="514" t="s">
        <v>2615</v>
      </c>
      <c r="B964" s="515" t="s">
        <v>2448</v>
      </c>
      <c r="C964" s="515" t="s">
        <v>880</v>
      </c>
      <c r="D964" s="519"/>
    </row>
    <row r="965" spans="1:5" x14ac:dyDescent="0.25">
      <c r="A965" s="514" t="s">
        <v>2616</v>
      </c>
      <c r="B965" s="515" t="s">
        <v>2450</v>
      </c>
      <c r="C965" s="515" t="s">
        <v>880</v>
      </c>
      <c r="D965" s="519"/>
    </row>
    <row r="966" spans="1:5" x14ac:dyDescent="0.25">
      <c r="A966" s="514" t="s">
        <v>2617</v>
      </c>
      <c r="B966" s="515" t="s">
        <v>2452</v>
      </c>
      <c r="C966" s="515" t="s">
        <v>880</v>
      </c>
      <c r="D966" s="519"/>
    </row>
    <row r="967" spans="1:5" x14ac:dyDescent="0.25">
      <c r="A967" s="514" t="s">
        <v>2618</v>
      </c>
      <c r="B967" s="515" t="s">
        <v>2454</v>
      </c>
      <c r="C967" s="515" t="s">
        <v>880</v>
      </c>
      <c r="D967" s="519"/>
    </row>
    <row r="968" spans="1:5" x14ac:dyDescent="0.25">
      <c r="A968" s="514" t="s">
        <v>2619</v>
      </c>
      <c r="B968" s="515" t="s">
        <v>2456</v>
      </c>
      <c r="C968" s="515" t="s">
        <v>880</v>
      </c>
      <c r="D968" s="519"/>
    </row>
    <row r="969" spans="1:5" x14ac:dyDescent="0.25">
      <c r="A969" s="514" t="s">
        <v>2620</v>
      </c>
      <c r="B969" s="515" t="s">
        <v>2483</v>
      </c>
      <c r="C969" s="515" t="s">
        <v>880</v>
      </c>
      <c r="D969" s="519"/>
    </row>
    <row r="970" spans="1:5" x14ac:dyDescent="0.25">
      <c r="A970" s="514" t="s">
        <v>2621</v>
      </c>
      <c r="B970" s="515" t="s">
        <v>2485</v>
      </c>
      <c r="C970" s="515" t="s">
        <v>880</v>
      </c>
      <c r="D970" s="519"/>
    </row>
    <row r="971" spans="1:5" x14ac:dyDescent="0.25">
      <c r="A971" s="514" t="s">
        <v>2622</v>
      </c>
      <c r="B971" s="515" t="s">
        <v>2487</v>
      </c>
      <c r="C971" s="515" t="s">
        <v>880</v>
      </c>
      <c r="D971" s="519"/>
    </row>
    <row r="972" spans="1:5" x14ac:dyDescent="0.25">
      <c r="A972" s="514" t="s">
        <v>2623</v>
      </c>
      <c r="B972" s="515" t="s">
        <v>2489</v>
      </c>
      <c r="C972" s="515" t="s">
        <v>880</v>
      </c>
      <c r="D972" s="519"/>
    </row>
    <row r="973" spans="1:5" x14ac:dyDescent="0.25">
      <c r="A973" s="514" t="s">
        <v>2624</v>
      </c>
      <c r="B973" s="515" t="s">
        <v>2491</v>
      </c>
      <c r="C973" s="515" t="s">
        <v>880</v>
      </c>
      <c r="D973" s="519"/>
      <c r="E973" s="527"/>
    </row>
    <row r="974" spans="1:5" x14ac:dyDescent="0.25">
      <c r="A974" s="514" t="s">
        <v>2625</v>
      </c>
      <c r="B974" s="515" t="s">
        <v>2493</v>
      </c>
      <c r="C974" s="515" t="s">
        <v>880</v>
      </c>
      <c r="D974" s="519"/>
      <c r="E974" s="535"/>
    </row>
    <row r="975" spans="1:5" s="512" customFormat="1" ht="29.25" customHeight="1" x14ac:dyDescent="0.25">
      <c r="A975" s="514" t="s">
        <v>2626</v>
      </c>
      <c r="B975" s="515" t="s">
        <v>2627</v>
      </c>
      <c r="C975" s="515" t="s">
        <v>880</v>
      </c>
      <c r="D975" s="593"/>
    </row>
    <row r="976" spans="1:5" ht="51" x14ac:dyDescent="0.25">
      <c r="A976" s="511" t="s">
        <v>2628</v>
      </c>
      <c r="B976" s="591" t="s">
        <v>2629</v>
      </c>
      <c r="C976" s="592" t="s">
        <v>880</v>
      </c>
      <c r="D976" s="518"/>
    </row>
    <row r="977" spans="1:4" x14ac:dyDescent="0.25">
      <c r="A977" s="514" t="s">
        <v>2630</v>
      </c>
      <c r="B977" s="515" t="s">
        <v>2485</v>
      </c>
      <c r="C977" s="515" t="s">
        <v>880</v>
      </c>
      <c r="D977" s="518"/>
    </row>
    <row r="978" spans="1:4" x14ac:dyDescent="0.25">
      <c r="A978" s="514" t="s">
        <v>2631</v>
      </c>
      <c r="B978" s="515" t="s">
        <v>2487</v>
      </c>
      <c r="C978" s="515" t="s">
        <v>880</v>
      </c>
      <c r="D978" s="518"/>
    </row>
    <row r="979" spans="1:4" x14ac:dyDescent="0.25">
      <c r="A979" s="514" t="s">
        <v>2632</v>
      </c>
      <c r="B979" s="515" t="s">
        <v>2489</v>
      </c>
      <c r="C979" s="515" t="s">
        <v>880</v>
      </c>
      <c r="D979" s="518"/>
    </row>
    <row r="980" spans="1:4" x14ac:dyDescent="0.25">
      <c r="A980" s="514" t="s">
        <v>2633</v>
      </c>
      <c r="B980" s="515" t="s">
        <v>2491</v>
      </c>
      <c r="C980" s="515" t="s">
        <v>880</v>
      </c>
      <c r="D980" s="518"/>
    </row>
    <row r="981" spans="1:4" x14ac:dyDescent="0.25">
      <c r="A981" s="514" t="s">
        <v>2634</v>
      </c>
      <c r="B981" s="515" t="s">
        <v>2493</v>
      </c>
      <c r="C981" s="515" t="s">
        <v>880</v>
      </c>
      <c r="D981" s="519"/>
    </row>
    <row r="982" spans="1:4" s="512" customFormat="1" ht="30.75" customHeight="1" x14ac:dyDescent="0.25">
      <c r="A982" s="514" t="s">
        <v>2635</v>
      </c>
      <c r="B982" s="515" t="s">
        <v>2627</v>
      </c>
      <c r="C982" s="515" t="s">
        <v>880</v>
      </c>
      <c r="D982" s="593"/>
    </row>
    <row r="983" spans="1:4" ht="51" x14ac:dyDescent="0.25">
      <c r="A983" s="511" t="s">
        <v>2636</v>
      </c>
      <c r="B983" s="591" t="s">
        <v>2637</v>
      </c>
      <c r="C983" s="592" t="s">
        <v>880</v>
      </c>
      <c r="D983" s="518"/>
    </row>
    <row r="984" spans="1:4" x14ac:dyDescent="0.25">
      <c r="A984" s="514" t="s">
        <v>2638</v>
      </c>
      <c r="B984" s="515" t="s">
        <v>2493</v>
      </c>
      <c r="C984" s="515" t="s">
        <v>880</v>
      </c>
      <c r="D984" s="518"/>
    </row>
    <row r="985" spans="1:4" x14ac:dyDescent="0.25">
      <c r="A985" s="514" t="s">
        <v>2639</v>
      </c>
      <c r="B985" s="515" t="s">
        <v>2472</v>
      </c>
      <c r="C985" s="515" t="s">
        <v>880</v>
      </c>
      <c r="D985" s="518"/>
    </row>
    <row r="986" spans="1:4" x14ac:dyDescent="0.25">
      <c r="A986" s="514" t="s">
        <v>2640</v>
      </c>
      <c r="B986" s="515" t="s">
        <v>2474</v>
      </c>
      <c r="C986" s="515" t="s">
        <v>880</v>
      </c>
      <c r="D986" s="518"/>
    </row>
    <row r="987" spans="1:4" x14ac:dyDescent="0.25">
      <c r="A987" s="514" t="s">
        <v>2641</v>
      </c>
      <c r="B987" s="515" t="s">
        <v>2476</v>
      </c>
      <c r="C987" s="515" t="s">
        <v>880</v>
      </c>
      <c r="D987" s="518"/>
    </row>
    <row r="988" spans="1:4" x14ac:dyDescent="0.25">
      <c r="A988" s="514" t="s">
        <v>2642</v>
      </c>
      <c r="B988" s="515" t="s">
        <v>2478</v>
      </c>
      <c r="C988" s="515" t="s">
        <v>880</v>
      </c>
      <c r="D988" s="518"/>
    </row>
    <row r="989" spans="1:4" x14ac:dyDescent="0.25">
      <c r="A989" s="514" t="s">
        <v>2643</v>
      </c>
      <c r="B989" s="515" t="s">
        <v>2499</v>
      </c>
      <c r="C989" s="515" t="s">
        <v>880</v>
      </c>
      <c r="D989" s="518"/>
    </row>
    <row r="990" spans="1:4" x14ac:dyDescent="0.25">
      <c r="A990" s="514" t="s">
        <v>2644</v>
      </c>
      <c r="B990" s="515" t="s">
        <v>2501</v>
      </c>
      <c r="C990" s="515" t="s">
        <v>880</v>
      </c>
      <c r="D990" s="518"/>
    </row>
    <row r="991" spans="1:4" x14ac:dyDescent="0.25">
      <c r="A991" s="514" t="s">
        <v>2645</v>
      </c>
      <c r="B991" s="515" t="s">
        <v>2503</v>
      </c>
      <c r="C991" s="515" t="s">
        <v>880</v>
      </c>
      <c r="D991" s="518"/>
    </row>
    <row r="992" spans="1:4" x14ac:dyDescent="0.25">
      <c r="A992" s="514" t="s">
        <v>2646</v>
      </c>
      <c r="B992" s="515" t="s">
        <v>2505</v>
      </c>
      <c r="C992" s="515" t="s">
        <v>880</v>
      </c>
      <c r="D992" s="518"/>
    </row>
    <row r="993" spans="1:4" s="512" customFormat="1" ht="28.5" customHeight="1" x14ac:dyDescent="0.25">
      <c r="A993" s="514" t="s">
        <v>2647</v>
      </c>
      <c r="B993" s="515" t="s">
        <v>2507</v>
      </c>
      <c r="C993" s="515" t="s">
        <v>880</v>
      </c>
      <c r="D993" s="593"/>
    </row>
    <row r="994" spans="1:4" ht="51" x14ac:dyDescent="0.25">
      <c r="A994" s="511" t="s">
        <v>2648</v>
      </c>
      <c r="B994" s="591" t="s">
        <v>2649</v>
      </c>
      <c r="C994" s="592"/>
      <c r="D994" s="518"/>
    </row>
    <row r="995" spans="1:4" x14ac:dyDescent="0.25">
      <c r="A995" s="514" t="s">
        <v>2650</v>
      </c>
      <c r="B995" s="515" t="s">
        <v>2651</v>
      </c>
      <c r="C995" s="515" t="s">
        <v>880</v>
      </c>
      <c r="D995" s="518"/>
    </row>
    <row r="996" spans="1:4" x14ac:dyDescent="0.25">
      <c r="A996" s="514" t="s">
        <v>2652</v>
      </c>
      <c r="B996" s="515" t="s">
        <v>2653</v>
      </c>
      <c r="C996" s="515" t="s">
        <v>880</v>
      </c>
      <c r="D996" s="518"/>
    </row>
    <row r="997" spans="1:4" x14ac:dyDescent="0.25">
      <c r="A997" s="514" t="s">
        <v>2654</v>
      </c>
      <c r="B997" s="515" t="s">
        <v>2655</v>
      </c>
      <c r="C997" s="515" t="s">
        <v>880</v>
      </c>
      <c r="D997" s="518"/>
    </row>
    <row r="998" spans="1:4" x14ac:dyDescent="0.25">
      <c r="A998" s="514" t="s">
        <v>2656</v>
      </c>
      <c r="B998" s="515" t="s">
        <v>2454</v>
      </c>
      <c r="C998" s="515" t="s">
        <v>880</v>
      </c>
      <c r="D998" s="518"/>
    </row>
    <row r="999" spans="1:4" x14ac:dyDescent="0.25">
      <c r="A999" s="514" t="s">
        <v>2657</v>
      </c>
      <c r="B999" s="515" t="s">
        <v>2456</v>
      </c>
      <c r="C999" s="515" t="s">
        <v>880</v>
      </c>
      <c r="D999" s="518"/>
    </row>
    <row r="1000" spans="1:4" s="512" customFormat="1" ht="31.5" customHeight="1" x14ac:dyDescent="0.25">
      <c r="A1000" s="514" t="s">
        <v>2658</v>
      </c>
      <c r="B1000" s="515" t="s">
        <v>2483</v>
      </c>
      <c r="C1000" s="515" t="s">
        <v>880</v>
      </c>
      <c r="D1000" s="593"/>
    </row>
    <row r="1001" spans="1:4" ht="51" x14ac:dyDescent="0.25">
      <c r="A1001" s="511" t="s">
        <v>2659</v>
      </c>
      <c r="B1001" s="591" t="s">
        <v>2660</v>
      </c>
      <c r="C1001" s="592"/>
      <c r="D1001" s="518"/>
    </row>
    <row r="1002" spans="1:4" x14ac:dyDescent="0.25">
      <c r="A1002" s="514" t="s">
        <v>2661</v>
      </c>
      <c r="B1002" s="515" t="s">
        <v>2651</v>
      </c>
      <c r="C1002" s="515" t="s">
        <v>880</v>
      </c>
      <c r="D1002" s="518"/>
    </row>
    <row r="1003" spans="1:4" x14ac:dyDescent="0.25">
      <c r="A1003" s="514" t="s">
        <v>2662</v>
      </c>
      <c r="B1003" s="515" t="s">
        <v>2653</v>
      </c>
      <c r="C1003" s="515" t="s">
        <v>880</v>
      </c>
      <c r="D1003" s="518"/>
    </row>
    <row r="1004" spans="1:4" x14ac:dyDescent="0.25">
      <c r="A1004" s="514" t="s">
        <v>2663</v>
      </c>
      <c r="B1004" s="515" t="s">
        <v>2655</v>
      </c>
      <c r="C1004" s="515" t="s">
        <v>880</v>
      </c>
      <c r="D1004" s="518"/>
    </row>
    <row r="1005" spans="1:4" x14ac:dyDescent="0.25">
      <c r="A1005" s="514" t="s">
        <v>2664</v>
      </c>
      <c r="B1005" s="515" t="s">
        <v>2454</v>
      </c>
      <c r="C1005" s="515" t="s">
        <v>880</v>
      </c>
      <c r="D1005" s="518"/>
    </row>
    <row r="1006" spans="1:4" x14ac:dyDescent="0.25">
      <c r="A1006" s="514" t="s">
        <v>2665</v>
      </c>
      <c r="B1006" s="515" t="s">
        <v>2456</v>
      </c>
      <c r="C1006" s="515" t="s">
        <v>880</v>
      </c>
      <c r="D1006" s="518"/>
    </row>
    <row r="1007" spans="1:4" s="512" customFormat="1" ht="30.75" customHeight="1" x14ac:dyDescent="0.25">
      <c r="A1007" s="514" t="s">
        <v>2666</v>
      </c>
      <c r="B1007" s="515" t="s">
        <v>2483</v>
      </c>
      <c r="C1007" s="515" t="s">
        <v>880</v>
      </c>
      <c r="D1007" s="593"/>
    </row>
    <row r="1008" spans="1:4" ht="51" x14ac:dyDescent="0.25">
      <c r="A1008" s="511" t="s">
        <v>2667</v>
      </c>
      <c r="B1008" s="591" t="s">
        <v>2668</v>
      </c>
      <c r="C1008" s="592" t="s">
        <v>880</v>
      </c>
      <c r="D1008" s="518"/>
    </row>
    <row r="1009" spans="1:4" x14ac:dyDescent="0.25">
      <c r="A1009" s="514" t="s">
        <v>2669</v>
      </c>
      <c r="B1009" s="515" t="s">
        <v>2651</v>
      </c>
      <c r="C1009" s="515" t="s">
        <v>880</v>
      </c>
      <c r="D1009" s="518"/>
    </row>
    <row r="1010" spans="1:4" x14ac:dyDescent="0.25">
      <c r="A1010" s="514" t="s">
        <v>2670</v>
      </c>
      <c r="B1010" s="515" t="s">
        <v>2653</v>
      </c>
      <c r="C1010" s="515" t="s">
        <v>880</v>
      </c>
      <c r="D1010" s="518"/>
    </row>
    <row r="1011" spans="1:4" x14ac:dyDescent="0.25">
      <c r="A1011" s="514" t="s">
        <v>2671</v>
      </c>
      <c r="B1011" s="515" t="s">
        <v>2655</v>
      </c>
      <c r="C1011" s="515" t="s">
        <v>880</v>
      </c>
      <c r="D1011" s="518"/>
    </row>
    <row r="1012" spans="1:4" x14ac:dyDescent="0.25">
      <c r="A1012" s="514" t="s">
        <v>2672</v>
      </c>
      <c r="B1012" s="515" t="s">
        <v>2454</v>
      </c>
      <c r="C1012" s="515" t="s">
        <v>880</v>
      </c>
      <c r="D1012" s="518"/>
    </row>
    <row r="1013" spans="1:4" x14ac:dyDescent="0.25">
      <c r="A1013" s="514" t="s">
        <v>2673</v>
      </c>
      <c r="B1013" s="515" t="s">
        <v>2456</v>
      </c>
      <c r="C1013" s="515" t="s">
        <v>880</v>
      </c>
      <c r="D1013" s="518"/>
    </row>
    <row r="1014" spans="1:4" x14ac:dyDescent="0.25">
      <c r="A1014" s="514" t="s">
        <v>2674</v>
      </c>
      <c r="B1014" s="515" t="s">
        <v>2483</v>
      </c>
      <c r="C1014" s="515" t="s">
        <v>880</v>
      </c>
      <c r="D1014" s="518"/>
    </row>
    <row r="1015" spans="1:4" x14ac:dyDescent="0.25">
      <c r="A1015" s="514" t="s">
        <v>2675</v>
      </c>
      <c r="B1015" s="515" t="s">
        <v>2485</v>
      </c>
      <c r="C1015" s="515" t="s">
        <v>880</v>
      </c>
      <c r="D1015" s="518"/>
    </row>
    <row r="1016" spans="1:4" x14ac:dyDescent="0.25">
      <c r="A1016" s="514" t="s">
        <v>2676</v>
      </c>
      <c r="B1016" s="515" t="s">
        <v>2487</v>
      </c>
      <c r="C1016" s="515" t="s">
        <v>880</v>
      </c>
      <c r="D1016" s="518"/>
    </row>
    <row r="1017" spans="1:4" x14ac:dyDescent="0.25">
      <c r="A1017" s="514" t="s">
        <v>2677</v>
      </c>
      <c r="B1017" s="515" t="s">
        <v>2489</v>
      </c>
      <c r="C1017" s="515" t="s">
        <v>880</v>
      </c>
      <c r="D1017" s="518"/>
    </row>
    <row r="1018" spans="1:4" x14ac:dyDescent="0.25">
      <c r="A1018" s="514" t="s">
        <v>2678</v>
      </c>
      <c r="B1018" s="515" t="s">
        <v>2491</v>
      </c>
      <c r="C1018" s="515" t="s">
        <v>880</v>
      </c>
      <c r="D1018" s="518"/>
    </row>
    <row r="1019" spans="1:4" x14ac:dyDescent="0.25">
      <c r="A1019" s="514" t="s">
        <v>2679</v>
      </c>
      <c r="B1019" s="515" t="s">
        <v>2493</v>
      </c>
      <c r="C1019" s="515" t="s">
        <v>880</v>
      </c>
      <c r="D1019" s="518"/>
    </row>
    <row r="1020" spans="1:4" x14ac:dyDescent="0.25">
      <c r="A1020" s="514" t="s">
        <v>2680</v>
      </c>
      <c r="B1020" s="515" t="s">
        <v>2472</v>
      </c>
      <c r="C1020" s="515" t="s">
        <v>880</v>
      </c>
      <c r="D1020" s="518"/>
    </row>
    <row r="1021" spans="1:4" x14ac:dyDescent="0.25">
      <c r="A1021" s="514" t="s">
        <v>2681</v>
      </c>
      <c r="B1021" s="515" t="s">
        <v>2474</v>
      </c>
      <c r="C1021" s="515" t="s">
        <v>880</v>
      </c>
      <c r="D1021" s="518"/>
    </row>
    <row r="1022" spans="1:4" x14ac:dyDescent="0.25">
      <c r="A1022" s="514" t="s">
        <v>2682</v>
      </c>
      <c r="B1022" s="515" t="s">
        <v>2476</v>
      </c>
      <c r="C1022" s="515" t="s">
        <v>880</v>
      </c>
      <c r="D1022" s="518"/>
    </row>
    <row r="1023" spans="1:4" x14ac:dyDescent="0.25">
      <c r="A1023" s="514" t="s">
        <v>2683</v>
      </c>
      <c r="B1023" s="515" t="s">
        <v>2478</v>
      </c>
      <c r="C1023" s="515" t="s">
        <v>880</v>
      </c>
      <c r="D1023" s="518"/>
    </row>
    <row r="1024" spans="1:4" x14ac:dyDescent="0.25">
      <c r="A1024" s="514" t="s">
        <v>2684</v>
      </c>
      <c r="B1024" s="515" t="s">
        <v>2499</v>
      </c>
      <c r="C1024" s="515" t="s">
        <v>880</v>
      </c>
      <c r="D1024" s="518"/>
    </row>
    <row r="1025" spans="1:4" x14ac:dyDescent="0.25">
      <c r="A1025" s="514" t="s">
        <v>2685</v>
      </c>
      <c r="B1025" s="515" t="s">
        <v>2501</v>
      </c>
      <c r="C1025" s="515" t="s">
        <v>880</v>
      </c>
      <c r="D1025" s="518"/>
    </row>
    <row r="1026" spans="1:4" x14ac:dyDescent="0.25">
      <c r="A1026" s="514" t="s">
        <v>2686</v>
      </c>
      <c r="B1026" s="515" t="s">
        <v>2503</v>
      </c>
      <c r="C1026" s="515" t="s">
        <v>880</v>
      </c>
      <c r="D1026" s="518"/>
    </row>
    <row r="1027" spans="1:4" x14ac:dyDescent="0.25">
      <c r="A1027" s="514" t="s">
        <v>2687</v>
      </c>
      <c r="B1027" s="515" t="s">
        <v>2505</v>
      </c>
      <c r="C1027" s="515" t="s">
        <v>880</v>
      </c>
      <c r="D1027" s="518"/>
    </row>
    <row r="1028" spans="1:4" x14ac:dyDescent="0.25">
      <c r="A1028" s="514" t="s">
        <v>2688</v>
      </c>
      <c r="B1028" s="515" t="s">
        <v>2507</v>
      </c>
      <c r="C1028" s="515" t="s">
        <v>880</v>
      </c>
      <c r="D1028" s="518"/>
    </row>
    <row r="1029" spans="1:4" x14ac:dyDescent="0.25">
      <c r="A1029" s="514" t="s">
        <v>2689</v>
      </c>
      <c r="B1029" s="515" t="s">
        <v>2503</v>
      </c>
      <c r="C1029" s="515" t="s">
        <v>880</v>
      </c>
      <c r="D1029" s="518"/>
    </row>
    <row r="1030" spans="1:4" x14ac:dyDescent="0.25">
      <c r="A1030" s="514" t="s">
        <v>2690</v>
      </c>
      <c r="B1030" s="515" t="s">
        <v>2505</v>
      </c>
      <c r="C1030" s="515" t="s">
        <v>880</v>
      </c>
      <c r="D1030" s="518"/>
    </row>
    <row r="1031" spans="1:4" s="512" customFormat="1" ht="30.75" customHeight="1" x14ac:dyDescent="0.25">
      <c r="A1031" s="514" t="s">
        <v>2691</v>
      </c>
      <c r="B1031" s="515" t="s">
        <v>2507</v>
      </c>
      <c r="C1031" s="515" t="s">
        <v>880</v>
      </c>
      <c r="D1031" s="593"/>
    </row>
    <row r="1032" spans="1:4" ht="51" x14ac:dyDescent="0.25">
      <c r="A1032" s="511" t="s">
        <v>2692</v>
      </c>
      <c r="B1032" s="591" t="s">
        <v>2693</v>
      </c>
      <c r="C1032" s="592"/>
      <c r="D1032" s="518"/>
    </row>
    <row r="1033" spans="1:4" x14ac:dyDescent="0.25">
      <c r="A1033" s="514" t="s">
        <v>2694</v>
      </c>
      <c r="B1033" s="515" t="s">
        <v>2651</v>
      </c>
      <c r="C1033" s="515" t="s">
        <v>880</v>
      </c>
      <c r="D1033" s="518"/>
    </row>
    <row r="1034" spans="1:4" x14ac:dyDescent="0.25">
      <c r="A1034" s="514" t="s">
        <v>2695</v>
      </c>
      <c r="B1034" s="515" t="s">
        <v>2653</v>
      </c>
      <c r="C1034" s="515" t="s">
        <v>880</v>
      </c>
      <c r="D1034" s="518"/>
    </row>
    <row r="1035" spans="1:4" x14ac:dyDescent="0.25">
      <c r="A1035" s="514" t="s">
        <v>2696</v>
      </c>
      <c r="B1035" s="515" t="s">
        <v>2655</v>
      </c>
      <c r="C1035" s="515" t="s">
        <v>880</v>
      </c>
      <c r="D1035" s="518"/>
    </row>
    <row r="1036" spans="1:4" x14ac:dyDescent="0.25">
      <c r="A1036" s="514" t="s">
        <v>2697</v>
      </c>
      <c r="B1036" s="515" t="s">
        <v>2454</v>
      </c>
      <c r="C1036" s="515" t="s">
        <v>880</v>
      </c>
      <c r="D1036" s="518"/>
    </row>
    <row r="1037" spans="1:4" x14ac:dyDescent="0.25">
      <c r="A1037" s="514" t="s">
        <v>2698</v>
      </c>
      <c r="B1037" s="515" t="s">
        <v>2456</v>
      </c>
      <c r="C1037" s="515" t="s">
        <v>880</v>
      </c>
      <c r="D1037" s="518"/>
    </row>
    <row r="1038" spans="1:4" x14ac:dyDescent="0.25">
      <c r="A1038" s="514" t="s">
        <v>2699</v>
      </c>
      <c r="B1038" s="515" t="s">
        <v>2483</v>
      </c>
      <c r="C1038" s="515" t="s">
        <v>880</v>
      </c>
      <c r="D1038" s="518"/>
    </row>
    <row r="1039" spans="1:4" x14ac:dyDescent="0.25">
      <c r="A1039" s="514" t="s">
        <v>2700</v>
      </c>
      <c r="B1039" s="515" t="s">
        <v>2485</v>
      </c>
      <c r="C1039" s="515" t="s">
        <v>880</v>
      </c>
      <c r="D1039" s="518"/>
    </row>
    <row r="1040" spans="1:4" x14ac:dyDescent="0.25">
      <c r="A1040" s="514" t="s">
        <v>2701</v>
      </c>
      <c r="B1040" s="515" t="s">
        <v>2487</v>
      </c>
      <c r="C1040" s="515" t="s">
        <v>880</v>
      </c>
      <c r="D1040" s="518"/>
    </row>
    <row r="1041" spans="1:4" x14ac:dyDescent="0.25">
      <c r="A1041" s="514" t="s">
        <v>2702</v>
      </c>
      <c r="B1041" s="515" t="s">
        <v>2489</v>
      </c>
      <c r="C1041" s="515" t="s">
        <v>880</v>
      </c>
      <c r="D1041" s="518"/>
    </row>
    <row r="1042" spans="1:4" x14ac:dyDescent="0.25">
      <c r="A1042" s="514" t="s">
        <v>2703</v>
      </c>
      <c r="B1042" s="515" t="s">
        <v>2491</v>
      </c>
      <c r="C1042" s="515" t="s">
        <v>880</v>
      </c>
      <c r="D1042" s="518"/>
    </row>
    <row r="1043" spans="1:4" x14ac:dyDescent="0.25">
      <c r="A1043" s="514" t="s">
        <v>2704</v>
      </c>
      <c r="B1043" s="515" t="s">
        <v>2493</v>
      </c>
      <c r="C1043" s="515" t="s">
        <v>880</v>
      </c>
      <c r="D1043" s="518"/>
    </row>
    <row r="1044" spans="1:4" x14ac:dyDescent="0.25">
      <c r="A1044" s="514" t="s">
        <v>2705</v>
      </c>
      <c r="B1044" s="515" t="s">
        <v>2472</v>
      </c>
      <c r="C1044" s="515" t="s">
        <v>880</v>
      </c>
      <c r="D1044" s="518"/>
    </row>
    <row r="1045" spans="1:4" x14ac:dyDescent="0.25">
      <c r="A1045" s="514" t="s">
        <v>2706</v>
      </c>
      <c r="B1045" s="515" t="s">
        <v>2474</v>
      </c>
      <c r="C1045" s="515" t="s">
        <v>880</v>
      </c>
      <c r="D1045" s="518"/>
    </row>
    <row r="1046" spans="1:4" x14ac:dyDescent="0.25">
      <c r="A1046" s="514" t="s">
        <v>2707</v>
      </c>
      <c r="B1046" s="515" t="s">
        <v>2476</v>
      </c>
      <c r="C1046" s="515" t="s">
        <v>880</v>
      </c>
      <c r="D1046" s="518"/>
    </row>
    <row r="1047" spans="1:4" x14ac:dyDescent="0.25">
      <c r="A1047" s="514" t="s">
        <v>2708</v>
      </c>
      <c r="B1047" s="515" t="s">
        <v>2478</v>
      </c>
      <c r="C1047" s="515" t="s">
        <v>880</v>
      </c>
      <c r="D1047" s="518"/>
    </row>
    <row r="1048" spans="1:4" x14ac:dyDescent="0.25">
      <c r="A1048" s="514" t="s">
        <v>2709</v>
      </c>
      <c r="B1048" s="515" t="s">
        <v>2499</v>
      </c>
      <c r="C1048" s="515" t="s">
        <v>880</v>
      </c>
      <c r="D1048" s="518"/>
    </row>
    <row r="1049" spans="1:4" x14ac:dyDescent="0.25">
      <c r="A1049" s="514" t="s">
        <v>2710</v>
      </c>
      <c r="B1049" s="515" t="s">
        <v>2501</v>
      </c>
      <c r="C1049" s="515" t="s">
        <v>880</v>
      </c>
      <c r="D1049" s="518"/>
    </row>
    <row r="1050" spans="1:4" x14ac:dyDescent="0.25">
      <c r="A1050" s="514" t="s">
        <v>2711</v>
      </c>
      <c r="B1050" s="515" t="s">
        <v>2503</v>
      </c>
      <c r="C1050" s="515" t="s">
        <v>880</v>
      </c>
      <c r="D1050" s="518"/>
    </row>
    <row r="1051" spans="1:4" x14ac:dyDescent="0.25">
      <c r="A1051" s="514" t="s">
        <v>2712</v>
      </c>
      <c r="B1051" s="515" t="s">
        <v>2505</v>
      </c>
      <c r="C1051" s="515" t="s">
        <v>880</v>
      </c>
      <c r="D1051" s="518"/>
    </row>
    <row r="1052" spans="1:4" s="512" customFormat="1" ht="30.75" customHeight="1" x14ac:dyDescent="0.25">
      <c r="A1052" s="514" t="s">
        <v>2713</v>
      </c>
      <c r="B1052" s="515" t="s">
        <v>2507</v>
      </c>
      <c r="C1052" s="515" t="s">
        <v>880</v>
      </c>
      <c r="D1052" s="593"/>
    </row>
    <row r="1053" spans="1:4" ht="51" x14ac:dyDescent="0.25">
      <c r="A1053" s="511" t="s">
        <v>2714</v>
      </c>
      <c r="B1053" s="591" t="s">
        <v>2715</v>
      </c>
      <c r="C1053" s="592"/>
      <c r="D1053" s="519"/>
    </row>
    <row r="1054" spans="1:4" x14ac:dyDescent="0.25">
      <c r="A1054" s="514" t="s">
        <v>2716</v>
      </c>
      <c r="B1054" s="515" t="s">
        <v>2717</v>
      </c>
      <c r="C1054" s="515" t="s">
        <v>880</v>
      </c>
      <c r="D1054" s="519"/>
    </row>
    <row r="1055" spans="1:4" x14ac:dyDescent="0.25">
      <c r="A1055" s="514" t="s">
        <v>2718</v>
      </c>
      <c r="B1055" s="515" t="s">
        <v>2719</v>
      </c>
      <c r="C1055" s="515" t="s">
        <v>880</v>
      </c>
      <c r="D1055" s="519"/>
    </row>
    <row r="1056" spans="1:4" x14ac:dyDescent="0.25">
      <c r="A1056" s="514" t="s">
        <v>2720</v>
      </c>
      <c r="B1056" s="515" t="s">
        <v>2721</v>
      </c>
      <c r="C1056" s="515" t="s">
        <v>880</v>
      </c>
      <c r="D1056" s="519"/>
    </row>
    <row r="1057" spans="1:4" x14ac:dyDescent="0.25">
      <c r="A1057" s="514" t="s">
        <v>2722</v>
      </c>
      <c r="B1057" s="515" t="s">
        <v>2723</v>
      </c>
      <c r="C1057" s="515" t="s">
        <v>880</v>
      </c>
      <c r="D1057" s="519"/>
    </row>
    <row r="1058" spans="1:4" x14ac:dyDescent="0.25">
      <c r="A1058" s="514" t="s">
        <v>2724</v>
      </c>
      <c r="B1058" s="515" t="s">
        <v>2725</v>
      </c>
      <c r="C1058" s="515" t="s">
        <v>880</v>
      </c>
      <c r="D1058" s="519"/>
    </row>
    <row r="1059" spans="1:4" x14ac:dyDescent="0.25">
      <c r="A1059" s="514" t="s">
        <v>2726</v>
      </c>
      <c r="B1059" s="515" t="s">
        <v>2727</v>
      </c>
      <c r="C1059" s="515" t="s">
        <v>880</v>
      </c>
      <c r="D1059" s="519"/>
    </row>
    <row r="1060" spans="1:4" x14ac:dyDescent="0.25">
      <c r="A1060" s="514" t="s">
        <v>2728</v>
      </c>
      <c r="B1060" s="515" t="s">
        <v>2729</v>
      </c>
      <c r="C1060" s="515" t="s">
        <v>880</v>
      </c>
      <c r="D1060" s="519"/>
    </row>
    <row r="1061" spans="1:4" x14ac:dyDescent="0.25">
      <c r="A1061" s="514" t="s">
        <v>2730</v>
      </c>
      <c r="B1061" s="515" t="s">
        <v>2731</v>
      </c>
      <c r="C1061" s="515" t="s">
        <v>880</v>
      </c>
      <c r="D1061" s="519"/>
    </row>
    <row r="1062" spans="1:4" x14ac:dyDescent="0.25">
      <c r="A1062" s="514" t="s">
        <v>2732</v>
      </c>
      <c r="B1062" s="515" t="s">
        <v>2733</v>
      </c>
      <c r="C1062" s="515" t="s">
        <v>880</v>
      </c>
      <c r="D1062" s="519"/>
    </row>
    <row r="1063" spans="1:4" x14ac:dyDescent="0.25">
      <c r="A1063" s="514" t="s">
        <v>2734</v>
      </c>
      <c r="B1063" s="515" t="s">
        <v>2735</v>
      </c>
      <c r="C1063" s="515" t="s">
        <v>880</v>
      </c>
      <c r="D1063" s="519"/>
    </row>
    <row r="1064" spans="1:4" x14ac:dyDescent="0.25">
      <c r="A1064" s="514" t="s">
        <v>2736</v>
      </c>
      <c r="B1064" s="515" t="s">
        <v>2737</v>
      </c>
      <c r="C1064" s="515" t="s">
        <v>880</v>
      </c>
      <c r="D1064" s="519"/>
    </row>
    <row r="1065" spans="1:4" x14ac:dyDescent="0.25">
      <c r="A1065" s="514" t="s">
        <v>2738</v>
      </c>
      <c r="B1065" s="515" t="s">
        <v>2739</v>
      </c>
      <c r="C1065" s="515" t="s">
        <v>880</v>
      </c>
      <c r="D1065" s="519"/>
    </row>
    <row r="1066" spans="1:4" x14ac:dyDescent="0.25">
      <c r="A1066" s="514" t="s">
        <v>2740</v>
      </c>
      <c r="B1066" s="515" t="s">
        <v>2741</v>
      </c>
      <c r="C1066" s="515" t="s">
        <v>880</v>
      </c>
      <c r="D1066" s="519"/>
    </row>
    <row r="1067" spans="1:4" x14ac:dyDescent="0.25">
      <c r="A1067" s="514" t="s">
        <v>2742</v>
      </c>
      <c r="B1067" s="515" t="s">
        <v>2743</v>
      </c>
      <c r="C1067" s="515" t="s">
        <v>880</v>
      </c>
      <c r="D1067" s="519"/>
    </row>
    <row r="1068" spans="1:4" x14ac:dyDescent="0.25">
      <c r="A1068" s="514" t="s">
        <v>2744</v>
      </c>
      <c r="B1068" s="515" t="s">
        <v>2745</v>
      </c>
      <c r="C1068" s="515" t="s">
        <v>880</v>
      </c>
      <c r="D1068" s="519"/>
    </row>
    <row r="1069" spans="1:4" x14ac:dyDescent="0.25">
      <c r="A1069" s="514" t="s">
        <v>2746</v>
      </c>
      <c r="B1069" s="515" t="s">
        <v>2747</v>
      </c>
      <c r="C1069" s="515" t="s">
        <v>880</v>
      </c>
      <c r="D1069" s="519"/>
    </row>
    <row r="1070" spans="1:4" x14ac:dyDescent="0.25">
      <c r="A1070" s="514" t="s">
        <v>2748</v>
      </c>
      <c r="B1070" s="515" t="s">
        <v>2741</v>
      </c>
      <c r="C1070" s="515" t="s">
        <v>880</v>
      </c>
      <c r="D1070" s="519"/>
    </row>
    <row r="1071" spans="1:4" x14ac:dyDescent="0.25">
      <c r="A1071" s="514" t="s">
        <v>2749</v>
      </c>
      <c r="B1071" s="515" t="s">
        <v>2743</v>
      </c>
      <c r="C1071" s="515" t="s">
        <v>880</v>
      </c>
      <c r="D1071" s="519"/>
    </row>
    <row r="1072" spans="1:4" x14ac:dyDescent="0.25">
      <c r="A1072" s="514" t="s">
        <v>2750</v>
      </c>
      <c r="B1072" s="515" t="s">
        <v>2745</v>
      </c>
      <c r="C1072" s="515" t="s">
        <v>880</v>
      </c>
      <c r="D1072" s="519"/>
    </row>
    <row r="1073" spans="1:4" s="512" customFormat="1" ht="31.5" customHeight="1" x14ac:dyDescent="0.25">
      <c r="A1073" s="514" t="s">
        <v>2751</v>
      </c>
      <c r="B1073" s="515" t="s">
        <v>2747</v>
      </c>
      <c r="C1073" s="515" t="s">
        <v>880</v>
      </c>
      <c r="D1073" s="593"/>
    </row>
    <row r="1074" spans="1:4" ht="51" x14ac:dyDescent="0.25">
      <c r="A1074" s="511" t="s">
        <v>2752</v>
      </c>
      <c r="B1074" s="591" t="s">
        <v>2753</v>
      </c>
      <c r="C1074" s="592"/>
      <c r="D1074" s="519"/>
    </row>
    <row r="1075" spans="1:4" x14ac:dyDescent="0.25">
      <c r="A1075" s="514" t="s">
        <v>2754</v>
      </c>
      <c r="B1075" s="515" t="s">
        <v>2717</v>
      </c>
      <c r="C1075" s="515" t="s">
        <v>880</v>
      </c>
      <c r="D1075" s="519"/>
    </row>
    <row r="1076" spans="1:4" x14ac:dyDescent="0.25">
      <c r="A1076" s="514" t="s">
        <v>2755</v>
      </c>
      <c r="B1076" s="515" t="s">
        <v>2719</v>
      </c>
      <c r="C1076" s="515" t="s">
        <v>880</v>
      </c>
      <c r="D1076" s="519"/>
    </row>
    <row r="1077" spans="1:4" x14ac:dyDescent="0.25">
      <c r="A1077" s="514" t="s">
        <v>2756</v>
      </c>
      <c r="B1077" s="515" t="s">
        <v>2721</v>
      </c>
      <c r="C1077" s="515" t="s">
        <v>880</v>
      </c>
      <c r="D1077" s="519"/>
    </row>
    <row r="1078" spans="1:4" x14ac:dyDescent="0.25">
      <c r="A1078" s="514" t="s">
        <v>2757</v>
      </c>
      <c r="B1078" s="515" t="s">
        <v>2723</v>
      </c>
      <c r="C1078" s="515" t="s">
        <v>880</v>
      </c>
      <c r="D1078" s="519"/>
    </row>
    <row r="1079" spans="1:4" x14ac:dyDescent="0.25">
      <c r="A1079" s="514" t="s">
        <v>2758</v>
      </c>
      <c r="B1079" s="515" t="s">
        <v>2725</v>
      </c>
      <c r="C1079" s="515" t="s">
        <v>880</v>
      </c>
      <c r="D1079" s="519"/>
    </row>
    <row r="1080" spans="1:4" x14ac:dyDescent="0.25">
      <c r="A1080" s="514" t="s">
        <v>2759</v>
      </c>
      <c r="B1080" s="515" t="s">
        <v>2727</v>
      </c>
      <c r="C1080" s="515" t="s">
        <v>880</v>
      </c>
      <c r="D1080" s="519"/>
    </row>
    <row r="1081" spans="1:4" x14ac:dyDescent="0.25">
      <c r="A1081" s="514" t="s">
        <v>2760</v>
      </c>
      <c r="B1081" s="515" t="s">
        <v>2729</v>
      </c>
      <c r="C1081" s="515" t="s">
        <v>880</v>
      </c>
      <c r="D1081" s="519"/>
    </row>
    <row r="1082" spans="1:4" x14ac:dyDescent="0.25">
      <c r="A1082" s="514" t="s">
        <v>2761</v>
      </c>
      <c r="B1082" s="515" t="s">
        <v>2731</v>
      </c>
      <c r="C1082" s="515" t="s">
        <v>880</v>
      </c>
      <c r="D1082" s="519"/>
    </row>
    <row r="1083" spans="1:4" x14ac:dyDescent="0.25">
      <c r="A1083" s="514" t="s">
        <v>2762</v>
      </c>
      <c r="B1083" s="515" t="s">
        <v>2733</v>
      </c>
      <c r="C1083" s="515" t="s">
        <v>880</v>
      </c>
      <c r="D1083" s="519"/>
    </row>
    <row r="1084" spans="1:4" x14ac:dyDescent="0.25">
      <c r="A1084" s="514" t="s">
        <v>2763</v>
      </c>
      <c r="B1084" s="515" t="s">
        <v>2735</v>
      </c>
      <c r="C1084" s="515" t="s">
        <v>880</v>
      </c>
      <c r="D1084" s="519"/>
    </row>
    <row r="1085" spans="1:4" x14ac:dyDescent="0.25">
      <c r="A1085" s="514" t="s">
        <v>2764</v>
      </c>
      <c r="B1085" s="515" t="s">
        <v>2737</v>
      </c>
      <c r="C1085" s="515" t="s">
        <v>880</v>
      </c>
      <c r="D1085" s="519"/>
    </row>
    <row r="1086" spans="1:4" x14ac:dyDescent="0.25">
      <c r="A1086" s="514" t="s">
        <v>2765</v>
      </c>
      <c r="B1086" s="515" t="s">
        <v>2739</v>
      </c>
      <c r="C1086" s="515" t="s">
        <v>880</v>
      </c>
      <c r="D1086" s="519"/>
    </row>
    <row r="1087" spans="1:4" x14ac:dyDescent="0.25">
      <c r="A1087" s="514" t="s">
        <v>2766</v>
      </c>
      <c r="B1087" s="515" t="s">
        <v>2741</v>
      </c>
      <c r="C1087" s="515" t="s">
        <v>880</v>
      </c>
      <c r="D1087" s="519"/>
    </row>
    <row r="1088" spans="1:4" x14ac:dyDescent="0.25">
      <c r="A1088" s="514" t="s">
        <v>2767</v>
      </c>
      <c r="B1088" s="515" t="s">
        <v>2743</v>
      </c>
      <c r="C1088" s="515" t="s">
        <v>880</v>
      </c>
      <c r="D1088" s="519"/>
    </row>
    <row r="1089" spans="1:4" x14ac:dyDescent="0.25">
      <c r="A1089" s="514" t="s">
        <v>2768</v>
      </c>
      <c r="B1089" s="515" t="s">
        <v>2745</v>
      </c>
      <c r="C1089" s="515" t="s">
        <v>880</v>
      </c>
      <c r="D1089" s="519"/>
    </row>
    <row r="1090" spans="1:4" x14ac:dyDescent="0.25">
      <c r="A1090" s="514" t="s">
        <v>2769</v>
      </c>
      <c r="B1090" s="515" t="s">
        <v>2747</v>
      </c>
      <c r="C1090" s="515" t="s">
        <v>880</v>
      </c>
      <c r="D1090" s="519"/>
    </row>
    <row r="1091" spans="1:4" x14ac:dyDescent="0.25">
      <c r="A1091" s="514" t="s">
        <v>2770</v>
      </c>
      <c r="B1091" s="515" t="s">
        <v>2741</v>
      </c>
      <c r="C1091" s="515" t="s">
        <v>880</v>
      </c>
      <c r="D1091" s="519"/>
    </row>
    <row r="1092" spans="1:4" x14ac:dyDescent="0.25">
      <c r="A1092" s="514" t="s">
        <v>2771</v>
      </c>
      <c r="B1092" s="515" t="s">
        <v>2743</v>
      </c>
      <c r="C1092" s="515" t="s">
        <v>880</v>
      </c>
      <c r="D1092" s="519"/>
    </row>
    <row r="1093" spans="1:4" x14ac:dyDescent="0.25">
      <c r="A1093" s="514" t="s">
        <v>2772</v>
      </c>
      <c r="B1093" s="515" t="s">
        <v>2745</v>
      </c>
      <c r="C1093" s="515" t="s">
        <v>880</v>
      </c>
      <c r="D1093" s="519"/>
    </row>
    <row r="1094" spans="1:4" s="512" customFormat="1" x14ac:dyDescent="0.25">
      <c r="A1094" s="514" t="s">
        <v>2773</v>
      </c>
      <c r="B1094" s="515" t="s">
        <v>2747</v>
      </c>
      <c r="C1094" s="515" t="s">
        <v>880</v>
      </c>
      <c r="D1094" s="593"/>
    </row>
    <row r="1095" spans="1:4" ht="25.5" x14ac:dyDescent="0.25">
      <c r="A1095" s="511" t="s">
        <v>2774</v>
      </c>
      <c r="B1095" s="591" t="s">
        <v>2775</v>
      </c>
      <c r="C1095" s="592"/>
      <c r="D1095" s="518"/>
    </row>
    <row r="1096" spans="1:4" x14ac:dyDescent="0.25">
      <c r="A1096" s="514" t="s">
        <v>2776</v>
      </c>
      <c r="B1096" s="515" t="s">
        <v>2777</v>
      </c>
      <c r="C1096" s="515" t="s">
        <v>880</v>
      </c>
      <c r="D1096" s="518"/>
    </row>
    <row r="1097" spans="1:4" x14ac:dyDescent="0.25">
      <c r="A1097" s="514" t="s">
        <v>2778</v>
      </c>
      <c r="B1097" s="515" t="s">
        <v>2779</v>
      </c>
      <c r="C1097" s="515" t="s">
        <v>880</v>
      </c>
      <c r="D1097" s="518"/>
    </row>
    <row r="1098" spans="1:4" x14ac:dyDescent="0.25">
      <c r="A1098" s="514" t="s">
        <v>2780</v>
      </c>
      <c r="B1098" s="515" t="s">
        <v>2781</v>
      </c>
      <c r="C1098" s="515" t="s">
        <v>880</v>
      </c>
      <c r="D1098" s="518"/>
    </row>
    <row r="1099" spans="1:4" x14ac:dyDescent="0.25">
      <c r="A1099" s="514" t="s">
        <v>2782</v>
      </c>
      <c r="B1099" s="515" t="s">
        <v>2783</v>
      </c>
      <c r="C1099" s="515" t="s">
        <v>880</v>
      </c>
      <c r="D1099" s="518"/>
    </row>
    <row r="1100" spans="1:4" x14ac:dyDescent="0.25">
      <c r="A1100" s="514" t="s">
        <v>2784</v>
      </c>
      <c r="B1100" s="515" t="s">
        <v>2785</v>
      </c>
      <c r="C1100" s="515" t="s">
        <v>880</v>
      </c>
      <c r="D1100" s="518"/>
    </row>
    <row r="1101" spans="1:4" x14ac:dyDescent="0.25">
      <c r="A1101" s="514" t="s">
        <v>2786</v>
      </c>
      <c r="B1101" s="515" t="s">
        <v>2787</v>
      </c>
      <c r="C1101" s="515" t="s">
        <v>880</v>
      </c>
      <c r="D1101" s="518"/>
    </row>
    <row r="1102" spans="1:4" s="512" customFormat="1" x14ac:dyDescent="0.25">
      <c r="A1102" s="514" t="s">
        <v>2788</v>
      </c>
      <c r="B1102" s="515" t="s">
        <v>2789</v>
      </c>
      <c r="C1102" s="515" t="s">
        <v>880</v>
      </c>
      <c r="D1102" s="593"/>
    </row>
    <row r="1103" spans="1:4" ht="25.5" x14ac:dyDescent="0.25">
      <c r="A1103" s="511" t="s">
        <v>2790</v>
      </c>
      <c r="B1103" s="591" t="s">
        <v>2791</v>
      </c>
      <c r="C1103" s="592"/>
      <c r="D1103" s="519"/>
    </row>
    <row r="1104" spans="1:4" x14ac:dyDescent="0.25">
      <c r="A1104" s="514" t="s">
        <v>2792</v>
      </c>
      <c r="B1104" s="515" t="s">
        <v>2651</v>
      </c>
      <c r="C1104" s="515" t="s">
        <v>880</v>
      </c>
      <c r="D1104" s="519"/>
    </row>
    <row r="1105" spans="1:4" x14ac:dyDescent="0.25">
      <c r="A1105" s="514" t="s">
        <v>2793</v>
      </c>
      <c r="B1105" s="515" t="s">
        <v>2653</v>
      </c>
      <c r="C1105" s="515" t="s">
        <v>880</v>
      </c>
      <c r="D1105" s="519"/>
    </row>
    <row r="1106" spans="1:4" x14ac:dyDescent="0.25">
      <c r="A1106" s="514" t="s">
        <v>2794</v>
      </c>
      <c r="B1106" s="515" t="s">
        <v>2655</v>
      </c>
      <c r="C1106" s="515" t="s">
        <v>880</v>
      </c>
      <c r="D1106" s="519"/>
    </row>
    <row r="1107" spans="1:4" x14ac:dyDescent="0.25">
      <c r="A1107" s="514" t="s">
        <v>2795</v>
      </c>
      <c r="B1107" s="515" t="s">
        <v>2454</v>
      </c>
      <c r="C1107" s="515" t="s">
        <v>880</v>
      </c>
      <c r="D1107" s="519"/>
    </row>
    <row r="1108" spans="1:4" x14ac:dyDescent="0.25">
      <c r="A1108" s="514" t="s">
        <v>2796</v>
      </c>
      <c r="B1108" s="515" t="s">
        <v>2456</v>
      </c>
      <c r="C1108" s="515" t="s">
        <v>880</v>
      </c>
      <c r="D1108" s="519"/>
    </row>
    <row r="1109" spans="1:4" x14ac:dyDescent="0.25">
      <c r="A1109" s="514" t="s">
        <v>2797</v>
      </c>
      <c r="B1109" s="515" t="s">
        <v>2483</v>
      </c>
      <c r="C1109" s="515" t="s">
        <v>880</v>
      </c>
      <c r="D1109" s="519"/>
    </row>
    <row r="1110" spans="1:4" x14ac:dyDescent="0.25">
      <c r="A1110" s="514" t="s">
        <v>2798</v>
      </c>
      <c r="B1110" s="515" t="s">
        <v>2485</v>
      </c>
      <c r="C1110" s="515" t="s">
        <v>880</v>
      </c>
      <c r="D1110" s="519"/>
    </row>
    <row r="1111" spans="1:4" s="512" customFormat="1" x14ac:dyDescent="0.25">
      <c r="A1111" s="514" t="s">
        <v>2799</v>
      </c>
      <c r="B1111" s="515" t="s">
        <v>2723</v>
      </c>
      <c r="C1111" s="515" t="s">
        <v>880</v>
      </c>
      <c r="D1111" s="593"/>
    </row>
    <row r="1112" spans="1:4" s="512" customFormat="1" ht="25.5" x14ac:dyDescent="0.25">
      <c r="A1112" s="511" t="s">
        <v>2800</v>
      </c>
      <c r="B1112" s="591" t="s">
        <v>2801</v>
      </c>
      <c r="C1112" s="592"/>
      <c r="D1112" s="593"/>
    </row>
    <row r="1113" spans="1:4" s="512" customFormat="1" ht="12.75" customHeight="1" x14ac:dyDescent="0.25">
      <c r="A1113" s="511" t="s">
        <v>2802</v>
      </c>
      <c r="B1113" s="591" t="s">
        <v>2803</v>
      </c>
      <c r="C1113" s="592"/>
      <c r="D1113" s="593"/>
    </row>
    <row r="1114" spans="1:4" s="512" customFormat="1" ht="51" x14ac:dyDescent="0.25">
      <c r="A1114" s="511" t="s">
        <v>2804</v>
      </c>
      <c r="B1114" s="591" t="s">
        <v>2805</v>
      </c>
      <c r="C1114" s="592"/>
      <c r="D1114" s="593"/>
    </row>
    <row r="1115" spans="1:4" x14ac:dyDescent="0.25">
      <c r="A1115" s="511" t="s">
        <v>2806</v>
      </c>
      <c r="B1115" s="591" t="s">
        <v>2807</v>
      </c>
      <c r="C1115" s="592"/>
      <c r="D1115" s="518"/>
    </row>
    <row r="1116" spans="1:4" x14ac:dyDescent="0.25">
      <c r="A1116" s="514" t="s">
        <v>2808</v>
      </c>
      <c r="B1116" s="515" t="s">
        <v>2809</v>
      </c>
      <c r="C1116" s="515" t="s">
        <v>880</v>
      </c>
      <c r="D1116" s="518"/>
    </row>
    <row r="1117" spans="1:4" x14ac:dyDescent="0.25">
      <c r="A1117" s="514" t="s">
        <v>2810</v>
      </c>
      <c r="B1117" s="515" t="s">
        <v>2811</v>
      </c>
      <c r="C1117" s="515" t="s">
        <v>880</v>
      </c>
      <c r="D1117" s="518"/>
    </row>
    <row r="1118" spans="1:4" s="512" customFormat="1" x14ac:dyDescent="0.25">
      <c r="A1118" s="514" t="s">
        <v>2812</v>
      </c>
      <c r="B1118" s="515" t="s">
        <v>2813</v>
      </c>
      <c r="C1118" s="515" t="s">
        <v>880</v>
      </c>
      <c r="D1118" s="593"/>
    </row>
    <row r="1119" spans="1:4" x14ac:dyDescent="0.25">
      <c r="A1119" s="511" t="s">
        <v>2814</v>
      </c>
      <c r="B1119" s="591" t="s">
        <v>2815</v>
      </c>
      <c r="C1119" s="592"/>
      <c r="D1119" s="518"/>
    </row>
    <row r="1120" spans="1:4" x14ac:dyDescent="0.25">
      <c r="A1120" s="514" t="s">
        <v>2816</v>
      </c>
      <c r="B1120" s="515" t="s">
        <v>2817</v>
      </c>
      <c r="C1120" s="515" t="s">
        <v>880</v>
      </c>
      <c r="D1120" s="518"/>
    </row>
    <row r="1121" spans="1:4" s="512" customFormat="1" x14ac:dyDescent="0.25">
      <c r="A1121" s="514" t="s">
        <v>2818</v>
      </c>
      <c r="B1121" s="515" t="s">
        <v>2819</v>
      </c>
      <c r="C1121" s="515" t="s">
        <v>880</v>
      </c>
      <c r="D1121" s="593"/>
    </row>
    <row r="1122" spans="1:4" x14ac:dyDescent="0.25">
      <c r="A1122" s="511" t="s">
        <v>2820</v>
      </c>
      <c r="B1122" s="591" t="s">
        <v>2821</v>
      </c>
      <c r="C1122" s="592"/>
      <c r="D1122" s="518"/>
    </row>
    <row r="1123" spans="1:4" x14ac:dyDescent="0.25">
      <c r="A1123" s="514" t="s">
        <v>2822</v>
      </c>
      <c r="B1123" s="515" t="s">
        <v>2823</v>
      </c>
      <c r="C1123" s="515" t="s">
        <v>880</v>
      </c>
      <c r="D1123" s="518"/>
    </row>
    <row r="1124" spans="1:4" s="512" customFormat="1" x14ac:dyDescent="0.25">
      <c r="A1124" s="514" t="s">
        <v>2824</v>
      </c>
      <c r="B1124" s="515" t="s">
        <v>2825</v>
      </c>
      <c r="C1124" s="515" t="s">
        <v>880</v>
      </c>
      <c r="D1124" s="593"/>
    </row>
    <row r="1125" spans="1:4" ht="25.5" x14ac:dyDescent="0.25">
      <c r="A1125" s="511" t="s">
        <v>2826</v>
      </c>
      <c r="B1125" s="591" t="s">
        <v>2827</v>
      </c>
      <c r="C1125" s="592"/>
      <c r="D1125" s="518"/>
    </row>
    <row r="1126" spans="1:4" x14ac:dyDescent="0.25">
      <c r="A1126" s="514" t="s">
        <v>2828</v>
      </c>
      <c r="B1126" s="515" t="s">
        <v>2829</v>
      </c>
      <c r="C1126" s="515" t="s">
        <v>880</v>
      </c>
      <c r="D1126" s="518"/>
    </row>
    <row r="1127" spans="1:4" x14ac:dyDescent="0.25">
      <c r="A1127" s="514" t="s">
        <v>2830</v>
      </c>
      <c r="B1127" s="515" t="s">
        <v>2831</v>
      </c>
      <c r="C1127" s="515" t="s">
        <v>880</v>
      </c>
      <c r="D1127" s="518"/>
    </row>
    <row r="1128" spans="1:4" s="512" customFormat="1" x14ac:dyDescent="0.25">
      <c r="A1128" s="514" t="s">
        <v>2832</v>
      </c>
      <c r="B1128" s="515" t="s">
        <v>2833</v>
      </c>
      <c r="C1128" s="515" t="s">
        <v>880</v>
      </c>
      <c r="D1128" s="593"/>
    </row>
    <row r="1129" spans="1:4" x14ac:dyDescent="0.25">
      <c r="A1129" s="511" t="s">
        <v>2834</v>
      </c>
      <c r="B1129" s="591" t="s">
        <v>2835</v>
      </c>
      <c r="C1129" s="592"/>
      <c r="D1129" s="518"/>
    </row>
    <row r="1130" spans="1:4" x14ac:dyDescent="0.25">
      <c r="A1130" s="514" t="s">
        <v>2836</v>
      </c>
      <c r="B1130" s="515" t="s">
        <v>2837</v>
      </c>
      <c r="C1130" s="515" t="s">
        <v>880</v>
      </c>
      <c r="D1130" s="518"/>
    </row>
    <row r="1131" spans="1:4" x14ac:dyDescent="0.25">
      <c r="A1131" s="514" t="s">
        <v>2838</v>
      </c>
      <c r="B1131" s="515" t="s">
        <v>2839</v>
      </c>
      <c r="C1131" s="515" t="s">
        <v>880</v>
      </c>
      <c r="D1131" s="518"/>
    </row>
    <row r="1132" spans="1:4" x14ac:dyDescent="0.25">
      <c r="A1132" s="514" t="s">
        <v>2840</v>
      </c>
      <c r="B1132" s="515" t="s">
        <v>2841</v>
      </c>
      <c r="C1132" s="515" t="s">
        <v>880</v>
      </c>
      <c r="D1132" s="518"/>
    </row>
    <row r="1133" spans="1:4" x14ac:dyDescent="0.25">
      <c r="A1133" s="514" t="s">
        <v>2842</v>
      </c>
      <c r="B1133" s="515" t="s">
        <v>2843</v>
      </c>
      <c r="C1133" s="515" t="s">
        <v>880</v>
      </c>
      <c r="D1133" s="518"/>
    </row>
    <row r="1134" spans="1:4" x14ac:dyDescent="0.25">
      <c r="A1134" s="514" t="s">
        <v>2844</v>
      </c>
      <c r="B1134" s="515" t="s">
        <v>2845</v>
      </c>
      <c r="C1134" s="515" t="s">
        <v>880</v>
      </c>
      <c r="D1134" s="518"/>
    </row>
    <row r="1135" spans="1:4" x14ac:dyDescent="0.25">
      <c r="A1135" s="514" t="s">
        <v>2846</v>
      </c>
      <c r="B1135" s="515" t="s">
        <v>2847</v>
      </c>
      <c r="C1135" s="515" t="s">
        <v>880</v>
      </c>
      <c r="D1135" s="518"/>
    </row>
    <row r="1136" spans="1:4" x14ac:dyDescent="0.25">
      <c r="A1136" s="514" t="s">
        <v>2848</v>
      </c>
      <c r="B1136" s="515" t="s">
        <v>2849</v>
      </c>
      <c r="C1136" s="515" t="s">
        <v>880</v>
      </c>
      <c r="D1136" s="518"/>
    </row>
    <row r="1137" spans="1:4" x14ac:dyDescent="0.25">
      <c r="A1137" s="514" t="s">
        <v>2850</v>
      </c>
      <c r="B1137" s="515" t="s">
        <v>2851</v>
      </c>
      <c r="C1137" s="515" t="s">
        <v>880</v>
      </c>
      <c r="D1137" s="518"/>
    </row>
    <row r="1138" spans="1:4" x14ac:dyDescent="0.25">
      <c r="A1138" s="514" t="s">
        <v>2852</v>
      </c>
      <c r="B1138" s="515" t="s">
        <v>2853</v>
      </c>
      <c r="C1138" s="518"/>
      <c r="D1138" s="518"/>
    </row>
    <row r="1139" spans="1:4" x14ac:dyDescent="0.25">
      <c r="A1139" s="514" t="s">
        <v>2854</v>
      </c>
      <c r="B1139" s="515" t="s">
        <v>2855</v>
      </c>
      <c r="C1139" s="515" t="s">
        <v>880</v>
      </c>
      <c r="D1139" s="518"/>
    </row>
    <row r="1140" spans="1:4" s="512" customFormat="1" ht="27" customHeight="1" x14ac:dyDescent="0.25">
      <c r="A1140" s="514" t="s">
        <v>2856</v>
      </c>
      <c r="B1140" s="515" t="s">
        <v>2857</v>
      </c>
      <c r="C1140" s="515" t="s">
        <v>880</v>
      </c>
      <c r="D1140" s="593"/>
    </row>
    <row r="1141" spans="1:4" s="512" customFormat="1" ht="38.25" x14ac:dyDescent="0.25">
      <c r="A1141" s="511" t="s">
        <v>2858</v>
      </c>
      <c r="B1141" s="591" t="s">
        <v>2859</v>
      </c>
      <c r="C1141" s="592"/>
      <c r="D1141" s="593"/>
    </row>
    <row r="1142" spans="1:4" x14ac:dyDescent="0.25">
      <c r="A1142" s="511" t="s">
        <v>2860</v>
      </c>
      <c r="B1142" s="591" t="s">
        <v>2861</v>
      </c>
      <c r="C1142" s="592"/>
      <c r="D1142" s="518"/>
    </row>
    <row r="1143" spans="1:4" x14ac:dyDescent="0.25">
      <c r="A1143" s="514" t="s">
        <v>2862</v>
      </c>
      <c r="B1143" s="515" t="s">
        <v>2863</v>
      </c>
      <c r="C1143" s="515" t="s">
        <v>880</v>
      </c>
      <c r="D1143" s="518"/>
    </row>
    <row r="1144" spans="1:4" x14ac:dyDescent="0.25">
      <c r="A1144" s="514" t="s">
        <v>2864</v>
      </c>
      <c r="B1144" s="515" t="s">
        <v>2865</v>
      </c>
      <c r="C1144" s="515" t="s">
        <v>880</v>
      </c>
      <c r="D1144" s="519"/>
    </row>
    <row r="1145" spans="1:4" x14ac:dyDescent="0.25">
      <c r="A1145" s="514" t="s">
        <v>2866</v>
      </c>
      <c r="B1145" s="515" t="s">
        <v>2867</v>
      </c>
      <c r="C1145" s="515" t="s">
        <v>880</v>
      </c>
      <c r="D1145" s="518"/>
    </row>
    <row r="1146" spans="1:4" x14ac:dyDescent="0.25">
      <c r="A1146" s="514" t="s">
        <v>2868</v>
      </c>
      <c r="B1146" s="515" t="s">
        <v>2869</v>
      </c>
      <c r="C1146" s="515" t="s">
        <v>880</v>
      </c>
      <c r="D1146" s="519"/>
    </row>
    <row r="1147" spans="1:4" x14ac:dyDescent="0.25">
      <c r="A1147" s="514" t="s">
        <v>2870</v>
      </c>
      <c r="B1147" s="515" t="s">
        <v>2871</v>
      </c>
      <c r="C1147" s="515" t="s">
        <v>880</v>
      </c>
      <c r="D1147" s="519"/>
    </row>
    <row r="1148" spans="1:4" x14ac:dyDescent="0.25">
      <c r="A1148" s="514" t="s">
        <v>2872</v>
      </c>
      <c r="B1148" s="515" t="s">
        <v>2873</v>
      </c>
      <c r="C1148" s="515" t="s">
        <v>880</v>
      </c>
      <c r="D1148" s="518"/>
    </row>
    <row r="1149" spans="1:4" x14ac:dyDescent="0.25">
      <c r="A1149" s="514" t="s">
        <v>2874</v>
      </c>
      <c r="B1149" s="515" t="s">
        <v>2875</v>
      </c>
      <c r="C1149" s="515" t="s">
        <v>880</v>
      </c>
      <c r="D1149" s="518"/>
    </row>
    <row r="1150" spans="1:4" x14ac:dyDescent="0.25">
      <c r="A1150" s="514" t="s">
        <v>2876</v>
      </c>
      <c r="B1150" s="515" t="s">
        <v>2877</v>
      </c>
      <c r="C1150" s="515" t="s">
        <v>880</v>
      </c>
      <c r="D1150" s="518"/>
    </row>
    <row r="1151" spans="1:4" x14ac:dyDescent="0.25">
      <c r="A1151" s="514" t="s">
        <v>2878</v>
      </c>
      <c r="B1151" s="515" t="s">
        <v>2879</v>
      </c>
      <c r="C1151" s="515" t="s">
        <v>880</v>
      </c>
      <c r="D1151" s="518"/>
    </row>
    <row r="1152" spans="1:4" s="512" customFormat="1" x14ac:dyDescent="0.25">
      <c r="A1152" s="514" t="s">
        <v>2880</v>
      </c>
      <c r="B1152" s="515" t="s">
        <v>2881</v>
      </c>
      <c r="C1152" s="515" t="s">
        <v>880</v>
      </c>
      <c r="D1152" s="593"/>
    </row>
    <row r="1153" spans="1:4" s="512" customFormat="1" x14ac:dyDescent="0.25">
      <c r="A1153" s="511" t="s">
        <v>2882</v>
      </c>
      <c r="B1153" s="591" t="s">
        <v>2883</v>
      </c>
      <c r="C1153" s="592"/>
      <c r="D1153" s="593"/>
    </row>
    <row r="1154" spans="1:4" x14ac:dyDescent="0.25">
      <c r="A1154" s="511" t="s">
        <v>2884</v>
      </c>
      <c r="B1154" s="591" t="s">
        <v>2885</v>
      </c>
      <c r="C1154" s="592"/>
      <c r="D1154" s="518"/>
    </row>
    <row r="1155" spans="1:4" x14ac:dyDescent="0.25">
      <c r="A1155" s="514" t="s">
        <v>2886</v>
      </c>
      <c r="B1155" s="515" t="s">
        <v>2863</v>
      </c>
      <c r="C1155" s="515" t="s">
        <v>880</v>
      </c>
      <c r="D1155" s="518"/>
    </row>
    <row r="1156" spans="1:4" x14ac:dyDescent="0.25">
      <c r="A1156" s="514" t="s">
        <v>2887</v>
      </c>
      <c r="B1156" s="515" t="s">
        <v>2865</v>
      </c>
      <c r="C1156" s="515" t="s">
        <v>880</v>
      </c>
      <c r="D1156" s="519"/>
    </row>
    <row r="1157" spans="1:4" x14ac:dyDescent="0.25">
      <c r="A1157" s="514" t="s">
        <v>2888</v>
      </c>
      <c r="B1157" s="515" t="s">
        <v>2867</v>
      </c>
      <c r="C1157" s="515" t="s">
        <v>880</v>
      </c>
      <c r="D1157" s="519"/>
    </row>
    <row r="1158" spans="1:4" x14ac:dyDescent="0.25">
      <c r="A1158" s="514" t="s">
        <v>2889</v>
      </c>
      <c r="B1158" s="515" t="s">
        <v>2869</v>
      </c>
      <c r="C1158" s="515" t="s">
        <v>880</v>
      </c>
      <c r="D1158" s="519"/>
    </row>
    <row r="1159" spans="1:4" x14ac:dyDescent="0.25">
      <c r="A1159" s="514" t="s">
        <v>2890</v>
      </c>
      <c r="B1159" s="515" t="s">
        <v>2871</v>
      </c>
      <c r="C1159" s="515" t="s">
        <v>880</v>
      </c>
      <c r="D1159" s="519"/>
    </row>
    <row r="1160" spans="1:4" x14ac:dyDescent="0.25">
      <c r="A1160" s="514" t="s">
        <v>2891</v>
      </c>
      <c r="B1160" s="515" t="s">
        <v>2873</v>
      </c>
      <c r="C1160" s="515" t="s">
        <v>880</v>
      </c>
      <c r="D1160" s="519"/>
    </row>
    <row r="1161" spans="1:4" x14ac:dyDescent="0.25">
      <c r="A1161" s="514" t="s">
        <v>2892</v>
      </c>
      <c r="B1161" s="515" t="s">
        <v>2875</v>
      </c>
      <c r="C1161" s="515" t="s">
        <v>880</v>
      </c>
      <c r="D1161" s="519"/>
    </row>
    <row r="1162" spans="1:4" x14ac:dyDescent="0.25">
      <c r="A1162" s="514" t="s">
        <v>2893</v>
      </c>
      <c r="B1162" s="515" t="s">
        <v>2877</v>
      </c>
      <c r="C1162" s="515" t="s">
        <v>880</v>
      </c>
      <c r="D1162" s="519"/>
    </row>
    <row r="1163" spans="1:4" x14ac:dyDescent="0.25">
      <c r="A1163" s="514" t="s">
        <v>2894</v>
      </c>
      <c r="B1163" s="515" t="s">
        <v>2879</v>
      </c>
      <c r="C1163" s="515" t="s">
        <v>880</v>
      </c>
      <c r="D1163" s="519"/>
    </row>
    <row r="1164" spans="1:4" ht="25.5" x14ac:dyDescent="0.25">
      <c r="A1164" s="514" t="s">
        <v>2895</v>
      </c>
      <c r="B1164" s="515" t="s">
        <v>2881</v>
      </c>
      <c r="C1164" s="515" t="s">
        <v>880</v>
      </c>
      <c r="D1164" s="519"/>
    </row>
    <row r="1165" spans="1:4" ht="25.5" x14ac:dyDescent="0.25">
      <c r="A1165" s="514" t="s">
        <v>2896</v>
      </c>
      <c r="B1165" s="515" t="s">
        <v>2897</v>
      </c>
      <c r="C1165" s="515" t="s">
        <v>880</v>
      </c>
      <c r="D1165" s="519"/>
    </row>
    <row r="1166" spans="1:4" ht="25.5" x14ac:dyDescent="0.25">
      <c r="A1166" s="514" t="s">
        <v>2898</v>
      </c>
      <c r="B1166" s="515" t="s">
        <v>2899</v>
      </c>
      <c r="C1166" s="515" t="s">
        <v>880</v>
      </c>
      <c r="D1166" s="519"/>
    </row>
    <row r="1167" spans="1:4" ht="25.5" x14ac:dyDescent="0.25">
      <c r="A1167" s="514" t="s">
        <v>2900</v>
      </c>
      <c r="B1167" s="515" t="s">
        <v>2901</v>
      </c>
      <c r="C1167" s="515" t="s">
        <v>880</v>
      </c>
      <c r="D1167" s="518"/>
    </row>
    <row r="1168" spans="1:4" ht="25.5" x14ac:dyDescent="0.25">
      <c r="A1168" s="514" t="s">
        <v>2902</v>
      </c>
      <c r="B1168" s="515" t="s">
        <v>2903</v>
      </c>
      <c r="C1168" s="515" t="s">
        <v>880</v>
      </c>
      <c r="D1168" s="518"/>
    </row>
    <row r="1169" spans="1:4" ht="25.5" x14ac:dyDescent="0.25">
      <c r="A1169" s="514" t="s">
        <v>2904</v>
      </c>
      <c r="B1169" s="515" t="s">
        <v>2905</v>
      </c>
      <c r="C1169" s="515" t="s">
        <v>880</v>
      </c>
      <c r="D1169" s="518"/>
    </row>
    <row r="1170" spans="1:4" s="512" customFormat="1" ht="25.5" x14ac:dyDescent="0.25">
      <c r="A1170" s="514" t="s">
        <v>2906</v>
      </c>
      <c r="B1170" s="515" t="s">
        <v>2907</v>
      </c>
      <c r="C1170" s="515" t="s">
        <v>880</v>
      </c>
      <c r="D1170" s="593"/>
    </row>
    <row r="1171" spans="1:4" x14ac:dyDescent="0.25">
      <c r="A1171" s="511" t="s">
        <v>2908</v>
      </c>
      <c r="B1171" s="591" t="s">
        <v>2909</v>
      </c>
      <c r="C1171" s="592"/>
      <c r="D1171" s="518"/>
    </row>
    <row r="1172" spans="1:4" x14ac:dyDescent="0.25">
      <c r="A1172" s="514" t="s">
        <v>2910</v>
      </c>
      <c r="B1172" s="515" t="s">
        <v>2911</v>
      </c>
      <c r="C1172" s="515" t="s">
        <v>880</v>
      </c>
      <c r="D1172" s="518"/>
    </row>
    <row r="1173" spans="1:4" x14ac:dyDescent="0.25">
      <c r="A1173" s="514" t="s">
        <v>2912</v>
      </c>
      <c r="B1173" s="515" t="s">
        <v>2913</v>
      </c>
      <c r="C1173" s="515" t="s">
        <v>880</v>
      </c>
      <c r="D1173" s="518"/>
    </row>
    <row r="1174" spans="1:4" x14ac:dyDescent="0.25">
      <c r="A1174" s="514" t="s">
        <v>2914</v>
      </c>
      <c r="B1174" s="515" t="s">
        <v>2915</v>
      </c>
      <c r="C1174" s="515" t="s">
        <v>880</v>
      </c>
      <c r="D1174" s="518"/>
    </row>
    <row r="1175" spans="1:4" x14ac:dyDescent="0.25">
      <c r="A1175" s="514" t="s">
        <v>2916</v>
      </c>
      <c r="B1175" s="515" t="s">
        <v>2917</v>
      </c>
      <c r="C1175" s="515" t="s">
        <v>880</v>
      </c>
      <c r="D1175" s="518"/>
    </row>
    <row r="1176" spans="1:4" x14ac:dyDescent="0.25">
      <c r="A1176" s="514" t="s">
        <v>2918</v>
      </c>
      <c r="B1176" s="515" t="s">
        <v>2919</v>
      </c>
      <c r="C1176" s="515" t="s">
        <v>880</v>
      </c>
      <c r="D1176" s="518"/>
    </row>
    <row r="1177" spans="1:4" x14ac:dyDescent="0.25">
      <c r="A1177" s="514" t="s">
        <v>2920</v>
      </c>
      <c r="B1177" s="515" t="s">
        <v>2921</v>
      </c>
      <c r="C1177" s="515" t="s">
        <v>880</v>
      </c>
      <c r="D1177" s="518"/>
    </row>
    <row r="1178" spans="1:4" x14ac:dyDescent="0.25">
      <c r="A1178" s="514" t="s">
        <v>2922</v>
      </c>
      <c r="B1178" s="515" t="s">
        <v>2923</v>
      </c>
      <c r="C1178" s="515" t="s">
        <v>880</v>
      </c>
      <c r="D1178" s="518"/>
    </row>
    <row r="1179" spans="1:4" x14ac:dyDescent="0.25">
      <c r="A1179" s="514" t="s">
        <v>2924</v>
      </c>
      <c r="B1179" s="515" t="s">
        <v>2925</v>
      </c>
      <c r="C1179" s="515" t="s">
        <v>880</v>
      </c>
      <c r="D1179" s="518"/>
    </row>
    <row r="1180" spans="1:4" x14ac:dyDescent="0.25">
      <c r="A1180" s="514" t="s">
        <v>2926</v>
      </c>
      <c r="B1180" s="515" t="s">
        <v>2927</v>
      </c>
      <c r="C1180" s="515" t="s">
        <v>880</v>
      </c>
      <c r="D1180" s="518"/>
    </row>
    <row r="1181" spans="1:4" ht="25.5" x14ac:dyDescent="0.25">
      <c r="A1181" s="514" t="s">
        <v>2928</v>
      </c>
      <c r="B1181" s="515" t="s">
        <v>2929</v>
      </c>
      <c r="C1181" s="515" t="s">
        <v>880</v>
      </c>
      <c r="D1181" s="518"/>
    </row>
    <row r="1182" spans="1:4" ht="25.5" x14ac:dyDescent="0.25">
      <c r="A1182" s="514" t="s">
        <v>2930</v>
      </c>
      <c r="B1182" s="515" t="s">
        <v>2931</v>
      </c>
      <c r="C1182" s="515" t="s">
        <v>880</v>
      </c>
      <c r="D1182" s="518"/>
    </row>
    <row r="1183" spans="1:4" ht="25.5" x14ac:dyDescent="0.25">
      <c r="A1183" s="514" t="s">
        <v>2932</v>
      </c>
      <c r="B1183" s="515" t="s">
        <v>2933</v>
      </c>
      <c r="C1183" s="515" t="s">
        <v>880</v>
      </c>
      <c r="D1183" s="519"/>
    </row>
    <row r="1184" spans="1:4" ht="25.5" x14ac:dyDescent="0.25">
      <c r="A1184" s="514" t="s">
        <v>2934</v>
      </c>
      <c r="B1184" s="515" t="s">
        <v>2935</v>
      </c>
      <c r="C1184" s="515" t="s">
        <v>880</v>
      </c>
      <c r="D1184" s="518"/>
    </row>
    <row r="1185" spans="1:4" ht="25.5" x14ac:dyDescent="0.25">
      <c r="A1185" s="514" t="s">
        <v>2936</v>
      </c>
      <c r="B1185" s="515" t="s">
        <v>2937</v>
      </c>
      <c r="C1185" s="515" t="s">
        <v>880</v>
      </c>
      <c r="D1185" s="518"/>
    </row>
    <row r="1186" spans="1:4" ht="25.5" x14ac:dyDescent="0.25">
      <c r="A1186" s="514" t="s">
        <v>2938</v>
      </c>
      <c r="B1186" s="515" t="s">
        <v>2939</v>
      </c>
      <c r="C1186" s="515" t="s">
        <v>880</v>
      </c>
      <c r="D1186" s="518"/>
    </row>
    <row r="1187" spans="1:4" s="512" customFormat="1" ht="25.5" x14ac:dyDescent="0.25">
      <c r="A1187" s="514" t="s">
        <v>2940</v>
      </c>
      <c r="B1187" s="515" t="s">
        <v>2941</v>
      </c>
      <c r="C1187" s="515" t="s">
        <v>880</v>
      </c>
      <c r="D1187" s="593"/>
    </row>
    <row r="1188" spans="1:4" s="512" customFormat="1" ht="25.5" x14ac:dyDescent="0.25">
      <c r="A1188" s="511" t="s">
        <v>2942</v>
      </c>
      <c r="B1188" s="591" t="s">
        <v>2943</v>
      </c>
      <c r="C1188" s="592"/>
      <c r="D1188" s="593"/>
    </row>
    <row r="1189" spans="1:4" x14ac:dyDescent="0.25">
      <c r="A1189" s="511" t="s">
        <v>2944</v>
      </c>
      <c r="B1189" s="591" t="s">
        <v>2885</v>
      </c>
      <c r="C1189" s="592"/>
      <c r="D1189" s="518"/>
    </row>
    <row r="1190" spans="1:4" x14ac:dyDescent="0.25">
      <c r="A1190" s="514" t="s">
        <v>2945</v>
      </c>
      <c r="B1190" s="515" t="s">
        <v>2869</v>
      </c>
      <c r="C1190" s="515" t="s">
        <v>880</v>
      </c>
      <c r="D1190" s="518"/>
    </row>
    <row r="1191" spans="1:4" x14ac:dyDescent="0.25">
      <c r="A1191" s="514" t="s">
        <v>2946</v>
      </c>
      <c r="B1191" s="515" t="s">
        <v>2871</v>
      </c>
      <c r="C1191" s="515" t="s">
        <v>880</v>
      </c>
      <c r="D1191" s="518"/>
    </row>
    <row r="1192" spans="1:4" x14ac:dyDescent="0.25">
      <c r="A1192" s="514" t="s">
        <v>2947</v>
      </c>
      <c r="B1192" s="515" t="s">
        <v>2873</v>
      </c>
      <c r="C1192" s="515" t="s">
        <v>880</v>
      </c>
      <c r="D1192" s="518"/>
    </row>
    <row r="1193" spans="1:4" x14ac:dyDescent="0.25">
      <c r="A1193" s="514" t="s">
        <v>2948</v>
      </c>
      <c r="B1193" s="515" t="s">
        <v>2875</v>
      </c>
      <c r="C1193" s="515" t="s">
        <v>880</v>
      </c>
      <c r="D1193" s="518"/>
    </row>
    <row r="1194" spans="1:4" x14ac:dyDescent="0.25">
      <c r="A1194" s="514" t="s">
        <v>2949</v>
      </c>
      <c r="B1194" s="515" t="s">
        <v>2877</v>
      </c>
      <c r="C1194" s="515" t="s">
        <v>880</v>
      </c>
      <c r="D1194" s="518"/>
    </row>
    <row r="1195" spans="1:4" x14ac:dyDescent="0.25">
      <c r="A1195" s="514" t="s">
        <v>2950</v>
      </c>
      <c r="B1195" s="515" t="s">
        <v>2879</v>
      </c>
      <c r="C1195" s="515" t="s">
        <v>880</v>
      </c>
      <c r="D1195" s="518"/>
    </row>
    <row r="1196" spans="1:4" x14ac:dyDescent="0.25">
      <c r="A1196" s="514" t="s">
        <v>2951</v>
      </c>
      <c r="B1196" s="515" t="s">
        <v>2881</v>
      </c>
      <c r="C1196" s="515" t="s">
        <v>880</v>
      </c>
      <c r="D1196" s="518"/>
    </row>
    <row r="1197" spans="1:4" x14ac:dyDescent="0.25">
      <c r="A1197" s="514" t="s">
        <v>2952</v>
      </c>
      <c r="B1197" s="515" t="s">
        <v>2897</v>
      </c>
      <c r="C1197" s="515" t="s">
        <v>880</v>
      </c>
      <c r="D1197" s="518"/>
    </row>
    <row r="1198" spans="1:4" x14ac:dyDescent="0.25">
      <c r="A1198" s="514" t="s">
        <v>2953</v>
      </c>
      <c r="B1198" s="515" t="s">
        <v>2899</v>
      </c>
      <c r="C1198" s="515" t="s">
        <v>880</v>
      </c>
      <c r="D1198" s="518"/>
    </row>
    <row r="1199" spans="1:4" ht="25.5" x14ac:dyDescent="0.25">
      <c r="A1199" s="514" t="s">
        <v>2954</v>
      </c>
      <c r="B1199" s="515" t="s">
        <v>2903</v>
      </c>
      <c r="C1199" s="515" t="s">
        <v>880</v>
      </c>
      <c r="D1199" s="518"/>
    </row>
    <row r="1200" spans="1:4" s="512" customFormat="1" ht="25.5" x14ac:dyDescent="0.25">
      <c r="A1200" s="514" t="s">
        <v>2955</v>
      </c>
      <c r="B1200" s="515" t="s">
        <v>2907</v>
      </c>
      <c r="C1200" s="515" t="s">
        <v>880</v>
      </c>
      <c r="D1200" s="593"/>
    </row>
    <row r="1201" spans="1:4" x14ac:dyDescent="0.25">
      <c r="A1201" s="511" t="s">
        <v>2956</v>
      </c>
      <c r="B1201" s="591" t="s">
        <v>2957</v>
      </c>
      <c r="C1201" s="592"/>
      <c r="D1201" s="518"/>
    </row>
    <row r="1202" spans="1:4" x14ac:dyDescent="0.25">
      <c r="A1202" s="514" t="s">
        <v>2958</v>
      </c>
      <c r="B1202" s="515" t="s">
        <v>2915</v>
      </c>
      <c r="C1202" s="515" t="s">
        <v>880</v>
      </c>
      <c r="D1202" s="518"/>
    </row>
    <row r="1203" spans="1:4" x14ac:dyDescent="0.25">
      <c r="A1203" s="514" t="s">
        <v>2959</v>
      </c>
      <c r="B1203" s="515" t="s">
        <v>2917</v>
      </c>
      <c r="C1203" s="515" t="s">
        <v>880</v>
      </c>
      <c r="D1203" s="518"/>
    </row>
    <row r="1204" spans="1:4" x14ac:dyDescent="0.25">
      <c r="A1204" s="514" t="s">
        <v>2960</v>
      </c>
      <c r="B1204" s="515" t="s">
        <v>2919</v>
      </c>
      <c r="C1204" s="515" t="s">
        <v>880</v>
      </c>
      <c r="D1204" s="518"/>
    </row>
    <row r="1205" spans="1:4" x14ac:dyDescent="0.25">
      <c r="A1205" s="514" t="s">
        <v>2961</v>
      </c>
      <c r="B1205" s="515" t="s">
        <v>2962</v>
      </c>
      <c r="C1205" s="515" t="s">
        <v>880</v>
      </c>
      <c r="D1205" s="518"/>
    </row>
    <row r="1206" spans="1:4" x14ac:dyDescent="0.25">
      <c r="A1206" s="514" t="s">
        <v>2963</v>
      </c>
      <c r="B1206" s="515" t="s">
        <v>2964</v>
      </c>
      <c r="C1206" s="515" t="s">
        <v>880</v>
      </c>
      <c r="D1206" s="518"/>
    </row>
    <row r="1207" spans="1:4" x14ac:dyDescent="0.25">
      <c r="A1207" s="514" t="s">
        <v>2965</v>
      </c>
      <c r="B1207" s="515" t="s">
        <v>2966</v>
      </c>
      <c r="C1207" s="515" t="s">
        <v>880</v>
      </c>
      <c r="D1207" s="519"/>
    </row>
    <row r="1208" spans="1:4" x14ac:dyDescent="0.25">
      <c r="A1208" s="514" t="s">
        <v>2967</v>
      </c>
      <c r="B1208" s="515" t="s">
        <v>2968</v>
      </c>
      <c r="C1208" s="515" t="s">
        <v>880</v>
      </c>
      <c r="D1208" s="518"/>
    </row>
    <row r="1209" spans="1:4" x14ac:dyDescent="0.25">
      <c r="A1209" s="514" t="s">
        <v>2969</v>
      </c>
      <c r="B1209" s="515" t="s">
        <v>2921</v>
      </c>
      <c r="C1209" s="515" t="s">
        <v>880</v>
      </c>
      <c r="D1209" s="518"/>
    </row>
    <row r="1210" spans="1:4" x14ac:dyDescent="0.25">
      <c r="A1210" s="514" t="s">
        <v>2970</v>
      </c>
      <c r="B1210" s="515" t="s">
        <v>2971</v>
      </c>
      <c r="C1210" s="515" t="s">
        <v>880</v>
      </c>
      <c r="D1210" s="518"/>
    </row>
    <row r="1211" spans="1:4" ht="25.5" x14ac:dyDescent="0.25">
      <c r="A1211" s="514" t="s">
        <v>2972</v>
      </c>
      <c r="B1211" s="515" t="s">
        <v>2923</v>
      </c>
      <c r="C1211" s="515" t="s">
        <v>880</v>
      </c>
      <c r="D1211" s="518"/>
    </row>
    <row r="1212" spans="1:4" ht="25.5" x14ac:dyDescent="0.25">
      <c r="A1212" s="514" t="s">
        <v>2973</v>
      </c>
      <c r="B1212" s="515" t="s">
        <v>2974</v>
      </c>
      <c r="C1212" s="515" t="s">
        <v>880</v>
      </c>
      <c r="D1212" s="518"/>
    </row>
    <row r="1213" spans="1:4" ht="25.5" x14ac:dyDescent="0.25">
      <c r="A1213" s="514" t="s">
        <v>2975</v>
      </c>
      <c r="B1213" s="515" t="s">
        <v>2925</v>
      </c>
      <c r="C1213" s="515" t="s">
        <v>880</v>
      </c>
      <c r="D1213" s="518"/>
    </row>
    <row r="1214" spans="1:4" ht="25.5" x14ac:dyDescent="0.25">
      <c r="A1214" s="514" t="s">
        <v>2976</v>
      </c>
      <c r="B1214" s="515" t="s">
        <v>2977</v>
      </c>
      <c r="C1214" s="515" t="s">
        <v>880</v>
      </c>
      <c r="D1214" s="518"/>
    </row>
    <row r="1215" spans="1:4" ht="25.5" x14ac:dyDescent="0.25">
      <c r="A1215" s="514" t="s">
        <v>2978</v>
      </c>
      <c r="B1215" s="515" t="s">
        <v>2927</v>
      </c>
      <c r="C1215" s="515" t="s">
        <v>880</v>
      </c>
      <c r="D1215" s="518"/>
    </row>
    <row r="1216" spans="1:4" ht="25.5" x14ac:dyDescent="0.25">
      <c r="A1216" s="514" t="s">
        <v>2979</v>
      </c>
      <c r="B1216" s="515" t="s">
        <v>2980</v>
      </c>
      <c r="C1216" s="515" t="s">
        <v>880</v>
      </c>
      <c r="D1216" s="518"/>
    </row>
    <row r="1217" spans="1:4" s="512" customFormat="1" ht="25.5" x14ac:dyDescent="0.25">
      <c r="A1217" s="514" t="s">
        <v>2981</v>
      </c>
      <c r="B1217" s="515" t="s">
        <v>2982</v>
      </c>
      <c r="C1217" s="515" t="s">
        <v>880</v>
      </c>
      <c r="D1217" s="536"/>
    </row>
    <row r="1218" spans="1:4" ht="25.5" x14ac:dyDescent="0.25">
      <c r="A1218" s="594" t="s">
        <v>2983</v>
      </c>
      <c r="B1218" s="595"/>
      <c r="C1218" s="595"/>
      <c r="D1218" s="519"/>
    </row>
    <row r="1219" spans="1:4" x14ac:dyDescent="0.25">
      <c r="A1219" s="514" t="s">
        <v>2984</v>
      </c>
      <c r="B1219" s="515" t="s">
        <v>2985</v>
      </c>
      <c r="C1219" s="515" t="s">
        <v>621</v>
      </c>
      <c r="D1219" s="519"/>
    </row>
    <row r="1220" spans="1:4" ht="25.5" x14ac:dyDescent="0.25">
      <c r="A1220" s="514" t="s">
        <v>2986</v>
      </c>
      <c r="B1220" s="515" t="s">
        <v>2987</v>
      </c>
      <c r="C1220" s="515" t="s">
        <v>2988</v>
      </c>
      <c r="D1220" s="516">
        <v>183915.8</v>
      </c>
    </row>
    <row r="1221" spans="1:4" ht="51" x14ac:dyDescent="0.25">
      <c r="A1221" s="514" t="s">
        <v>2989</v>
      </c>
      <c r="B1221" s="515" t="s">
        <v>2990</v>
      </c>
      <c r="C1221" s="515" t="s">
        <v>2991</v>
      </c>
      <c r="D1221" s="516">
        <v>83600000</v>
      </c>
    </row>
    <row r="1222" spans="1:4" x14ac:dyDescent="0.25">
      <c r="A1222" s="514" t="s">
        <v>2992</v>
      </c>
      <c r="B1222" s="515" t="s">
        <v>2993</v>
      </c>
      <c r="C1222" s="515" t="s">
        <v>2988</v>
      </c>
      <c r="D1222" s="519"/>
    </row>
    <row r="1223" spans="1:4" ht="25.5" x14ac:dyDescent="0.25">
      <c r="A1223" s="514" t="s">
        <v>2994</v>
      </c>
      <c r="B1223" s="515" t="s">
        <v>2995</v>
      </c>
      <c r="C1223" s="515" t="s">
        <v>880</v>
      </c>
      <c r="D1223" s="519"/>
    </row>
    <row r="1224" spans="1:4" ht="38.25" x14ac:dyDescent="0.25">
      <c r="A1224" s="514" t="s">
        <v>2996</v>
      </c>
      <c r="B1224" s="515" t="s">
        <v>2997</v>
      </c>
      <c r="C1224" s="515" t="s">
        <v>920</v>
      </c>
      <c r="D1224" s="519"/>
    </row>
    <row r="1225" spans="1:4" ht="25.5" x14ac:dyDescent="0.25">
      <c r="A1225" s="514" t="s">
        <v>2998</v>
      </c>
      <c r="B1225" s="515" t="s">
        <v>2999</v>
      </c>
      <c r="C1225" s="515" t="s">
        <v>621</v>
      </c>
      <c r="D1225" s="519"/>
    </row>
    <row r="1226" spans="1:4" x14ac:dyDescent="0.25">
      <c r="A1226" s="514" t="s">
        <v>3000</v>
      </c>
      <c r="B1226" s="515" t="s">
        <v>3001</v>
      </c>
      <c r="C1226" s="515" t="s">
        <v>697</v>
      </c>
      <c r="D1226" s="519"/>
    </row>
    <row r="1227" spans="1:4" x14ac:dyDescent="0.25">
      <c r="A1227" s="514" t="s">
        <v>3002</v>
      </c>
      <c r="B1227" s="515" t="s">
        <v>3003</v>
      </c>
      <c r="C1227" s="515" t="s">
        <v>697</v>
      </c>
      <c r="D1227" s="519"/>
    </row>
    <row r="1228" spans="1:4" x14ac:dyDescent="0.25">
      <c r="A1228" s="514" t="s">
        <v>3004</v>
      </c>
      <c r="B1228" s="515" t="s">
        <v>3005</v>
      </c>
      <c r="C1228" s="515" t="s">
        <v>1008</v>
      </c>
      <c r="D1228" s="519"/>
    </row>
    <row r="1229" spans="1:4" x14ac:dyDescent="0.25">
      <c r="A1229" s="514" t="s">
        <v>3006</v>
      </c>
      <c r="B1229" s="515" t="s">
        <v>3007</v>
      </c>
      <c r="C1229" s="515" t="s">
        <v>1008</v>
      </c>
      <c r="D1229" s="519"/>
    </row>
    <row r="1230" spans="1:4" ht="63.75" x14ac:dyDescent="0.25">
      <c r="A1230" s="514" t="s">
        <v>3008</v>
      </c>
      <c r="B1230" s="515" t="s">
        <v>3009</v>
      </c>
      <c r="C1230" s="515" t="s">
        <v>621</v>
      </c>
      <c r="D1230" s="519"/>
    </row>
    <row r="1231" spans="1:4" ht="25.5" x14ac:dyDescent="0.25">
      <c r="A1231" s="514" t="s">
        <v>3010</v>
      </c>
      <c r="B1231" s="515" t="s">
        <v>3011</v>
      </c>
      <c r="C1231" s="515" t="s">
        <v>2988</v>
      </c>
      <c r="D1231" s="519"/>
    </row>
    <row r="1232" spans="1:4" x14ac:dyDescent="0.25">
      <c r="A1232" s="514" t="s">
        <v>3012</v>
      </c>
      <c r="B1232" s="515" t="s">
        <v>3013</v>
      </c>
      <c r="C1232" s="515" t="s">
        <v>2988</v>
      </c>
      <c r="D1232" s="519"/>
    </row>
    <row r="1233" spans="1:4" x14ac:dyDescent="0.25">
      <c r="A1233" s="514" t="s">
        <v>3014</v>
      </c>
      <c r="B1233" s="515" t="s">
        <v>3015</v>
      </c>
      <c r="C1233" s="515" t="s">
        <v>621</v>
      </c>
      <c r="D1233" s="519"/>
    </row>
    <row r="1234" spans="1:4" x14ac:dyDescent="0.25">
      <c r="A1234" s="514" t="s">
        <v>3016</v>
      </c>
      <c r="B1234" s="515" t="s">
        <v>3017</v>
      </c>
      <c r="C1234" s="515" t="s">
        <v>697</v>
      </c>
      <c r="D1234" s="519"/>
    </row>
    <row r="1235" spans="1:4" x14ac:dyDescent="0.25">
      <c r="A1235" s="514" t="s">
        <v>3018</v>
      </c>
      <c r="B1235" s="515" t="s">
        <v>3019</v>
      </c>
      <c r="C1235" s="515" t="s">
        <v>697</v>
      </c>
      <c r="D1235" s="519"/>
    </row>
    <row r="1236" spans="1:4" ht="25.5" x14ac:dyDescent="0.25">
      <c r="A1236" s="514" t="s">
        <v>3020</v>
      </c>
      <c r="B1236" s="515" t="s">
        <v>3021</v>
      </c>
      <c r="C1236" s="515" t="s">
        <v>621</v>
      </c>
      <c r="D1236" s="519"/>
    </row>
    <row r="1237" spans="1:4" ht="25.5" x14ac:dyDescent="0.25">
      <c r="A1237" s="514" t="s">
        <v>3022</v>
      </c>
      <c r="B1237" s="515" t="s">
        <v>3023</v>
      </c>
      <c r="C1237" s="515" t="s">
        <v>15</v>
      </c>
      <c r="D1237" s="519"/>
    </row>
    <row r="1238" spans="1:4" ht="25.5" x14ac:dyDescent="0.25">
      <c r="A1238" s="514" t="s">
        <v>3024</v>
      </c>
      <c r="B1238" s="515" t="s">
        <v>3025</v>
      </c>
      <c r="C1238" s="515" t="s">
        <v>15</v>
      </c>
      <c r="D1238" s="519"/>
    </row>
    <row r="1239" spans="1:4" x14ac:dyDescent="0.25">
      <c r="A1239" s="514" t="s">
        <v>3026</v>
      </c>
      <c r="B1239" s="515" t="s">
        <v>3027</v>
      </c>
      <c r="C1239" s="515" t="s">
        <v>42</v>
      </c>
      <c r="D1239" s="519"/>
    </row>
    <row r="1240" spans="1:4" ht="25.5" x14ac:dyDescent="0.25">
      <c r="A1240" s="514" t="s">
        <v>3028</v>
      </c>
      <c r="B1240" s="515" t="s">
        <v>3029</v>
      </c>
      <c r="C1240" s="515" t="s">
        <v>621</v>
      </c>
      <c r="D1240" s="519"/>
    </row>
    <row r="1241" spans="1:4" ht="38.25" x14ac:dyDescent="0.25">
      <c r="A1241" s="514" t="s">
        <v>3030</v>
      </c>
      <c r="B1241" s="515" t="s">
        <v>3031</v>
      </c>
      <c r="C1241" s="515" t="s">
        <v>920</v>
      </c>
      <c r="D1241" s="519"/>
    </row>
    <row r="1242" spans="1:4" ht="38.25" x14ac:dyDescent="0.25">
      <c r="A1242" s="514" t="s">
        <v>3032</v>
      </c>
      <c r="B1242" s="515" t="s">
        <v>3033</v>
      </c>
      <c r="C1242" s="515" t="s">
        <v>920</v>
      </c>
      <c r="D1242" s="519"/>
    </row>
    <row r="1243" spans="1:4" ht="38.25" x14ac:dyDescent="0.25">
      <c r="A1243" s="514" t="s">
        <v>3034</v>
      </c>
      <c r="B1243" s="515" t="s">
        <v>3035</v>
      </c>
      <c r="C1243" s="515" t="s">
        <v>920</v>
      </c>
      <c r="D1243" s="519"/>
    </row>
    <row r="1244" spans="1:4" ht="76.5" x14ac:dyDescent="0.25">
      <c r="A1244" s="514" t="s">
        <v>3036</v>
      </c>
      <c r="B1244" s="515" t="s">
        <v>3037</v>
      </c>
      <c r="C1244" s="515" t="s">
        <v>926</v>
      </c>
      <c r="D1244" s="519"/>
    </row>
    <row r="1245" spans="1:4" ht="25.5" x14ac:dyDescent="0.25">
      <c r="A1245" s="514" t="s">
        <v>3038</v>
      </c>
      <c r="B1245" s="515" t="s">
        <v>3039</v>
      </c>
      <c r="C1245" s="515" t="s">
        <v>621</v>
      </c>
      <c r="D1245" s="519"/>
    </row>
    <row r="1246" spans="1:4" x14ac:dyDescent="0.25">
      <c r="A1246" s="514" t="s">
        <v>3040</v>
      </c>
      <c r="B1246" s="518" t="s">
        <v>3041</v>
      </c>
      <c r="C1246" s="515" t="s">
        <v>926</v>
      </c>
      <c r="D1246" s="519"/>
    </row>
    <row r="1247" spans="1:4" ht="25.5" x14ac:dyDescent="0.25">
      <c r="A1247" s="514" t="s">
        <v>3042</v>
      </c>
      <c r="B1247" s="515" t="s">
        <v>3043</v>
      </c>
      <c r="C1247" s="515" t="s">
        <v>920</v>
      </c>
      <c r="D1247" s="519"/>
    </row>
    <row r="1248" spans="1:4" ht="38.25" x14ac:dyDescent="0.25">
      <c r="A1248" s="514" t="s">
        <v>3044</v>
      </c>
      <c r="B1248" s="515" t="s">
        <v>3045</v>
      </c>
      <c r="C1248" s="515" t="s">
        <v>920</v>
      </c>
      <c r="D1248" s="519"/>
    </row>
    <row r="1249" spans="1:4" ht="25.5" x14ac:dyDescent="0.25">
      <c r="A1249" s="514" t="s">
        <v>3046</v>
      </c>
      <c r="B1249" s="515" t="s">
        <v>3047</v>
      </c>
      <c r="C1249" s="515" t="s">
        <v>926</v>
      </c>
      <c r="D1249" s="519"/>
    </row>
    <row r="1250" spans="1:4" ht="25.5" x14ac:dyDescent="0.25">
      <c r="A1250" s="514" t="s">
        <v>3048</v>
      </c>
      <c r="B1250" s="515" t="s">
        <v>3049</v>
      </c>
      <c r="C1250" s="515" t="s">
        <v>621</v>
      </c>
      <c r="D1250" s="519"/>
    </row>
    <row r="1251" spans="1:4" ht="38.25" x14ac:dyDescent="0.25">
      <c r="A1251" s="514" t="s">
        <v>3050</v>
      </c>
      <c r="B1251" s="515" t="s">
        <v>3051</v>
      </c>
      <c r="C1251" s="515" t="s">
        <v>697</v>
      </c>
      <c r="D1251" s="519"/>
    </row>
    <row r="1252" spans="1:4" ht="51" x14ac:dyDescent="0.25">
      <c r="A1252" s="514" t="s">
        <v>3052</v>
      </c>
      <c r="B1252" s="515" t="s">
        <v>3053</v>
      </c>
      <c r="C1252" s="515" t="s">
        <v>2988</v>
      </c>
      <c r="D1252" s="519"/>
    </row>
    <row r="1253" spans="1:4" ht="25.5" x14ac:dyDescent="0.25">
      <c r="A1253" s="514" t="s">
        <v>3054</v>
      </c>
      <c r="B1253" s="515" t="s">
        <v>3055</v>
      </c>
      <c r="C1253" s="515" t="s">
        <v>2988</v>
      </c>
      <c r="D1253" s="519"/>
    </row>
    <row r="1254" spans="1:4" ht="51" x14ac:dyDescent="0.25">
      <c r="A1254" s="514" t="s">
        <v>3056</v>
      </c>
      <c r="B1254" s="515" t="s">
        <v>3057</v>
      </c>
      <c r="C1254" s="515" t="s">
        <v>2988</v>
      </c>
      <c r="D1254" s="519"/>
    </row>
    <row r="1255" spans="1:4" ht="51" x14ac:dyDescent="0.25">
      <c r="A1255" s="514" t="s">
        <v>3058</v>
      </c>
      <c r="B1255" s="515" t="s">
        <v>3059</v>
      </c>
      <c r="C1255" s="515" t="s">
        <v>920</v>
      </c>
      <c r="D1255" s="519"/>
    </row>
    <row r="1256" spans="1:4" ht="51" x14ac:dyDescent="0.25">
      <c r="A1256" s="514" t="s">
        <v>3060</v>
      </c>
      <c r="B1256" s="515" t="s">
        <v>3061</v>
      </c>
      <c r="C1256" s="515" t="s">
        <v>926</v>
      </c>
      <c r="D1256" s="519"/>
    </row>
    <row r="1257" spans="1:4" x14ac:dyDescent="0.25">
      <c r="A1257" s="514" t="s">
        <v>3062</v>
      </c>
      <c r="B1257" s="515" t="s">
        <v>3063</v>
      </c>
      <c r="C1257" s="515" t="s">
        <v>3064</v>
      </c>
      <c r="D1257" s="519"/>
    </row>
    <row r="1258" spans="1:4" x14ac:dyDescent="0.25">
      <c r="A1258" s="514" t="s">
        <v>3065</v>
      </c>
      <c r="B1258" s="515" t="s">
        <v>3066</v>
      </c>
      <c r="C1258" s="515" t="s">
        <v>697</v>
      </c>
      <c r="D1258" s="519"/>
    </row>
    <row r="1259" spans="1:4" ht="25.5" x14ac:dyDescent="0.25">
      <c r="A1259" s="514" t="s">
        <v>3067</v>
      </c>
      <c r="B1259" s="515" t="s">
        <v>3068</v>
      </c>
      <c r="C1259" s="515" t="s">
        <v>621</v>
      </c>
      <c r="D1259" s="519"/>
    </row>
    <row r="1260" spans="1:4" ht="38.25" x14ac:dyDescent="0.25">
      <c r="A1260" s="514" t="s">
        <v>3069</v>
      </c>
      <c r="B1260" s="515" t="s">
        <v>3070</v>
      </c>
      <c r="C1260" s="515" t="s">
        <v>926</v>
      </c>
      <c r="D1260" s="519"/>
    </row>
    <row r="1261" spans="1:4" ht="25.5" x14ac:dyDescent="0.25">
      <c r="A1261" s="514" t="s">
        <v>3071</v>
      </c>
      <c r="B1261" s="515" t="s">
        <v>3072</v>
      </c>
      <c r="C1261" s="515" t="s">
        <v>621</v>
      </c>
      <c r="D1261" s="519"/>
    </row>
    <row r="1262" spans="1:4" ht="76.5" x14ac:dyDescent="0.25">
      <c r="A1262" s="514" t="s">
        <v>3073</v>
      </c>
      <c r="B1262" s="532" t="s">
        <v>3074</v>
      </c>
      <c r="C1262" s="515" t="s">
        <v>926</v>
      </c>
      <c r="D1262" s="519"/>
    </row>
    <row r="1263" spans="1:4" x14ac:dyDescent="0.25">
      <c r="A1263" s="514" t="s">
        <v>3075</v>
      </c>
      <c r="B1263" s="515" t="s">
        <v>3076</v>
      </c>
      <c r="C1263" s="515" t="s">
        <v>1008</v>
      </c>
    </row>
    <row r="1264" spans="1:4" x14ac:dyDescent="0.25">
      <c r="A1264" s="514" t="s">
        <v>3077</v>
      </c>
      <c r="B1264" s="515" t="s">
        <v>3078</v>
      </c>
      <c r="C1264" s="515" t="s">
        <v>697</v>
      </c>
      <c r="D1264" s="537">
        <v>90999.4</v>
      </c>
    </row>
    <row r="1265" spans="1:4" ht="25.5" x14ac:dyDescent="0.25">
      <c r="A1265" s="514" t="s">
        <v>3079</v>
      </c>
      <c r="B1265" s="515" t="s">
        <v>3080</v>
      </c>
      <c r="C1265" s="515" t="s">
        <v>697</v>
      </c>
      <c r="D1265" s="537">
        <v>122739.5</v>
      </c>
    </row>
    <row r="1266" spans="1:4" ht="25.5" x14ac:dyDescent="0.25">
      <c r="A1266" s="514" t="s">
        <v>3081</v>
      </c>
      <c r="B1266" s="515" t="s">
        <v>3082</v>
      </c>
      <c r="C1266" s="515" t="s">
        <v>697</v>
      </c>
      <c r="D1266" s="537">
        <v>174046.8</v>
      </c>
    </row>
    <row r="1267" spans="1:4" ht="25.5" x14ac:dyDescent="0.25">
      <c r="A1267" s="514" t="s">
        <v>3083</v>
      </c>
      <c r="B1267" s="515" t="s">
        <v>3084</v>
      </c>
      <c r="C1267" s="515" t="s">
        <v>697</v>
      </c>
      <c r="D1267" s="537">
        <v>218554</v>
      </c>
    </row>
    <row r="1268" spans="1:4" x14ac:dyDescent="0.25">
      <c r="A1268" s="514" t="s">
        <v>3085</v>
      </c>
      <c r="B1268" s="515" t="s">
        <v>3086</v>
      </c>
      <c r="C1268" s="515" t="s">
        <v>697</v>
      </c>
      <c r="D1268" s="537">
        <v>122977.9</v>
      </c>
    </row>
    <row r="1269" spans="1:4" x14ac:dyDescent="0.25">
      <c r="A1269" s="514" t="s">
        <v>3087</v>
      </c>
      <c r="B1269" s="515" t="s">
        <v>3088</v>
      </c>
      <c r="C1269" s="515" t="s">
        <v>697</v>
      </c>
      <c r="D1269" s="537">
        <v>3380.3</v>
      </c>
    </row>
    <row r="1270" spans="1:4" x14ac:dyDescent="0.25">
      <c r="A1270" s="846" t="s">
        <v>3089</v>
      </c>
      <c r="B1270" s="846"/>
    </row>
    <row r="1271" spans="1:4" x14ac:dyDescent="0.25">
      <c r="A1271" s="514" t="s">
        <v>3090</v>
      </c>
      <c r="B1271" s="515" t="s">
        <v>3091</v>
      </c>
      <c r="C1271" s="515" t="s">
        <v>697</v>
      </c>
      <c r="D1271" s="537">
        <v>69870.2</v>
      </c>
    </row>
    <row r="1272" spans="1:4" x14ac:dyDescent="0.25">
      <c r="A1272" s="514" t="s">
        <v>3092</v>
      </c>
      <c r="B1272" s="515" t="s">
        <v>3093</v>
      </c>
      <c r="C1272" s="515" t="s">
        <v>697</v>
      </c>
      <c r="D1272" s="537">
        <v>18027.2</v>
      </c>
    </row>
  </sheetData>
  <mergeCells count="135">
    <mergeCell ref="B1:D1"/>
    <mergeCell ref="B2:C2"/>
    <mergeCell ref="B19:D19"/>
    <mergeCell ref="B22:D22"/>
    <mergeCell ref="B27:D27"/>
    <mergeCell ref="B28:D28"/>
    <mergeCell ref="B47:D47"/>
    <mergeCell ref="B49:D49"/>
    <mergeCell ref="B55:D55"/>
    <mergeCell ref="B62:D62"/>
    <mergeCell ref="B68:D68"/>
    <mergeCell ref="B71:D71"/>
    <mergeCell ref="B32:D32"/>
    <mergeCell ref="B35:D35"/>
    <mergeCell ref="B38:D38"/>
    <mergeCell ref="B41:D41"/>
    <mergeCell ref="B43:D43"/>
    <mergeCell ref="B46:D46"/>
    <mergeCell ref="B114:C114"/>
    <mergeCell ref="B119:C119"/>
    <mergeCell ref="B129:C129"/>
    <mergeCell ref="B149:C149"/>
    <mergeCell ref="B167:C167"/>
    <mergeCell ref="B173:C173"/>
    <mergeCell ref="B75:D75"/>
    <mergeCell ref="B87:C87"/>
    <mergeCell ref="B88:D88"/>
    <mergeCell ref="B89:D89"/>
    <mergeCell ref="B105:D105"/>
    <mergeCell ref="B113:D113"/>
    <mergeCell ref="B229:D229"/>
    <mergeCell ref="B251:D251"/>
    <mergeCell ref="B273:D273"/>
    <mergeCell ref="B290:D290"/>
    <mergeCell ref="B301:D301"/>
    <mergeCell ref="B315:D315"/>
    <mergeCell ref="B183:C183"/>
    <mergeCell ref="B196:C196"/>
    <mergeCell ref="B200:D200"/>
    <mergeCell ref="B217:D217"/>
    <mergeCell ref="B218:D218"/>
    <mergeCell ref="B228:D228"/>
    <mergeCell ref="B355:D355"/>
    <mergeCell ref="B357:D357"/>
    <mergeCell ref="B358:D358"/>
    <mergeCell ref="B359:D359"/>
    <mergeCell ref="B364:D364"/>
    <mergeCell ref="B369:D369"/>
    <mergeCell ref="B321:D321"/>
    <mergeCell ref="B328:D328"/>
    <mergeCell ref="B329:D329"/>
    <mergeCell ref="B336:D336"/>
    <mergeCell ref="B350:D350"/>
    <mergeCell ref="B351:D351"/>
    <mergeCell ref="B433:D433"/>
    <mergeCell ref="B438:D438"/>
    <mergeCell ref="B441:D441"/>
    <mergeCell ref="B442:D442"/>
    <mergeCell ref="B450:D450"/>
    <mergeCell ref="B456:D456"/>
    <mergeCell ref="B390:D390"/>
    <mergeCell ref="B391:D391"/>
    <mergeCell ref="B394:D394"/>
    <mergeCell ref="B397:D397"/>
    <mergeCell ref="B398:D398"/>
    <mergeCell ref="B426:D426"/>
    <mergeCell ref="B503:D503"/>
    <mergeCell ref="B514:D514"/>
    <mergeCell ref="B519:D519"/>
    <mergeCell ref="B526:D526"/>
    <mergeCell ref="B529:D529"/>
    <mergeCell ref="B532:D532"/>
    <mergeCell ref="B457:D457"/>
    <mergeCell ref="B465:D465"/>
    <mergeCell ref="B470:D470"/>
    <mergeCell ref="B476:D476"/>
    <mergeCell ref="B477:D477"/>
    <mergeCell ref="B502:D502"/>
    <mergeCell ref="B548:D548"/>
    <mergeCell ref="B550:D550"/>
    <mergeCell ref="B551:D551"/>
    <mergeCell ref="B559:D559"/>
    <mergeCell ref="B564:D564"/>
    <mergeCell ref="B567:D567"/>
    <mergeCell ref="B535:D535"/>
    <mergeCell ref="B536:D536"/>
    <mergeCell ref="B537:D537"/>
    <mergeCell ref="B541:D541"/>
    <mergeCell ref="B544:D544"/>
    <mergeCell ref="B546:D546"/>
    <mergeCell ref="B590:D590"/>
    <mergeCell ref="B593:D593"/>
    <mergeCell ref="B596:D596"/>
    <mergeCell ref="B599:D599"/>
    <mergeCell ref="B602:D602"/>
    <mergeCell ref="B609:D609"/>
    <mergeCell ref="B570:D570"/>
    <mergeCell ref="B573:D573"/>
    <mergeCell ref="B574:D574"/>
    <mergeCell ref="B580:D580"/>
    <mergeCell ref="B584:D584"/>
    <mergeCell ref="B585:D585"/>
    <mergeCell ref="B636:D636"/>
    <mergeCell ref="B643:D643"/>
    <mergeCell ref="B650:D650"/>
    <mergeCell ref="B654:D654"/>
    <mergeCell ref="B657:D657"/>
    <mergeCell ref="B658:D658"/>
    <mergeCell ref="B610:D610"/>
    <mergeCell ref="B612:D612"/>
    <mergeCell ref="B618:D618"/>
    <mergeCell ref="B619:D619"/>
    <mergeCell ref="B627:D627"/>
    <mergeCell ref="B635:D635"/>
    <mergeCell ref="B700:D700"/>
    <mergeCell ref="B741:D741"/>
    <mergeCell ref="B742:D742"/>
    <mergeCell ref="B745:D745"/>
    <mergeCell ref="B746:D746"/>
    <mergeCell ref="B751:D751"/>
    <mergeCell ref="B669:D669"/>
    <mergeCell ref="B678:D678"/>
    <mergeCell ref="B684:D684"/>
    <mergeCell ref="B685:D685"/>
    <mergeCell ref="B690:D690"/>
    <mergeCell ref="B695:D695"/>
    <mergeCell ref="B779:D779"/>
    <mergeCell ref="B786:D786"/>
    <mergeCell ref="A1270:B1270"/>
    <mergeCell ref="B759:D759"/>
    <mergeCell ref="B760:D760"/>
    <mergeCell ref="B763:D763"/>
    <mergeCell ref="B771:D771"/>
    <mergeCell ref="B774:D774"/>
    <mergeCell ref="B778:D778"/>
  </mergeCells>
  <pageMargins left="0.75" right="0.75" top="1" bottom="1" header="0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52"/>
  <sheetViews>
    <sheetView view="pageBreakPreview" zoomScale="75" zoomScaleNormal="85" zoomScaleSheetLayoutView="75" zoomScalePageLayoutView="85" workbookViewId="0">
      <selection activeCell="I44" sqref="I44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7.42578125" style="19" customWidth="1"/>
    <col min="12" max="12" width="10.85546875" style="19"/>
    <col min="13" max="13" width="14.28515625" style="19" bestFit="1" customWidth="1"/>
    <col min="14" max="14" width="10.85546875" style="19"/>
    <col min="15" max="15" width="16" style="19" bestFit="1" customWidth="1"/>
    <col min="16" max="16384" width="10.85546875" style="19"/>
  </cols>
  <sheetData>
    <row r="1" spans="2:10" x14ac:dyDescent="0.25">
      <c r="B1" s="598"/>
      <c r="C1" s="20"/>
      <c r="D1" s="598"/>
      <c r="E1" s="598"/>
      <c r="F1" s="598"/>
      <c r="G1" s="598"/>
      <c r="H1" s="598"/>
      <c r="I1" s="599"/>
      <c r="J1" s="598"/>
    </row>
    <row r="2" spans="2:10" s="22" customFormat="1" ht="15.75" thickBot="1" x14ac:dyDescent="0.3">
      <c r="C2"/>
      <c r="I2" s="23"/>
    </row>
    <row r="3" spans="2:10" s="22" customFormat="1" x14ac:dyDescent="0.25">
      <c r="B3" s="24"/>
      <c r="C3" s="25"/>
      <c r="D3" s="25"/>
      <c r="E3" s="25"/>
      <c r="F3" s="25"/>
      <c r="G3" s="25"/>
      <c r="H3" s="25"/>
      <c r="I3" s="26"/>
      <c r="J3" s="27"/>
    </row>
    <row r="4" spans="2:10" s="22" customFormat="1" x14ac:dyDescent="0.25">
      <c r="B4" s="28"/>
      <c r="C4" s="33"/>
      <c r="D4" s="33"/>
      <c r="E4" s="33"/>
      <c r="F4" s="33"/>
      <c r="G4" s="33"/>
      <c r="H4" s="33"/>
      <c r="I4" s="506"/>
      <c r="J4" s="29"/>
    </row>
    <row r="5" spans="2:10" s="22" customFormat="1" x14ac:dyDescent="0.25">
      <c r="B5" s="28"/>
      <c r="C5" s="881" t="s">
        <v>3094</v>
      </c>
      <c r="D5" s="881"/>
      <c r="E5" s="881"/>
      <c r="F5" s="881"/>
      <c r="G5" s="881"/>
      <c r="H5" s="881"/>
      <c r="I5" s="881"/>
      <c r="J5" s="29"/>
    </row>
    <row r="6" spans="2:10" s="22" customFormat="1" x14ac:dyDescent="0.25">
      <c r="B6" s="28"/>
      <c r="C6" s="881" t="s">
        <v>3095</v>
      </c>
      <c r="D6" s="881"/>
      <c r="E6" s="881"/>
      <c r="F6" s="881"/>
      <c r="G6" s="881"/>
      <c r="H6" s="881"/>
      <c r="I6" s="881"/>
      <c r="J6" s="29"/>
    </row>
    <row r="7" spans="2:10" s="22" customFormat="1" x14ac:dyDescent="0.25">
      <c r="B7" s="28"/>
      <c r="C7" s="881" t="s">
        <v>0</v>
      </c>
      <c r="D7" s="882"/>
      <c r="E7" s="882"/>
      <c r="F7" s="882"/>
      <c r="G7" s="882"/>
      <c r="H7" s="882"/>
      <c r="I7" s="882"/>
      <c r="J7" s="29"/>
    </row>
    <row r="8" spans="2:10" s="22" customFormat="1" x14ac:dyDescent="0.25">
      <c r="B8" s="28"/>
      <c r="C8" s="883"/>
      <c r="D8" s="883"/>
      <c r="E8" s="883"/>
      <c r="F8" s="883"/>
      <c r="G8" s="883"/>
      <c r="H8" s="883"/>
      <c r="I8" s="883"/>
      <c r="J8" s="29"/>
    </row>
    <row r="9" spans="2:10" s="22" customFormat="1" ht="43.5" customHeight="1" x14ac:dyDescent="0.25">
      <c r="B9" s="28"/>
      <c r="C9" s="884" t="s">
        <v>3096</v>
      </c>
      <c r="D9" s="884"/>
      <c r="E9" s="884"/>
      <c r="F9" s="884"/>
      <c r="G9" s="884"/>
      <c r="H9" s="884"/>
      <c r="I9" s="884"/>
      <c r="J9" s="29"/>
    </row>
    <row r="10" spans="2:10" s="22" customFormat="1" ht="15" customHeight="1" x14ac:dyDescent="0.25">
      <c r="B10" s="28"/>
      <c r="C10" s="30" t="s">
        <v>665</v>
      </c>
      <c r="D10" s="875" t="str">
        <f>+'INDICE APUs'!$B$7</f>
        <v>SAN JUAN DEL CESAR</v>
      </c>
      <c r="E10" s="875"/>
      <c r="F10" s="875"/>
      <c r="G10" s="875"/>
      <c r="H10" s="875"/>
      <c r="I10" s="875"/>
      <c r="J10" s="29"/>
    </row>
    <row r="11" spans="2:10" s="22" customFormat="1" ht="15" customHeight="1" x14ac:dyDescent="0.25">
      <c r="B11" s="28"/>
      <c r="C11" s="30" t="s">
        <v>3097</v>
      </c>
      <c r="D11" s="875" t="str">
        <f>+'INDICE APUs'!$B$8</f>
        <v>CORREGIMIENTO DE LA JUNTA, LA PEÑA Y CURAZAO</v>
      </c>
      <c r="E11" s="875"/>
      <c r="F11" s="875"/>
      <c r="G11" s="875"/>
      <c r="H11" s="875"/>
      <c r="I11" s="875"/>
      <c r="J11" s="29"/>
    </row>
    <row r="12" spans="2:10" s="22" customFormat="1" ht="15" customHeight="1" x14ac:dyDescent="0.25">
      <c r="B12" s="28"/>
      <c r="C12" s="30" t="s">
        <v>668</v>
      </c>
      <c r="D12" s="875" t="str">
        <f>+'INDICE APUs'!$B$9</f>
        <v>REDES DE ALCANTARILLADO SANITARIO</v>
      </c>
      <c r="E12" s="875"/>
      <c r="F12" s="875"/>
      <c r="G12" s="875"/>
      <c r="H12" s="875"/>
      <c r="I12" s="875"/>
      <c r="J12" s="29"/>
    </row>
    <row r="13" spans="2:10" s="22" customFormat="1" ht="15.75" thickBot="1" x14ac:dyDescent="0.3">
      <c r="B13" s="28"/>
      <c r="C13" s="31"/>
      <c r="D13" s="32"/>
      <c r="E13" s="32"/>
      <c r="F13" s="32"/>
      <c r="G13" s="33"/>
      <c r="H13" s="32"/>
      <c r="I13" s="34" t="str">
        <f>+'INDICE APUs'!$B$10</f>
        <v>DIC DE 2016</v>
      </c>
      <c r="J13" s="29"/>
    </row>
    <row r="14" spans="2:10" ht="37.5" customHeight="1" thickBot="1" x14ac:dyDescent="0.3">
      <c r="B14" s="600"/>
      <c r="C14" s="35" t="s">
        <v>3098</v>
      </c>
      <c r="D14" s="36" t="s">
        <v>3099</v>
      </c>
      <c r="E14" s="876" t="s">
        <v>675</v>
      </c>
      <c r="F14" s="877"/>
      <c r="G14" s="878"/>
      <c r="H14" s="37" t="s">
        <v>5</v>
      </c>
      <c r="I14" s="38" t="s">
        <v>22</v>
      </c>
      <c r="J14" s="601"/>
    </row>
    <row r="15" spans="2:10" x14ac:dyDescent="0.25">
      <c r="B15" s="600"/>
      <c r="C15" s="39"/>
      <c r="D15" s="32"/>
      <c r="E15" s="32"/>
      <c r="F15" s="32"/>
      <c r="G15" s="32"/>
      <c r="H15" s="40"/>
      <c r="I15" s="41"/>
      <c r="J15" s="601"/>
    </row>
    <row r="16" spans="2:10" ht="15.75" thickBot="1" x14ac:dyDescent="0.3">
      <c r="B16" s="600"/>
      <c r="C16" s="39" t="s">
        <v>3100</v>
      </c>
      <c r="D16" s="32"/>
      <c r="E16" s="32"/>
      <c r="F16" s="32"/>
      <c r="G16" s="32"/>
      <c r="H16" s="40"/>
      <c r="I16" s="42"/>
      <c r="J16" s="601"/>
    </row>
    <row r="17" spans="2:16" ht="15.75" thickTop="1" x14ac:dyDescent="0.25">
      <c r="B17" s="600"/>
      <c r="C17" s="858" t="s">
        <v>3101</v>
      </c>
      <c r="D17" s="859"/>
      <c r="E17" s="596" t="s">
        <v>3102</v>
      </c>
      <c r="F17" s="596" t="s">
        <v>3103</v>
      </c>
      <c r="G17" s="596" t="s">
        <v>3104</v>
      </c>
      <c r="H17" s="596" t="s">
        <v>3105</v>
      </c>
      <c r="I17" s="43" t="s">
        <v>3106</v>
      </c>
      <c r="J17" s="601"/>
      <c r="K17" s="598"/>
      <c r="L17" s="598"/>
      <c r="M17" s="598"/>
      <c r="N17" s="598"/>
      <c r="O17" s="598"/>
      <c r="P17" s="598"/>
    </row>
    <row r="18" spans="2:16" x14ac:dyDescent="0.25">
      <c r="B18" s="600"/>
      <c r="C18" s="866" t="s">
        <v>3107</v>
      </c>
      <c r="D18" s="867"/>
      <c r="E18" s="44"/>
      <c r="F18" s="45"/>
      <c r="G18" s="509">
        <v>60000</v>
      </c>
      <c r="H18" s="47">
        <v>0.2</v>
      </c>
      <c r="I18" s="48">
        <f>+H18*G18</f>
        <v>12000</v>
      </c>
      <c r="J18" s="601"/>
      <c r="K18" s="602"/>
      <c r="L18" s="598"/>
      <c r="M18" s="598"/>
      <c r="N18" s="598"/>
      <c r="O18" s="598"/>
      <c r="P18" s="22"/>
    </row>
    <row r="19" spans="2:16" x14ac:dyDescent="0.25">
      <c r="B19" s="600"/>
      <c r="C19" s="866" t="s">
        <v>3108</v>
      </c>
      <c r="D19" s="867"/>
      <c r="E19" s="44"/>
      <c r="F19" s="45"/>
      <c r="G19" s="509">
        <v>10000</v>
      </c>
      <c r="H19" s="505">
        <v>25</v>
      </c>
      <c r="I19" s="48">
        <f>+G19/H19</f>
        <v>400</v>
      </c>
      <c r="J19" s="601"/>
      <c r="K19" s="598"/>
      <c r="L19" s="598"/>
      <c r="M19" s="598"/>
      <c r="N19" s="22"/>
      <c r="O19" s="507"/>
      <c r="P19" s="22"/>
    </row>
    <row r="20" spans="2:16" ht="15.75" thickBot="1" x14ac:dyDescent="0.3">
      <c r="B20" s="600"/>
      <c r="C20" s="866"/>
      <c r="D20" s="867"/>
      <c r="E20" s="44"/>
      <c r="F20" s="45"/>
      <c r="G20" s="46"/>
      <c r="H20" s="47"/>
      <c r="I20" s="48"/>
      <c r="J20" s="601"/>
      <c r="K20" s="598"/>
      <c r="L20" s="598"/>
      <c r="M20" s="598"/>
      <c r="N20" s="22"/>
      <c r="O20" s="603"/>
      <c r="P20" s="598"/>
    </row>
    <row r="21" spans="2:16" ht="16.5" thickTop="1" thickBot="1" x14ac:dyDescent="0.3">
      <c r="B21" s="600"/>
      <c r="C21" s="49"/>
      <c r="D21" s="50"/>
      <c r="E21" s="50"/>
      <c r="F21" s="50"/>
      <c r="G21" s="51"/>
      <c r="H21" s="52" t="s">
        <v>3109</v>
      </c>
      <c r="I21" s="53">
        <f>(SUM(I18:I20))</f>
        <v>12400</v>
      </c>
      <c r="J21" s="601"/>
      <c r="K21" s="598"/>
      <c r="L21" s="598"/>
      <c r="M21" s="598"/>
      <c r="N21" s="598"/>
      <c r="O21" s="598"/>
      <c r="P21" s="598"/>
    </row>
    <row r="22" spans="2:16" ht="16.5" thickTop="1" thickBot="1" x14ac:dyDescent="0.3">
      <c r="B22" s="600"/>
      <c r="C22" s="39" t="s">
        <v>3110</v>
      </c>
      <c r="D22" s="32"/>
      <c r="E22" s="32"/>
      <c r="F22" s="32"/>
      <c r="G22" s="32"/>
      <c r="H22" s="32"/>
      <c r="I22" s="41"/>
      <c r="J22" s="601"/>
      <c r="K22" s="598"/>
      <c r="L22" s="598"/>
      <c r="M22" s="604"/>
      <c r="N22" s="605"/>
      <c r="O22" s="598"/>
      <c r="P22" s="598"/>
    </row>
    <row r="23" spans="2:16" ht="15.75" thickTop="1" x14ac:dyDescent="0.25">
      <c r="B23" s="600"/>
      <c r="C23" s="879" t="s">
        <v>3101</v>
      </c>
      <c r="D23" s="880"/>
      <c r="E23" s="880"/>
      <c r="F23" s="596" t="s">
        <v>3111</v>
      </c>
      <c r="G23" s="596" t="s">
        <v>3112</v>
      </c>
      <c r="H23" s="596" t="s">
        <v>3113</v>
      </c>
      <c r="I23" s="43" t="s">
        <v>3106</v>
      </c>
      <c r="J23" s="601"/>
      <c r="K23" s="598"/>
      <c r="L23" s="598"/>
      <c r="M23" s="604"/>
      <c r="N23" s="507"/>
      <c r="O23" s="598"/>
      <c r="P23" s="598"/>
    </row>
    <row r="24" spans="2:16" x14ac:dyDescent="0.25">
      <c r="B24" s="56"/>
      <c r="C24" s="872" t="s">
        <v>3114</v>
      </c>
      <c r="D24" s="873"/>
      <c r="E24" s="874"/>
      <c r="F24" s="57" t="s">
        <v>321</v>
      </c>
      <c r="G24" s="508">
        <v>440</v>
      </c>
      <c r="H24" s="57">
        <v>454</v>
      </c>
      <c r="I24" s="48">
        <f t="shared" ref="I24:I27" si="0">+H24*G24</f>
        <v>199760</v>
      </c>
      <c r="J24" s="601"/>
      <c r="K24" s="598"/>
      <c r="L24" s="598"/>
      <c r="M24" s="507"/>
      <c r="N24" s="606"/>
      <c r="O24" s="598"/>
      <c r="P24" s="598"/>
    </row>
    <row r="25" spans="2:16" x14ac:dyDescent="0.25">
      <c r="B25" s="56"/>
      <c r="C25" s="872" t="s">
        <v>3115</v>
      </c>
      <c r="D25" s="873"/>
      <c r="E25" s="874"/>
      <c r="F25" s="57" t="s">
        <v>22</v>
      </c>
      <c r="G25" s="508">
        <v>21000</v>
      </c>
      <c r="H25" s="57">
        <v>1.0900000000000001</v>
      </c>
      <c r="I25" s="48">
        <f t="shared" si="0"/>
        <v>22890</v>
      </c>
      <c r="J25" s="601"/>
      <c r="K25" s="598"/>
      <c r="L25" s="598"/>
      <c r="M25" s="598"/>
      <c r="N25" s="598"/>
      <c r="O25" s="598"/>
      <c r="P25" s="598"/>
    </row>
    <row r="26" spans="2:16" x14ac:dyDescent="0.25">
      <c r="B26" s="56"/>
      <c r="C26" s="872" t="s">
        <v>3116</v>
      </c>
      <c r="D26" s="873"/>
      <c r="E26" s="874"/>
      <c r="F26" s="57" t="s">
        <v>3117</v>
      </c>
      <c r="G26" s="508">
        <v>15</v>
      </c>
      <c r="H26" s="57">
        <v>230</v>
      </c>
      <c r="I26" s="48">
        <f t="shared" si="0"/>
        <v>3450</v>
      </c>
      <c r="J26" s="601"/>
      <c r="K26" s="598"/>
      <c r="L26" s="598"/>
      <c r="M26" s="598"/>
      <c r="N26" s="598"/>
      <c r="O26" s="598"/>
      <c r="P26" s="598"/>
    </row>
    <row r="27" spans="2:16" x14ac:dyDescent="0.25">
      <c r="B27" s="56"/>
      <c r="C27" s="872" t="s">
        <v>3118</v>
      </c>
      <c r="D27" s="873"/>
      <c r="E27" s="874"/>
      <c r="F27" s="57" t="s">
        <v>321</v>
      </c>
      <c r="G27" s="508">
        <v>5742</v>
      </c>
      <c r="H27" s="57">
        <v>2.2000000000000002</v>
      </c>
      <c r="I27" s="48">
        <f t="shared" si="0"/>
        <v>12632.400000000001</v>
      </c>
      <c r="J27" s="601"/>
      <c r="K27" s="598"/>
      <c r="L27" s="598"/>
      <c r="M27" s="598"/>
      <c r="N27" s="598"/>
      <c r="O27" s="598"/>
      <c r="P27" s="598"/>
    </row>
    <row r="28" spans="2:16" ht="15.75" thickBot="1" x14ac:dyDescent="0.3">
      <c r="B28" s="600"/>
      <c r="C28" s="861" t="s">
        <v>3119</v>
      </c>
      <c r="D28" s="862"/>
      <c r="E28" s="863"/>
      <c r="F28" s="60"/>
      <c r="G28" s="61"/>
      <c r="H28" s="62"/>
      <c r="I28" s="63">
        <f>SUM(I24:I27)*0.05</f>
        <v>11936.62</v>
      </c>
      <c r="J28" s="601"/>
      <c r="K28" s="598"/>
      <c r="L28" s="598"/>
      <c r="M28" s="598"/>
      <c r="N28" s="598"/>
      <c r="O28" s="598"/>
      <c r="P28" s="598"/>
    </row>
    <row r="29" spans="2:16" ht="16.5" thickTop="1" thickBot="1" x14ac:dyDescent="0.3">
      <c r="B29" s="600"/>
      <c r="C29" s="64"/>
      <c r="D29" s="65"/>
      <c r="E29" s="65"/>
      <c r="F29" s="65"/>
      <c r="G29" s="66"/>
      <c r="H29" s="52" t="s">
        <v>3109</v>
      </c>
      <c r="I29" s="53">
        <f>ROUND(SUM(I24:I28),0)</f>
        <v>250669</v>
      </c>
      <c r="J29" s="601"/>
      <c r="K29" s="598"/>
      <c r="L29" s="598"/>
      <c r="M29" s="598"/>
      <c r="N29" s="598"/>
      <c r="O29" s="598"/>
      <c r="P29" s="598"/>
    </row>
    <row r="30" spans="2:16" ht="16.5" thickTop="1" thickBot="1" x14ac:dyDescent="0.3">
      <c r="B30" s="600"/>
      <c r="C30" s="39" t="s">
        <v>3120</v>
      </c>
      <c r="D30" s="32"/>
      <c r="E30" s="32"/>
      <c r="F30" s="32"/>
      <c r="G30" s="32"/>
      <c r="H30" s="32"/>
      <c r="I30" s="67"/>
      <c r="J30" s="601"/>
      <c r="K30" s="598"/>
      <c r="L30" s="598"/>
      <c r="M30" s="598"/>
      <c r="N30" s="598"/>
      <c r="O30" s="598"/>
      <c r="P30" s="598"/>
    </row>
    <row r="31" spans="2:16" ht="15.75" thickTop="1" x14ac:dyDescent="0.25">
      <c r="B31" s="600"/>
      <c r="C31" s="858" t="s">
        <v>3121</v>
      </c>
      <c r="D31" s="860"/>
      <c r="E31" s="596" t="s">
        <v>3122</v>
      </c>
      <c r="F31" s="596" t="s">
        <v>3123</v>
      </c>
      <c r="G31" s="596" t="s">
        <v>3124</v>
      </c>
      <c r="H31" s="596" t="s">
        <v>3125</v>
      </c>
      <c r="I31" s="43" t="s">
        <v>3106</v>
      </c>
      <c r="J31" s="601"/>
      <c r="K31" s="598"/>
      <c r="L31" s="598"/>
      <c r="M31" s="598"/>
      <c r="N31" s="598"/>
      <c r="O31" s="598"/>
      <c r="P31" s="598"/>
    </row>
    <row r="32" spans="2:16" ht="15.75" thickBot="1" x14ac:dyDescent="0.3">
      <c r="B32" s="600"/>
      <c r="C32" s="864"/>
      <c r="D32" s="865"/>
      <c r="E32" s="70"/>
      <c r="F32" s="70"/>
      <c r="G32" s="70"/>
      <c r="H32" s="70"/>
      <c r="I32" s="71"/>
      <c r="J32" s="601"/>
      <c r="K32" s="598"/>
      <c r="L32" s="598"/>
      <c r="M32" s="598"/>
      <c r="N32" s="598"/>
      <c r="O32" s="598"/>
      <c r="P32" s="598"/>
    </row>
    <row r="33" spans="2:16" ht="16.5" thickTop="1" thickBot="1" x14ac:dyDescent="0.3">
      <c r="B33" s="600"/>
      <c r="C33" s="54"/>
      <c r="D33" s="32"/>
      <c r="E33" s="32"/>
      <c r="F33" s="32"/>
      <c r="G33" s="32"/>
      <c r="H33" s="52" t="s">
        <v>3109</v>
      </c>
      <c r="I33" s="53">
        <f>ROUND(SUM(I32:I32),0)</f>
        <v>0</v>
      </c>
      <c r="J33" s="601"/>
      <c r="K33" s="598"/>
      <c r="L33" s="598"/>
      <c r="M33" s="598"/>
      <c r="N33" s="598"/>
      <c r="O33" s="598"/>
      <c r="P33" s="598"/>
    </row>
    <row r="34" spans="2:16" ht="16.5" thickTop="1" thickBot="1" x14ac:dyDescent="0.3">
      <c r="B34" s="600"/>
      <c r="C34" s="39" t="s">
        <v>3126</v>
      </c>
      <c r="D34" s="32"/>
      <c r="E34" s="32"/>
      <c r="F34" s="32"/>
      <c r="G34" s="32"/>
      <c r="H34" s="32"/>
      <c r="I34" s="55"/>
      <c r="J34" s="601"/>
      <c r="K34" s="598"/>
      <c r="L34" s="598"/>
      <c r="M34" s="598"/>
      <c r="N34" s="598"/>
      <c r="O34" s="598"/>
      <c r="P34" s="598"/>
    </row>
    <row r="35" spans="2:16" ht="23.25" customHeight="1" thickTop="1" x14ac:dyDescent="0.25">
      <c r="B35" s="600"/>
      <c r="C35" s="858" t="s">
        <v>3127</v>
      </c>
      <c r="D35" s="860"/>
      <c r="E35" s="596" t="s">
        <v>3128</v>
      </c>
      <c r="F35" s="596" t="s">
        <v>3129</v>
      </c>
      <c r="G35" s="72" t="s">
        <v>3130</v>
      </c>
      <c r="H35" s="596" t="s">
        <v>3125</v>
      </c>
      <c r="I35" s="43" t="s">
        <v>3106</v>
      </c>
      <c r="J35" s="601"/>
      <c r="K35" s="598"/>
      <c r="L35" s="598"/>
      <c r="M35" s="598"/>
      <c r="N35" s="598"/>
      <c r="O35" s="598"/>
      <c r="P35" s="598"/>
    </row>
    <row r="36" spans="2:16" x14ac:dyDescent="0.25">
      <c r="B36" s="56"/>
      <c r="C36" s="866" t="s">
        <v>3131</v>
      </c>
      <c r="D36" s="867"/>
      <c r="E36" s="46">
        <f>Cuadrillas!$H$90</f>
        <v>24475.6525</v>
      </c>
      <c r="F36" s="73">
        <v>1.5216000000000001</v>
      </c>
      <c r="G36" s="46">
        <f>+F36*E36</f>
        <v>37242.152844000004</v>
      </c>
      <c r="H36" s="47">
        <v>0.5</v>
      </c>
      <c r="I36" s="48">
        <f>+H36*G36</f>
        <v>18621.076422000002</v>
      </c>
      <c r="J36" s="601"/>
      <c r="K36" s="598"/>
      <c r="L36" s="598"/>
      <c r="M36" s="598"/>
      <c r="N36" s="598"/>
      <c r="O36" s="598"/>
      <c r="P36" s="598"/>
    </row>
    <row r="37" spans="2:16" x14ac:dyDescent="0.25">
      <c r="B37" s="56"/>
      <c r="C37" s="866" t="s">
        <v>3132</v>
      </c>
      <c r="D37" s="867"/>
      <c r="E37" s="46">
        <f>Cuadrillas!$H$90*2</f>
        <v>48951.305</v>
      </c>
      <c r="F37" s="73">
        <v>1.5216000000000001</v>
      </c>
      <c r="G37" s="46">
        <f>+F37*E37</f>
        <v>74484.305688000008</v>
      </c>
      <c r="H37" s="47">
        <v>0.4</v>
      </c>
      <c r="I37" s="48">
        <f>+H37*G37</f>
        <v>29793.722275200005</v>
      </c>
      <c r="J37" s="601"/>
      <c r="K37" s="598"/>
      <c r="L37" s="598"/>
      <c r="M37" s="598"/>
      <c r="N37" s="598"/>
      <c r="O37" s="604"/>
      <c r="P37" s="605"/>
    </row>
    <row r="38" spans="2:16" ht="15.75" thickBot="1" x14ac:dyDescent="0.3">
      <c r="B38" s="600"/>
      <c r="C38" s="868"/>
      <c r="D38" s="869"/>
      <c r="E38" s="74"/>
      <c r="F38" s="75"/>
      <c r="G38" s="74"/>
      <c r="H38" s="76"/>
      <c r="I38" s="63"/>
      <c r="J38" s="601"/>
      <c r="K38" s="598"/>
      <c r="L38" s="598"/>
      <c r="M38" s="598"/>
      <c r="N38" s="598"/>
      <c r="O38" s="604"/>
      <c r="P38" s="22"/>
    </row>
    <row r="39" spans="2:16" ht="16.5" thickTop="1" thickBot="1" x14ac:dyDescent="0.3">
      <c r="B39" s="600"/>
      <c r="C39" s="54"/>
      <c r="D39" s="77"/>
      <c r="E39" s="78"/>
      <c r="F39" s="79"/>
      <c r="G39" s="78"/>
      <c r="H39" s="52" t="s">
        <v>3109</v>
      </c>
      <c r="I39" s="80">
        <f>(SUM(I36:I38))</f>
        <v>48414.798697200007</v>
      </c>
      <c r="J39" s="601"/>
      <c r="K39" s="598"/>
      <c r="L39" s="598"/>
      <c r="M39" s="598"/>
      <c r="N39" s="598"/>
      <c r="O39" s="507"/>
      <c r="P39" s="605"/>
    </row>
    <row r="40" spans="2:16" ht="16.5" thickTop="1" thickBot="1" x14ac:dyDescent="0.3">
      <c r="B40" s="600"/>
      <c r="C40" s="54"/>
      <c r="D40" s="32"/>
      <c r="E40" s="32"/>
      <c r="F40" s="32"/>
      <c r="G40" s="81"/>
      <c r="H40" s="81"/>
      <c r="I40" s="41"/>
      <c r="J40" s="601"/>
      <c r="K40" s="598"/>
      <c r="L40" s="598"/>
      <c r="M40" s="598"/>
      <c r="N40" s="598"/>
      <c r="O40" s="598"/>
      <c r="P40" s="598"/>
    </row>
    <row r="41" spans="2:16" ht="16.5" thickTop="1" thickBot="1" x14ac:dyDescent="0.3">
      <c r="B41" s="600"/>
      <c r="C41" s="82"/>
      <c r="D41" s="65"/>
      <c r="E41" s="65"/>
      <c r="F41" s="65"/>
      <c r="G41" s="870" t="s">
        <v>3133</v>
      </c>
      <c r="H41" s="871"/>
      <c r="I41" s="83">
        <f>ROUND(+I21+I29+I33+I39,0)</f>
        <v>311484</v>
      </c>
      <c r="J41" s="601"/>
      <c r="K41" s="598"/>
      <c r="L41" s="598"/>
      <c r="M41" s="599"/>
      <c r="N41" s="598"/>
      <c r="O41" s="604"/>
      <c r="P41" s="605"/>
    </row>
    <row r="42" spans="2:16" ht="16.5" thickTop="1" thickBot="1" x14ac:dyDescent="0.3">
      <c r="B42" s="600"/>
      <c r="C42" s="39" t="s">
        <v>3134</v>
      </c>
      <c r="D42" s="32"/>
      <c r="E42" s="32"/>
      <c r="F42" s="32"/>
      <c r="G42" s="32"/>
      <c r="H42" s="32"/>
      <c r="I42" s="55"/>
      <c r="J42" s="601"/>
      <c r="K42" s="598"/>
      <c r="L42" s="598"/>
      <c r="M42" s="598"/>
      <c r="N42" s="598"/>
      <c r="O42" s="604"/>
      <c r="P42" s="598"/>
    </row>
    <row r="43" spans="2:16" ht="15.75" thickTop="1" x14ac:dyDescent="0.25">
      <c r="B43" s="600"/>
      <c r="C43" s="858" t="s">
        <v>3135</v>
      </c>
      <c r="D43" s="859"/>
      <c r="E43" s="859"/>
      <c r="F43" s="859"/>
      <c r="G43" s="860"/>
      <c r="H43" s="596" t="s">
        <v>3136</v>
      </c>
      <c r="I43" s="43" t="s">
        <v>3137</v>
      </c>
      <c r="J43" s="601"/>
      <c r="K43" s="598"/>
      <c r="L43" s="598"/>
      <c r="M43" s="598"/>
      <c r="N43" s="598"/>
      <c r="O43" s="598"/>
      <c r="P43" s="598"/>
    </row>
    <row r="44" spans="2:16" x14ac:dyDescent="0.25">
      <c r="B44" s="600"/>
      <c r="C44" s="849" t="s">
        <v>3138</v>
      </c>
      <c r="D44" s="850"/>
      <c r="E44" s="850"/>
      <c r="F44" s="850"/>
      <c r="G44" s="851"/>
      <c r="H44" s="84">
        <v>0.2</v>
      </c>
      <c r="I44" s="85">
        <f>H44*I41</f>
        <v>62296.800000000003</v>
      </c>
      <c r="J44" s="601"/>
      <c r="K44" s="598"/>
      <c r="L44" s="598"/>
      <c r="M44" s="598"/>
      <c r="N44" s="598"/>
      <c r="O44" s="598"/>
      <c r="P44" s="598"/>
    </row>
    <row r="45" spans="2:16" x14ac:dyDescent="0.25">
      <c r="B45" s="600"/>
      <c r="C45" s="849" t="s">
        <v>3139</v>
      </c>
      <c r="D45" s="850"/>
      <c r="E45" s="850"/>
      <c r="F45" s="850"/>
      <c r="G45" s="851"/>
      <c r="H45" s="84">
        <v>0.05</v>
      </c>
      <c r="I45" s="85">
        <f>H45*I41</f>
        <v>15574.2</v>
      </c>
      <c r="J45" s="601"/>
      <c r="K45" s="598"/>
      <c r="L45" s="598"/>
      <c r="M45" s="598"/>
      <c r="N45" s="598"/>
      <c r="O45" s="598"/>
      <c r="P45" s="598"/>
    </row>
    <row r="46" spans="2:16" ht="15.75" thickBot="1" x14ac:dyDescent="0.3">
      <c r="B46" s="600"/>
      <c r="C46" s="852" t="s">
        <v>3140</v>
      </c>
      <c r="D46" s="853"/>
      <c r="E46" s="853"/>
      <c r="F46" s="853"/>
      <c r="G46" s="854"/>
      <c r="H46" s="86">
        <v>0.05</v>
      </c>
      <c r="I46" s="71">
        <f>H46*I41</f>
        <v>15574.2</v>
      </c>
      <c r="J46" s="601"/>
      <c r="K46" s="598"/>
      <c r="L46" s="598"/>
      <c r="M46" s="598"/>
      <c r="N46" s="598"/>
      <c r="O46" s="598"/>
      <c r="P46" s="598"/>
    </row>
    <row r="47" spans="2:16" ht="16.5" thickTop="1" thickBot="1" x14ac:dyDescent="0.3">
      <c r="B47" s="600"/>
      <c r="C47" s="82"/>
      <c r="D47" s="65"/>
      <c r="E47" s="65"/>
      <c r="F47" s="65"/>
      <c r="G47" s="65"/>
      <c r="H47" s="52" t="s">
        <v>3109</v>
      </c>
      <c r="I47" s="53">
        <f>ROUND(SUM(I44:I46),0)</f>
        <v>93445</v>
      </c>
      <c r="J47" s="601"/>
      <c r="K47" s="598"/>
      <c r="L47" s="598"/>
      <c r="M47" s="598"/>
      <c r="N47" s="598"/>
      <c r="O47" s="598"/>
      <c r="P47" s="598"/>
    </row>
    <row r="48" spans="2:16" ht="16.5" thickTop="1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  <c r="N48" s="598"/>
      <c r="O48" s="598"/>
      <c r="P48" s="598"/>
    </row>
    <row r="49" spans="2:10" ht="16.5" thickTop="1" thickBot="1" x14ac:dyDescent="0.3">
      <c r="B49" s="600"/>
      <c r="C49" s="87"/>
      <c r="D49" s="88"/>
      <c r="E49" s="88"/>
      <c r="F49" s="88"/>
      <c r="G49" s="855" t="s">
        <v>3141</v>
      </c>
      <c r="H49" s="856"/>
      <c r="I49" s="89">
        <f>I47+I41</f>
        <v>404929</v>
      </c>
      <c r="J49" s="601"/>
    </row>
    <row r="50" spans="2:10" hidden="1" x14ac:dyDescent="0.25">
      <c r="B50" s="600"/>
      <c r="C50" s="90"/>
      <c r="D50" s="32"/>
      <c r="E50" s="607"/>
      <c r="F50" s="607"/>
      <c r="G50" s="608"/>
      <c r="H50" s="857" t="s">
        <v>3142</v>
      </c>
      <c r="I50" s="857"/>
      <c r="J50" s="601"/>
    </row>
    <row r="51" spans="2:10" hidden="1" x14ac:dyDescent="0.25">
      <c r="B51" s="600"/>
      <c r="C51" s="90"/>
      <c r="D51" s="32"/>
      <c r="E51" s="32"/>
      <c r="F51" s="32"/>
      <c r="G51" s="607"/>
      <c r="H51" s="607"/>
      <c r="I51" s="91" t="s">
        <v>3143</v>
      </c>
      <c r="J51" s="601"/>
    </row>
    <row r="52" spans="2:10" ht="15.75" thickBot="1" x14ac:dyDescent="0.3">
      <c r="B52" s="609"/>
      <c r="C52" s="92"/>
      <c r="D52" s="597"/>
      <c r="E52" s="597"/>
      <c r="F52" s="597"/>
      <c r="G52" s="597"/>
      <c r="H52" s="93"/>
      <c r="I52" s="94"/>
      <c r="J52" s="610"/>
    </row>
  </sheetData>
  <mergeCells count="32">
    <mergeCell ref="D10:I10"/>
    <mergeCell ref="C5:I5"/>
    <mergeCell ref="C6:I6"/>
    <mergeCell ref="C7:I7"/>
    <mergeCell ref="C8:I8"/>
    <mergeCell ref="C9:I9"/>
    <mergeCell ref="C27:E27"/>
    <mergeCell ref="D11:I11"/>
    <mergeCell ref="D12:I12"/>
    <mergeCell ref="E14:G14"/>
    <mergeCell ref="C17:D17"/>
    <mergeCell ref="C18:D18"/>
    <mergeCell ref="C19:D19"/>
    <mergeCell ref="C20:D20"/>
    <mergeCell ref="C23:E23"/>
    <mergeCell ref="C24:E24"/>
    <mergeCell ref="C25:E25"/>
    <mergeCell ref="C26:E26"/>
    <mergeCell ref="C43:G43"/>
    <mergeCell ref="C28:E28"/>
    <mergeCell ref="C31:D31"/>
    <mergeCell ref="C32:D32"/>
    <mergeCell ref="C35:D35"/>
    <mergeCell ref="C36:D36"/>
    <mergeCell ref="C37:D37"/>
    <mergeCell ref="C38:D38"/>
    <mergeCell ref="G41:H41"/>
    <mergeCell ref="C44:G44"/>
    <mergeCell ref="C45:G45"/>
    <mergeCell ref="C46:G46"/>
    <mergeCell ref="G49:H49"/>
    <mergeCell ref="H50:I50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"/>
  <sheetViews>
    <sheetView view="pageBreakPreview" zoomScale="75" zoomScaleNormal="85" zoomScaleSheetLayoutView="75" zoomScalePageLayoutView="85" workbookViewId="0">
      <selection activeCell="C8" sqref="C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0" x14ac:dyDescent="0.25">
      <c r="B1" s="598"/>
      <c r="C1" s="20"/>
      <c r="D1" s="598"/>
      <c r="E1" s="598"/>
      <c r="F1" s="598"/>
      <c r="G1" s="598"/>
      <c r="H1" s="598"/>
      <c r="I1" s="599"/>
      <c r="J1" s="598"/>
    </row>
    <row r="2" spans="2:10" s="22" customFormat="1" ht="15.75" thickBot="1" x14ac:dyDescent="0.3">
      <c r="C2"/>
      <c r="I2" s="23"/>
    </row>
    <row r="3" spans="2:10" s="22" customFormat="1" x14ac:dyDescent="0.25">
      <c r="B3" s="24"/>
      <c r="C3" s="25"/>
      <c r="D3" s="25"/>
      <c r="E3" s="25"/>
      <c r="F3" s="25"/>
      <c r="G3" s="25"/>
      <c r="H3" s="25"/>
      <c r="I3" s="26"/>
      <c r="J3" s="27"/>
    </row>
    <row r="4" spans="2:10" s="22" customFormat="1" ht="15" customHeight="1" x14ac:dyDescent="0.25">
      <c r="B4" s="28"/>
      <c r="C4" s="33"/>
      <c r="D4" s="33"/>
      <c r="E4" s="33"/>
      <c r="F4" s="33"/>
      <c r="G4" s="33"/>
      <c r="H4" s="33"/>
      <c r="I4" s="506"/>
      <c r="J4" s="29"/>
    </row>
    <row r="5" spans="2:10" s="22" customFormat="1" ht="15" customHeight="1" x14ac:dyDescent="0.25">
      <c r="B5" s="28"/>
      <c r="C5" s="881" t="s">
        <v>3094</v>
      </c>
      <c r="D5" s="881"/>
      <c r="E5" s="881"/>
      <c r="F5" s="881"/>
      <c r="G5" s="881"/>
      <c r="H5" s="881"/>
      <c r="I5" s="881"/>
      <c r="J5" s="29"/>
    </row>
    <row r="6" spans="2:10" s="22" customFormat="1" ht="15" customHeight="1" x14ac:dyDescent="0.25">
      <c r="B6" s="28"/>
      <c r="C6" s="881" t="s">
        <v>3095</v>
      </c>
      <c r="D6" s="881"/>
      <c r="E6" s="881"/>
      <c r="F6" s="881"/>
      <c r="G6" s="881"/>
      <c r="H6" s="881"/>
      <c r="I6" s="881"/>
      <c r="J6" s="29"/>
    </row>
    <row r="7" spans="2:10" s="22" customFormat="1" x14ac:dyDescent="0.25">
      <c r="B7" s="28"/>
      <c r="C7" s="881" t="s">
        <v>0</v>
      </c>
      <c r="D7" s="882"/>
      <c r="E7" s="882"/>
      <c r="F7" s="882"/>
      <c r="G7" s="882"/>
      <c r="H7" s="882"/>
      <c r="I7" s="882"/>
      <c r="J7" s="29"/>
    </row>
    <row r="8" spans="2:10" s="22" customFormat="1" ht="43.5" customHeight="1" x14ac:dyDescent="0.25">
      <c r="B8" s="28"/>
      <c r="C8" s="884" t="s">
        <v>3096</v>
      </c>
      <c r="D8" s="884"/>
      <c r="E8" s="884"/>
      <c r="F8" s="884"/>
      <c r="G8" s="884"/>
      <c r="H8" s="884"/>
      <c r="I8" s="884"/>
      <c r="J8" s="29"/>
    </row>
    <row r="9" spans="2:10" s="22" customFormat="1" ht="15" customHeight="1" x14ac:dyDescent="0.25">
      <c r="B9" s="28"/>
      <c r="C9" s="30" t="s">
        <v>665</v>
      </c>
      <c r="D9" s="875" t="str">
        <f>+'INDICE APUs'!$B$7</f>
        <v>SAN JUAN DEL CESAR</v>
      </c>
      <c r="E9" s="875"/>
      <c r="F9" s="875"/>
      <c r="G9" s="875"/>
      <c r="H9" s="875"/>
      <c r="I9" s="875"/>
      <c r="J9" s="29"/>
    </row>
    <row r="10" spans="2:10" s="22" customFormat="1" ht="15" customHeight="1" x14ac:dyDescent="0.25">
      <c r="B10" s="28"/>
      <c r="C10" s="30" t="s">
        <v>3097</v>
      </c>
      <c r="D10" s="875" t="str">
        <f>+'INDICE APUs'!$B$8</f>
        <v>CORREGIMIENTO DE LA JUNTA, LA PEÑA Y CURAZAO</v>
      </c>
      <c r="E10" s="875"/>
      <c r="F10" s="875"/>
      <c r="G10" s="875"/>
      <c r="H10" s="875"/>
      <c r="I10" s="875"/>
      <c r="J10" s="29"/>
    </row>
    <row r="11" spans="2:10" s="22" customFormat="1" ht="15" customHeight="1" x14ac:dyDescent="0.25">
      <c r="B11" s="28"/>
      <c r="C11" s="30" t="s">
        <v>668</v>
      </c>
      <c r="D11" s="875" t="str">
        <f>+'INDICE APUs'!$B$9</f>
        <v>REDES DE ALCANTARILLADO SANITARIO</v>
      </c>
      <c r="E11" s="875"/>
      <c r="F11" s="875"/>
      <c r="G11" s="875"/>
      <c r="H11" s="875"/>
      <c r="I11" s="875"/>
      <c r="J11" s="29"/>
    </row>
    <row r="12" spans="2:10" s="22" customFormat="1" ht="15.75" thickBot="1" x14ac:dyDescent="0.3">
      <c r="B12" s="28"/>
      <c r="C12" s="31"/>
      <c r="D12" s="32"/>
      <c r="E12" s="32"/>
      <c r="F12" s="32"/>
      <c r="G12" s="33"/>
      <c r="H12" s="32"/>
      <c r="I12" s="34" t="str">
        <f>+'INDICE APUs'!$B$10</f>
        <v>DIC DE 2016</v>
      </c>
      <c r="J12" s="29"/>
    </row>
    <row r="13" spans="2:10" ht="37.5" customHeight="1" thickBot="1" x14ac:dyDescent="0.3">
      <c r="B13" s="600"/>
      <c r="C13" s="35" t="s">
        <v>3098</v>
      </c>
      <c r="D13" s="36" t="s">
        <v>3144</v>
      </c>
      <c r="E13" s="876" t="s">
        <v>3145</v>
      </c>
      <c r="F13" s="877"/>
      <c r="G13" s="878"/>
      <c r="H13" s="37" t="s">
        <v>5</v>
      </c>
      <c r="I13" s="38" t="s">
        <v>22</v>
      </c>
      <c r="J13" s="601"/>
    </row>
    <row r="14" spans="2:10" x14ac:dyDescent="0.25">
      <c r="B14" s="600"/>
      <c r="C14" s="39"/>
      <c r="D14" s="32"/>
      <c r="E14" s="32"/>
      <c r="F14" s="32"/>
      <c r="G14" s="32"/>
      <c r="H14" s="40"/>
      <c r="I14" s="41"/>
      <c r="J14" s="601"/>
    </row>
    <row r="15" spans="2:10" ht="15.75" thickBot="1" x14ac:dyDescent="0.3">
      <c r="B15" s="600"/>
      <c r="C15" s="39" t="s">
        <v>3100</v>
      </c>
      <c r="D15" s="32"/>
      <c r="E15" s="32"/>
      <c r="F15" s="32"/>
      <c r="G15" s="32"/>
      <c r="H15" s="40"/>
      <c r="I15" s="42"/>
      <c r="J15" s="601"/>
    </row>
    <row r="16" spans="2:10" ht="15.75" thickTop="1" x14ac:dyDescent="0.25">
      <c r="B16" s="600"/>
      <c r="C16" s="858" t="s">
        <v>3101</v>
      </c>
      <c r="D16" s="859"/>
      <c r="E16" s="596" t="s">
        <v>3102</v>
      </c>
      <c r="F16" s="596" t="s">
        <v>3103</v>
      </c>
      <c r="G16" s="596" t="s">
        <v>3104</v>
      </c>
      <c r="H16" s="596" t="s">
        <v>3105</v>
      </c>
      <c r="I16" s="43" t="s">
        <v>3106</v>
      </c>
      <c r="J16" s="601"/>
    </row>
    <row r="17" spans="2:11" x14ac:dyDescent="0.25">
      <c r="B17" s="600"/>
      <c r="C17" s="866" t="s">
        <v>3107</v>
      </c>
      <c r="D17" s="867"/>
      <c r="E17" s="44"/>
      <c r="F17" s="45"/>
      <c r="G17" s="46">
        <v>60000</v>
      </c>
      <c r="H17" s="47">
        <v>0.2</v>
      </c>
      <c r="I17" s="48">
        <f>+H17*G17</f>
        <v>12000</v>
      </c>
      <c r="J17" s="601"/>
      <c r="K17" s="602"/>
    </row>
    <row r="18" spans="2:11" x14ac:dyDescent="0.25">
      <c r="B18" s="600"/>
      <c r="C18" s="866" t="s">
        <v>3108</v>
      </c>
      <c r="D18" s="867"/>
      <c r="E18" s="44"/>
      <c r="F18" s="45"/>
      <c r="G18" s="509">
        <v>10000</v>
      </c>
      <c r="H18" s="505">
        <v>25</v>
      </c>
      <c r="I18" s="48">
        <f>+G18/H18</f>
        <v>400</v>
      </c>
      <c r="J18" s="601"/>
      <c r="K18" s="598"/>
    </row>
    <row r="19" spans="2:11" ht="15.75" thickBot="1" x14ac:dyDescent="0.3">
      <c r="B19" s="600"/>
      <c r="C19" s="866"/>
      <c r="D19" s="867"/>
      <c r="E19" s="44"/>
      <c r="F19" s="45"/>
      <c r="G19" s="46"/>
      <c r="H19" s="47"/>
      <c r="I19" s="48"/>
      <c r="J19" s="601"/>
      <c r="K19" s="598"/>
    </row>
    <row r="20" spans="2:11" ht="16.5" thickTop="1" thickBot="1" x14ac:dyDescent="0.3">
      <c r="B20" s="600"/>
      <c r="C20" s="49"/>
      <c r="D20" s="50"/>
      <c r="E20" s="50"/>
      <c r="F20" s="50"/>
      <c r="G20" s="51"/>
      <c r="H20" s="52" t="s">
        <v>3109</v>
      </c>
      <c r="I20" s="53">
        <f>(SUM(I17:I19))</f>
        <v>12400</v>
      </c>
      <c r="J20" s="601"/>
      <c r="K20" s="598"/>
    </row>
    <row r="21" spans="2:11" ht="16.5" thickTop="1" thickBot="1" x14ac:dyDescent="0.3">
      <c r="B21" s="600"/>
      <c r="C21" s="39" t="s">
        <v>3110</v>
      </c>
      <c r="D21" s="32"/>
      <c r="E21" s="32"/>
      <c r="F21" s="32"/>
      <c r="G21" s="32"/>
      <c r="H21" s="32"/>
      <c r="I21" s="41"/>
      <c r="J21" s="601"/>
      <c r="K21" s="598"/>
    </row>
    <row r="22" spans="2:11" ht="15.75" thickTop="1" x14ac:dyDescent="0.25">
      <c r="B22" s="600"/>
      <c r="C22" s="879" t="s">
        <v>3101</v>
      </c>
      <c r="D22" s="880"/>
      <c r="E22" s="880"/>
      <c r="F22" s="596" t="s">
        <v>3111</v>
      </c>
      <c r="G22" s="596" t="s">
        <v>3112</v>
      </c>
      <c r="H22" s="596" t="s">
        <v>3113</v>
      </c>
      <c r="I22" s="43" t="s">
        <v>3106</v>
      </c>
      <c r="J22" s="601"/>
      <c r="K22" s="598"/>
    </row>
    <row r="23" spans="2:11" x14ac:dyDescent="0.25">
      <c r="B23" s="56"/>
      <c r="C23" s="872" t="s">
        <v>3114</v>
      </c>
      <c r="D23" s="873"/>
      <c r="E23" s="874"/>
      <c r="F23" s="57" t="s">
        <v>321</v>
      </c>
      <c r="G23" s="508">
        <f>'1'!G24</f>
        <v>440</v>
      </c>
      <c r="H23" s="57">
        <v>454</v>
      </c>
      <c r="I23" s="48">
        <f t="shared" ref="I23:I25" si="0">+H23*G23</f>
        <v>199760</v>
      </c>
      <c r="J23" s="601"/>
      <c r="K23" s="598"/>
    </row>
    <row r="24" spans="2:11" x14ac:dyDescent="0.25">
      <c r="B24" s="56"/>
      <c r="C24" s="872" t="s">
        <v>3146</v>
      </c>
      <c r="D24" s="873"/>
      <c r="E24" s="874"/>
      <c r="F24" s="57" t="s">
        <v>22</v>
      </c>
      <c r="G24" s="508">
        <f>'1'!G25</f>
        <v>21000</v>
      </c>
      <c r="H24" s="57">
        <v>1.0900000000000001</v>
      </c>
      <c r="I24" s="48">
        <f t="shared" si="0"/>
        <v>22890</v>
      </c>
      <c r="J24" s="601"/>
      <c r="K24" s="598"/>
    </row>
    <row r="25" spans="2:11" x14ac:dyDescent="0.25">
      <c r="B25" s="56"/>
      <c r="C25" s="872" t="s">
        <v>3116</v>
      </c>
      <c r="D25" s="873"/>
      <c r="E25" s="874"/>
      <c r="F25" s="57" t="s">
        <v>3117</v>
      </c>
      <c r="G25" s="508">
        <v>15</v>
      </c>
      <c r="H25" s="57">
        <v>230</v>
      </c>
      <c r="I25" s="48">
        <f t="shared" si="0"/>
        <v>3450</v>
      </c>
      <c r="J25" s="601"/>
      <c r="K25" s="598"/>
    </row>
    <row r="26" spans="2:11" x14ac:dyDescent="0.25">
      <c r="B26" s="56"/>
      <c r="C26" s="872"/>
      <c r="D26" s="873"/>
      <c r="E26" s="874"/>
      <c r="F26" s="57"/>
      <c r="G26" s="508"/>
      <c r="H26" s="57"/>
      <c r="I26" s="48"/>
      <c r="J26" s="601"/>
      <c r="K26" s="598"/>
    </row>
    <row r="27" spans="2:11" x14ac:dyDescent="0.25">
      <c r="B27" s="56"/>
      <c r="C27" s="872"/>
      <c r="D27" s="873"/>
      <c r="E27" s="874"/>
      <c r="F27" s="57"/>
      <c r="G27" s="58"/>
      <c r="H27" s="57"/>
      <c r="I27" s="59"/>
      <c r="J27" s="601"/>
      <c r="K27" s="598"/>
    </row>
    <row r="28" spans="2:11" ht="15.75" thickBot="1" x14ac:dyDescent="0.3">
      <c r="B28" s="600"/>
      <c r="C28" s="861" t="s">
        <v>3119</v>
      </c>
      <c r="D28" s="862"/>
      <c r="E28" s="863"/>
      <c r="F28" s="60"/>
      <c r="G28" s="61"/>
      <c r="H28" s="62"/>
      <c r="I28" s="63">
        <f>SUM(I23:I26)*0.05</f>
        <v>11305</v>
      </c>
      <c r="J28" s="601"/>
      <c r="K28" s="598"/>
    </row>
    <row r="29" spans="2:11" ht="16.5" thickTop="1" thickBot="1" x14ac:dyDescent="0.3">
      <c r="B29" s="600"/>
      <c r="C29" s="64"/>
      <c r="D29" s="65"/>
      <c r="E29" s="65"/>
      <c r="F29" s="65"/>
      <c r="G29" s="66"/>
      <c r="H29" s="52" t="s">
        <v>3109</v>
      </c>
      <c r="I29" s="53">
        <f>ROUND(SUM(I23:I28),0)</f>
        <v>237405</v>
      </c>
      <c r="J29" s="601"/>
      <c r="K29" s="598"/>
    </row>
    <row r="30" spans="2:11" ht="16.5" thickTop="1" thickBot="1" x14ac:dyDescent="0.3">
      <c r="B30" s="600"/>
      <c r="C30" s="39" t="s">
        <v>3120</v>
      </c>
      <c r="D30" s="32"/>
      <c r="E30" s="32"/>
      <c r="F30" s="32"/>
      <c r="G30" s="32"/>
      <c r="H30" s="32"/>
      <c r="I30" s="67"/>
      <c r="J30" s="601"/>
      <c r="K30" s="598"/>
    </row>
    <row r="31" spans="2:11" ht="15.75" thickTop="1" x14ac:dyDescent="0.25">
      <c r="B31" s="600"/>
      <c r="C31" s="858" t="s">
        <v>3121</v>
      </c>
      <c r="D31" s="860"/>
      <c r="E31" s="596" t="s">
        <v>3122</v>
      </c>
      <c r="F31" s="596" t="s">
        <v>3123</v>
      </c>
      <c r="G31" s="596" t="s">
        <v>3124</v>
      </c>
      <c r="H31" s="596" t="s">
        <v>3125</v>
      </c>
      <c r="I31" s="43" t="s">
        <v>3106</v>
      </c>
      <c r="J31" s="601"/>
      <c r="K31" s="598"/>
    </row>
    <row r="32" spans="2:11" x14ac:dyDescent="0.25">
      <c r="B32" s="600"/>
      <c r="C32" s="849"/>
      <c r="D32" s="851"/>
      <c r="E32" s="68"/>
      <c r="F32" s="68"/>
      <c r="G32" s="68"/>
      <c r="H32" s="68"/>
      <c r="I32" s="69"/>
      <c r="J32" s="601"/>
      <c r="K32" s="598"/>
    </row>
    <row r="33" spans="2:13" ht="15.75" thickBot="1" x14ac:dyDescent="0.3">
      <c r="B33" s="600"/>
      <c r="C33" s="864"/>
      <c r="D33" s="865"/>
      <c r="E33" s="70"/>
      <c r="F33" s="70"/>
      <c r="G33" s="70"/>
      <c r="H33" s="70"/>
      <c r="I33" s="71"/>
      <c r="J33" s="601"/>
      <c r="K33" s="598"/>
      <c r="L33" s="598"/>
      <c r="M33" s="598"/>
    </row>
    <row r="34" spans="2:13" ht="16.5" thickTop="1" thickBot="1" x14ac:dyDescent="0.3">
      <c r="B34" s="600"/>
      <c r="C34" s="54"/>
      <c r="D34" s="32"/>
      <c r="E34" s="32"/>
      <c r="F34" s="32"/>
      <c r="G34" s="32"/>
      <c r="H34" s="52" t="s">
        <v>3109</v>
      </c>
      <c r="I34" s="53">
        <f>ROUND(SUM(I32:I33),0)</f>
        <v>0</v>
      </c>
      <c r="J34" s="601"/>
      <c r="K34" s="598"/>
      <c r="L34" s="598"/>
      <c r="M34" s="598"/>
    </row>
    <row r="35" spans="2:13" ht="16.5" thickTop="1" thickBot="1" x14ac:dyDescent="0.3">
      <c r="B35" s="600"/>
      <c r="C35" s="39" t="s">
        <v>3126</v>
      </c>
      <c r="D35" s="32"/>
      <c r="E35" s="32"/>
      <c r="F35" s="32"/>
      <c r="G35" s="32"/>
      <c r="H35" s="32"/>
      <c r="I35" s="55"/>
      <c r="J35" s="601"/>
      <c r="K35" s="598"/>
      <c r="L35" s="598"/>
      <c r="M35" s="598"/>
    </row>
    <row r="36" spans="2:13" ht="23.25" customHeight="1" thickTop="1" x14ac:dyDescent="0.25">
      <c r="B36" s="600"/>
      <c r="C36" s="858" t="s">
        <v>3127</v>
      </c>
      <c r="D36" s="860"/>
      <c r="E36" s="596" t="s">
        <v>3128</v>
      </c>
      <c r="F36" s="596" t="s">
        <v>3129</v>
      </c>
      <c r="G36" s="72" t="s">
        <v>3130</v>
      </c>
      <c r="H36" s="596" t="s">
        <v>3125</v>
      </c>
      <c r="I36" s="43" t="s">
        <v>3106</v>
      </c>
      <c r="J36" s="601"/>
      <c r="K36" s="598"/>
      <c r="L36" s="598"/>
      <c r="M36" s="598"/>
    </row>
    <row r="37" spans="2:13" x14ac:dyDescent="0.25">
      <c r="B37" s="56"/>
      <c r="C37" s="866" t="s">
        <v>3147</v>
      </c>
      <c r="D37" s="867"/>
      <c r="E37" s="46">
        <f>Cuadrillas!$H$90*2</f>
        <v>48951.305</v>
      </c>
      <c r="F37" s="73">
        <v>1.5216000000000001</v>
      </c>
      <c r="G37" s="46">
        <f>+F37*E37</f>
        <v>74484.305688000008</v>
      </c>
      <c r="H37" s="47">
        <v>0.4</v>
      </c>
      <c r="I37" s="48">
        <f>+H37*G37</f>
        <v>29793.722275200005</v>
      </c>
      <c r="J37" s="601"/>
      <c r="K37" s="598"/>
      <c r="L37" s="598"/>
      <c r="M37" s="598"/>
    </row>
    <row r="38" spans="2:13" x14ac:dyDescent="0.25">
      <c r="B38" s="56"/>
      <c r="C38" s="866" t="s">
        <v>3132</v>
      </c>
      <c r="D38" s="867"/>
      <c r="E38" s="46">
        <f>Cuadrillas!$H$90*2</f>
        <v>48951.305</v>
      </c>
      <c r="F38" s="73">
        <v>1.5216000000000001</v>
      </c>
      <c r="G38" s="46">
        <f>+F38*E38</f>
        <v>74484.305688000008</v>
      </c>
      <c r="H38" s="47">
        <v>0.25</v>
      </c>
      <c r="I38" s="48">
        <f>+H38*G38</f>
        <v>18621.076422000002</v>
      </c>
      <c r="J38" s="601"/>
      <c r="K38" s="598"/>
      <c r="L38" s="598"/>
      <c r="M38" s="598"/>
    </row>
    <row r="39" spans="2:13" ht="15.75" thickBot="1" x14ac:dyDescent="0.3">
      <c r="B39" s="600"/>
      <c r="C39" s="868"/>
      <c r="D39" s="869"/>
      <c r="E39" s="74"/>
      <c r="F39" s="75"/>
      <c r="G39" s="74"/>
      <c r="H39" s="76"/>
      <c r="I39" s="63"/>
      <c r="J39" s="601"/>
      <c r="K39" s="598"/>
      <c r="L39" s="598"/>
      <c r="M39" s="598"/>
    </row>
    <row r="40" spans="2:13" ht="16.5" thickTop="1" thickBot="1" x14ac:dyDescent="0.3">
      <c r="B40" s="600"/>
      <c r="C40" s="54"/>
      <c r="D40" s="77"/>
      <c r="E40" s="78"/>
      <c r="F40" s="79"/>
      <c r="G40" s="78"/>
      <c r="H40" s="52" t="s">
        <v>3109</v>
      </c>
      <c r="I40" s="80">
        <f>(SUM(I37:I39))</f>
        <v>48414.798697200007</v>
      </c>
      <c r="J40" s="601"/>
      <c r="K40" s="598"/>
      <c r="L40" s="598"/>
      <c r="M40" s="598"/>
    </row>
    <row r="41" spans="2:13" ht="16.5" thickTop="1" thickBot="1" x14ac:dyDescent="0.3">
      <c r="B41" s="600"/>
      <c r="C41" s="54"/>
      <c r="D41" s="32"/>
      <c r="E41" s="32"/>
      <c r="F41" s="32"/>
      <c r="G41" s="81"/>
      <c r="H41" s="81"/>
      <c r="I41" s="41"/>
      <c r="J41" s="601"/>
      <c r="K41" s="598"/>
      <c r="L41" s="598"/>
      <c r="M41" s="598"/>
    </row>
    <row r="42" spans="2:13" ht="16.5" thickTop="1" thickBot="1" x14ac:dyDescent="0.3">
      <c r="B42" s="600"/>
      <c r="C42" s="82"/>
      <c r="D42" s="65"/>
      <c r="E42" s="65"/>
      <c r="F42" s="65"/>
      <c r="G42" s="870" t="s">
        <v>3133</v>
      </c>
      <c r="H42" s="871"/>
      <c r="I42" s="83">
        <f>ROUND(+I20+I29+I34+I40,0)</f>
        <v>298220</v>
      </c>
      <c r="J42" s="601"/>
      <c r="K42" s="598"/>
      <c r="L42" s="598"/>
      <c r="M42" s="599"/>
    </row>
    <row r="43" spans="2:13" ht="16.5" thickTop="1" thickBot="1" x14ac:dyDescent="0.3">
      <c r="B43" s="600"/>
      <c r="C43" s="39" t="s">
        <v>3134</v>
      </c>
      <c r="D43" s="32"/>
      <c r="E43" s="32"/>
      <c r="F43" s="32"/>
      <c r="G43" s="32"/>
      <c r="H43" s="32"/>
      <c r="I43" s="55"/>
      <c r="J43" s="601"/>
      <c r="K43" s="598"/>
      <c r="L43" s="598"/>
      <c r="M43" s="598"/>
    </row>
    <row r="44" spans="2:13" ht="15.75" thickTop="1" x14ac:dyDescent="0.25">
      <c r="B44" s="600"/>
      <c r="C44" s="858" t="s">
        <v>3135</v>
      </c>
      <c r="D44" s="859"/>
      <c r="E44" s="859"/>
      <c r="F44" s="859"/>
      <c r="G44" s="860"/>
      <c r="H44" s="596" t="s">
        <v>3136</v>
      </c>
      <c r="I44" s="43" t="s">
        <v>3137</v>
      </c>
      <c r="J44" s="601"/>
      <c r="K44" s="598"/>
      <c r="L44" s="598"/>
      <c r="M44" s="598"/>
    </row>
    <row r="45" spans="2:13" x14ac:dyDescent="0.25">
      <c r="B45" s="600"/>
      <c r="C45" s="849" t="s">
        <v>3138</v>
      </c>
      <c r="D45" s="850"/>
      <c r="E45" s="850"/>
      <c r="F45" s="850"/>
      <c r="G45" s="851"/>
      <c r="H45" s="84">
        <v>0.2</v>
      </c>
      <c r="I45" s="85">
        <f>H45*I42</f>
        <v>59644</v>
      </c>
      <c r="J45" s="601"/>
      <c r="K45" s="598"/>
      <c r="L45" s="598"/>
      <c r="M45" s="598"/>
    </row>
    <row r="46" spans="2:13" x14ac:dyDescent="0.25">
      <c r="B46" s="600"/>
      <c r="C46" s="849" t="s">
        <v>3139</v>
      </c>
      <c r="D46" s="850"/>
      <c r="E46" s="850"/>
      <c r="F46" s="850"/>
      <c r="G46" s="851"/>
      <c r="H46" s="84">
        <v>0.05</v>
      </c>
      <c r="I46" s="85">
        <f>H46*I42</f>
        <v>14911</v>
      </c>
      <c r="J46" s="601"/>
      <c r="K46" s="598"/>
      <c r="L46" s="598"/>
      <c r="M46" s="598"/>
    </row>
    <row r="47" spans="2:13" ht="15.75" thickBot="1" x14ac:dyDescent="0.3">
      <c r="B47" s="600"/>
      <c r="C47" s="852" t="s">
        <v>3140</v>
      </c>
      <c r="D47" s="853"/>
      <c r="E47" s="853"/>
      <c r="F47" s="853"/>
      <c r="G47" s="854"/>
      <c r="H47" s="86">
        <v>0.05</v>
      </c>
      <c r="I47" s="71">
        <f>H47*I42</f>
        <v>14911</v>
      </c>
      <c r="J47" s="601"/>
      <c r="K47" s="598"/>
      <c r="L47" s="598"/>
      <c r="M47" s="598"/>
    </row>
    <row r="48" spans="2:13" ht="16.5" thickTop="1" thickBot="1" x14ac:dyDescent="0.3">
      <c r="B48" s="600"/>
      <c r="C48" s="82"/>
      <c r="D48" s="65"/>
      <c r="E48" s="65"/>
      <c r="F48" s="65"/>
      <c r="G48" s="65"/>
      <c r="H48" s="52" t="s">
        <v>3109</v>
      </c>
      <c r="I48" s="53">
        <f>ROUND(SUM(I45:I47),0)</f>
        <v>89466</v>
      </c>
      <c r="J48" s="601"/>
      <c r="K48" s="598"/>
      <c r="L48" s="598"/>
      <c r="M48" s="598"/>
    </row>
    <row r="49" spans="2:10" ht="16.5" thickTop="1" thickBot="1" x14ac:dyDescent="0.3">
      <c r="B49" s="600"/>
      <c r="C49" s="54"/>
      <c r="D49" s="32"/>
      <c r="E49" s="32"/>
      <c r="F49" s="32"/>
      <c r="G49" s="32"/>
      <c r="H49" s="32"/>
      <c r="I49" s="55"/>
      <c r="J49" s="601"/>
    </row>
    <row r="50" spans="2:10" ht="16.5" thickTop="1" thickBot="1" x14ac:dyDescent="0.3">
      <c r="B50" s="600"/>
      <c r="C50" s="87"/>
      <c r="D50" s="88"/>
      <c r="E50" s="88"/>
      <c r="F50" s="88"/>
      <c r="G50" s="855" t="s">
        <v>3141</v>
      </c>
      <c r="H50" s="856"/>
      <c r="I50" s="89">
        <f>I48+I42</f>
        <v>387686</v>
      </c>
      <c r="J50" s="601"/>
    </row>
    <row r="51" spans="2:10" hidden="1" x14ac:dyDescent="0.25">
      <c r="B51" s="600"/>
      <c r="C51" s="90"/>
      <c r="D51" s="32"/>
      <c r="E51" s="607"/>
      <c r="F51" s="607"/>
      <c r="G51" s="608"/>
      <c r="H51" s="857" t="s">
        <v>3142</v>
      </c>
      <c r="I51" s="857"/>
      <c r="J51" s="601"/>
    </row>
    <row r="52" spans="2:10" hidden="1" x14ac:dyDescent="0.25">
      <c r="B52" s="600"/>
      <c r="C52" s="90"/>
      <c r="D52" s="32"/>
      <c r="E52" s="32"/>
      <c r="F52" s="32"/>
      <c r="G52" s="607"/>
      <c r="H52" s="607"/>
      <c r="I52" s="91" t="s">
        <v>3143</v>
      </c>
      <c r="J52" s="601"/>
    </row>
    <row r="53" spans="2:10" ht="15.75" thickBot="1" x14ac:dyDescent="0.3">
      <c r="B53" s="609"/>
      <c r="C53" s="92"/>
      <c r="D53" s="597"/>
      <c r="E53" s="597"/>
      <c r="F53" s="597"/>
      <c r="G53" s="597"/>
      <c r="H53" s="93"/>
      <c r="I53" s="94"/>
      <c r="J53" s="610"/>
    </row>
  </sheetData>
  <mergeCells count="33">
    <mergeCell ref="D9:I9"/>
    <mergeCell ref="C5:I5"/>
    <mergeCell ref="C6:I6"/>
    <mergeCell ref="C7:I7"/>
    <mergeCell ref="C8:I8"/>
    <mergeCell ref="C26:E26"/>
    <mergeCell ref="D10:I10"/>
    <mergeCell ref="D11:I11"/>
    <mergeCell ref="E13:G13"/>
    <mergeCell ref="C16:D16"/>
    <mergeCell ref="C17:D17"/>
    <mergeCell ref="C18:D18"/>
    <mergeCell ref="C19:D19"/>
    <mergeCell ref="C22:E22"/>
    <mergeCell ref="C23:E23"/>
    <mergeCell ref="C24:E24"/>
    <mergeCell ref="C25:E25"/>
    <mergeCell ref="C44:G44"/>
    <mergeCell ref="C27:E27"/>
    <mergeCell ref="C28:E28"/>
    <mergeCell ref="C31:D31"/>
    <mergeCell ref="C32:D32"/>
    <mergeCell ref="C33:D33"/>
    <mergeCell ref="C36:D36"/>
    <mergeCell ref="C37:D37"/>
    <mergeCell ref="C38:D38"/>
    <mergeCell ref="C39:D39"/>
    <mergeCell ref="G42:H42"/>
    <mergeCell ref="C45:G45"/>
    <mergeCell ref="C46:G46"/>
    <mergeCell ref="C47:G47"/>
    <mergeCell ref="G50:H50"/>
    <mergeCell ref="H51:I51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9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81" t="s">
        <v>3094</v>
      </c>
      <c r="D4" s="881"/>
      <c r="E4" s="881"/>
      <c r="F4" s="881"/>
      <c r="G4" s="881"/>
      <c r="H4" s="881"/>
      <c r="I4" s="881"/>
      <c r="J4" s="29"/>
    </row>
    <row r="5" spans="2:11" s="22" customFormat="1" ht="15" customHeight="1" x14ac:dyDescent="0.25">
      <c r="B5" s="28"/>
      <c r="C5" s="881" t="s">
        <v>3095</v>
      </c>
      <c r="D5" s="881"/>
      <c r="E5" s="881"/>
      <c r="F5" s="881"/>
      <c r="G5" s="881"/>
      <c r="H5" s="881"/>
      <c r="I5" s="881"/>
      <c r="J5" s="29"/>
    </row>
    <row r="6" spans="2:11" s="22" customFormat="1" x14ac:dyDescent="0.25">
      <c r="B6" s="28"/>
      <c r="C6" s="881" t="s">
        <v>0</v>
      </c>
      <c r="D6" s="882"/>
      <c r="E6" s="882"/>
      <c r="F6" s="882"/>
      <c r="G6" s="882"/>
      <c r="H6" s="882"/>
      <c r="I6" s="882"/>
      <c r="J6" s="29"/>
    </row>
    <row r="7" spans="2:11" s="22" customFormat="1" ht="43.5" customHeight="1" x14ac:dyDescent="0.25">
      <c r="B7" s="28"/>
      <c r="C7" s="884" t="s">
        <v>3096</v>
      </c>
      <c r="D7" s="884"/>
      <c r="E7" s="884"/>
      <c r="F7" s="884"/>
      <c r="G7" s="884"/>
      <c r="H7" s="884"/>
      <c r="I7" s="884"/>
      <c r="J7" s="29"/>
    </row>
    <row r="8" spans="2:11" s="22" customFormat="1" ht="15" customHeight="1" x14ac:dyDescent="0.25">
      <c r="B8" s="28"/>
      <c r="C8" s="30" t="s">
        <v>665</v>
      </c>
      <c r="D8" s="875" t="str">
        <f>+'INDICE APUs'!$B$7</f>
        <v>SAN JUAN DEL CESAR</v>
      </c>
      <c r="E8" s="875"/>
      <c r="F8" s="875"/>
      <c r="G8" s="875"/>
      <c r="H8" s="875"/>
      <c r="I8" s="875"/>
      <c r="J8" s="29"/>
    </row>
    <row r="9" spans="2:11" s="22" customFormat="1" ht="15" customHeight="1" x14ac:dyDescent="0.25">
      <c r="B9" s="28"/>
      <c r="C9" s="30" t="s">
        <v>3097</v>
      </c>
      <c r="D9" s="875" t="str">
        <f>+'INDICE APUs'!$B$8</f>
        <v>CORREGIMIENTO DE LA JUNTA, LA PEÑA Y CURAZAO</v>
      </c>
      <c r="E9" s="875"/>
      <c r="F9" s="875"/>
      <c r="G9" s="875"/>
      <c r="H9" s="875"/>
      <c r="I9" s="875"/>
      <c r="J9" s="29"/>
    </row>
    <row r="10" spans="2:11" s="22" customFormat="1" ht="15" customHeight="1" x14ac:dyDescent="0.25">
      <c r="B10" s="28"/>
      <c r="C10" s="30" t="s">
        <v>668</v>
      </c>
      <c r="D10" s="875" t="str">
        <f>+'INDICE APUs'!$B$9</f>
        <v>REDES DE ALCANTARILLADO SANITARIO</v>
      </c>
      <c r="E10" s="875"/>
      <c r="F10" s="875"/>
      <c r="G10" s="875"/>
      <c r="H10" s="875"/>
      <c r="I10" s="875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3098</v>
      </c>
      <c r="D12" s="36" t="s">
        <v>3148</v>
      </c>
      <c r="E12" s="876" t="s">
        <v>3149</v>
      </c>
      <c r="F12" s="877"/>
      <c r="G12" s="878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3100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58" t="s">
        <v>3101</v>
      </c>
      <c r="D15" s="859"/>
      <c r="E15" s="596" t="s">
        <v>3102</v>
      </c>
      <c r="F15" s="596" t="s">
        <v>3103</v>
      </c>
      <c r="G15" s="596" t="s">
        <v>3104</v>
      </c>
      <c r="H15" s="596" t="s">
        <v>3105</v>
      </c>
      <c r="I15" s="43" t="s">
        <v>3106</v>
      </c>
      <c r="J15" s="601"/>
      <c r="K15" s="598"/>
    </row>
    <row r="16" spans="2:11" x14ac:dyDescent="0.25">
      <c r="B16" s="600"/>
      <c r="C16" s="866" t="s">
        <v>3107</v>
      </c>
      <c r="D16" s="867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66" t="s">
        <v>3108</v>
      </c>
      <c r="D17" s="867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3109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3110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79" t="s">
        <v>3101</v>
      </c>
      <c r="D21" s="880"/>
      <c r="E21" s="880"/>
      <c r="F21" s="596" t="s">
        <v>3111</v>
      </c>
      <c r="G21" s="596" t="s">
        <v>3112</v>
      </c>
      <c r="H21" s="596" t="s">
        <v>3113</v>
      </c>
      <c r="I21" s="43" t="s">
        <v>3106</v>
      </c>
      <c r="J21" s="601"/>
    </row>
    <row r="22" spans="2:10" x14ac:dyDescent="0.25">
      <c r="B22" s="56"/>
      <c r="C22" s="872" t="s">
        <v>3114</v>
      </c>
      <c r="D22" s="873"/>
      <c r="E22" s="874"/>
      <c r="F22" s="57" t="s">
        <v>321</v>
      </c>
      <c r="G22" s="508">
        <f>'1'!G24</f>
        <v>440</v>
      </c>
      <c r="H22" s="57">
        <v>225</v>
      </c>
      <c r="I22" s="48">
        <f t="shared" ref="I22:I25" si="0">+H22*G22</f>
        <v>99000</v>
      </c>
      <c r="J22" s="601"/>
    </row>
    <row r="23" spans="2:10" x14ac:dyDescent="0.25">
      <c r="B23" s="56"/>
      <c r="C23" s="872" t="s">
        <v>3115</v>
      </c>
      <c r="D23" s="873"/>
      <c r="E23" s="874"/>
      <c r="F23" s="57" t="s">
        <v>22</v>
      </c>
      <c r="G23" s="508">
        <f>'2'!G24</f>
        <v>21000</v>
      </c>
      <c r="H23" s="57">
        <v>0.72</v>
      </c>
      <c r="I23" s="48">
        <f t="shared" si="0"/>
        <v>15120</v>
      </c>
      <c r="J23" s="601"/>
    </row>
    <row r="24" spans="2:10" x14ac:dyDescent="0.25">
      <c r="B24" s="56"/>
      <c r="C24" s="872" t="s">
        <v>3150</v>
      </c>
      <c r="D24" s="873"/>
      <c r="E24" s="874"/>
      <c r="F24" s="57" t="s">
        <v>22</v>
      </c>
      <c r="G24" s="508">
        <v>67000</v>
      </c>
      <c r="H24" s="57">
        <v>0.72</v>
      </c>
      <c r="I24" s="48">
        <f t="shared" si="0"/>
        <v>48240</v>
      </c>
      <c r="J24" s="601"/>
    </row>
    <row r="25" spans="2:10" x14ac:dyDescent="0.25">
      <c r="B25" s="56"/>
      <c r="C25" s="872" t="s">
        <v>3116</v>
      </c>
      <c r="D25" s="873"/>
      <c r="E25" s="874"/>
      <c r="F25" s="57" t="s">
        <v>3117</v>
      </c>
      <c r="G25" s="508">
        <v>15</v>
      </c>
      <c r="H25" s="57">
        <v>250</v>
      </c>
      <c r="I25" s="48">
        <f t="shared" si="0"/>
        <v>3750</v>
      </c>
      <c r="J25" s="601"/>
    </row>
    <row r="26" spans="2:10" x14ac:dyDescent="0.25">
      <c r="B26" s="56"/>
      <c r="C26" s="872"/>
      <c r="D26" s="873"/>
      <c r="E26" s="874"/>
      <c r="F26" s="57"/>
      <c r="G26" s="58"/>
      <c r="H26" s="57"/>
      <c r="I26" s="59"/>
      <c r="J26" s="601"/>
    </row>
    <row r="27" spans="2:10" ht="15.75" thickBot="1" x14ac:dyDescent="0.3">
      <c r="B27" s="600"/>
      <c r="C27" s="861" t="s">
        <v>3119</v>
      </c>
      <c r="D27" s="862"/>
      <c r="E27" s="863"/>
      <c r="F27" s="60"/>
      <c r="G27" s="61"/>
      <c r="H27" s="62"/>
      <c r="I27" s="63">
        <f>SUM(I22:I25)*0.05</f>
        <v>8305.5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3109</v>
      </c>
      <c r="I28" s="53">
        <f>ROUND(SUM(I22:I27),0)</f>
        <v>174416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3120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58" t="s">
        <v>3121</v>
      </c>
      <c r="D32" s="860"/>
      <c r="E32" s="596" t="s">
        <v>3122</v>
      </c>
      <c r="F32" s="596" t="s">
        <v>3123</v>
      </c>
      <c r="G32" s="596" t="s">
        <v>3124</v>
      </c>
      <c r="H32" s="596" t="s">
        <v>3125</v>
      </c>
      <c r="I32" s="43" t="s">
        <v>3106</v>
      </c>
      <c r="J32" s="601"/>
    </row>
    <row r="33" spans="2:13" x14ac:dyDescent="0.25">
      <c r="B33" s="600"/>
      <c r="C33" s="849"/>
      <c r="D33" s="851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64"/>
      <c r="D34" s="865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3109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3126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58" t="s">
        <v>3127</v>
      </c>
      <c r="D38" s="860"/>
      <c r="E38" s="596" t="s">
        <v>3128</v>
      </c>
      <c r="F38" s="596" t="s">
        <v>3129</v>
      </c>
      <c r="G38" s="72" t="s">
        <v>3130</v>
      </c>
      <c r="H38" s="596" t="s">
        <v>3125</v>
      </c>
      <c r="I38" s="43" t="s">
        <v>3106</v>
      </c>
      <c r="J38" s="601"/>
      <c r="K38" s="598"/>
      <c r="L38" s="598"/>
      <c r="M38" s="598"/>
    </row>
    <row r="39" spans="2:13" x14ac:dyDescent="0.25">
      <c r="B39" s="600"/>
      <c r="C39" s="866"/>
      <c r="D39" s="867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66" t="s">
        <v>3151</v>
      </c>
      <c r="D40" s="867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66" t="s">
        <v>3147</v>
      </c>
      <c r="D41" s="867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0.35</v>
      </c>
      <c r="I41" s="48">
        <f>+H41*G41</f>
        <v>26069.5069908</v>
      </c>
      <c r="J41" s="601"/>
      <c r="K41" s="598"/>
      <c r="L41" s="598"/>
      <c r="M41" s="598"/>
    </row>
    <row r="42" spans="2:13" x14ac:dyDescent="0.25">
      <c r="B42" s="56"/>
      <c r="C42" s="866" t="s">
        <v>3132</v>
      </c>
      <c r="D42" s="867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68"/>
      <c r="D43" s="869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3109</v>
      </c>
      <c r="I44" s="80">
        <f>(SUM(I39:I43))</f>
        <v>67035.875119200005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70" t="s">
        <v>3133</v>
      </c>
      <c r="H46" s="871"/>
      <c r="I46" s="83">
        <f>ROUND(+I18+I28+I35+I44,0)</f>
        <v>253852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3134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58" t="s">
        <v>3135</v>
      </c>
      <c r="D49" s="859"/>
      <c r="E49" s="859"/>
      <c r="F49" s="859"/>
      <c r="G49" s="860"/>
      <c r="H49" s="596" t="s">
        <v>3136</v>
      </c>
      <c r="I49" s="43" t="s">
        <v>3137</v>
      </c>
      <c r="J49" s="601"/>
    </row>
    <row r="50" spans="2:10" x14ac:dyDescent="0.25">
      <c r="B50" s="600"/>
      <c r="C50" s="849" t="s">
        <v>3138</v>
      </c>
      <c r="D50" s="850"/>
      <c r="E50" s="850"/>
      <c r="F50" s="850"/>
      <c r="G50" s="851"/>
      <c r="H50" s="84">
        <v>0.2</v>
      </c>
      <c r="I50" s="85">
        <f>H50*I46</f>
        <v>50770.400000000001</v>
      </c>
      <c r="J50" s="601"/>
    </row>
    <row r="51" spans="2:10" x14ac:dyDescent="0.25">
      <c r="B51" s="600"/>
      <c r="C51" s="849" t="s">
        <v>3139</v>
      </c>
      <c r="D51" s="850"/>
      <c r="E51" s="850"/>
      <c r="F51" s="850"/>
      <c r="G51" s="851"/>
      <c r="H51" s="84">
        <v>0.05</v>
      </c>
      <c r="I51" s="85">
        <f>H51*I46</f>
        <v>12692.6</v>
      </c>
      <c r="J51" s="601"/>
    </row>
    <row r="52" spans="2:10" ht="15.75" thickBot="1" x14ac:dyDescent="0.3">
      <c r="B52" s="600"/>
      <c r="C52" s="852" t="s">
        <v>3140</v>
      </c>
      <c r="D52" s="853"/>
      <c r="E52" s="853"/>
      <c r="F52" s="853"/>
      <c r="G52" s="854"/>
      <c r="H52" s="86">
        <v>0.05</v>
      </c>
      <c r="I52" s="71">
        <f>H52*I46</f>
        <v>12692.6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3109</v>
      </c>
      <c r="I53" s="53">
        <f>ROUND(SUM(I50:I52),0)</f>
        <v>76156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55" t="s">
        <v>3141</v>
      </c>
      <c r="H55" s="856"/>
      <c r="I55" s="89">
        <f>I53+I46</f>
        <v>330008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57" t="s">
        <v>3142</v>
      </c>
      <c r="I56" s="857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3143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9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16</vt:i4>
      </vt:variant>
    </vt:vector>
  </HeadingPairs>
  <TitlesOfParts>
    <vt:vector size="36" baseType="lpstr">
      <vt:lpstr>OFERTA  ECO- SAN JUAN DEL CESAR</vt:lpstr>
      <vt:lpstr>Revista</vt:lpstr>
      <vt:lpstr>Cuadrillas</vt:lpstr>
      <vt:lpstr>Sueldos</vt:lpstr>
      <vt:lpstr>INDICE APUs</vt:lpstr>
      <vt:lpstr>LISTADO DE $</vt:lpstr>
      <vt:lpstr>1</vt:lpstr>
      <vt:lpstr>2</vt:lpstr>
      <vt:lpstr>3</vt:lpstr>
      <vt:lpstr>4</vt:lpstr>
      <vt:lpstr>5</vt:lpstr>
      <vt:lpstr>6</vt:lpstr>
      <vt:lpstr>7</vt:lpstr>
      <vt:lpstr>8</vt:lpstr>
      <vt:lpstr>11</vt:lpstr>
      <vt:lpstr>P3</vt:lpstr>
      <vt:lpstr>E3</vt:lpstr>
      <vt:lpstr>E5</vt:lpstr>
      <vt:lpstr>S10</vt:lpstr>
      <vt:lpstr>S11</vt:lpstr>
      <vt:lpstr>'1'!Área_de_impresión</vt:lpstr>
      <vt:lpstr>'11'!Área_de_impresión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'E3'!Área_de_impresión</vt:lpstr>
      <vt:lpstr>'E5'!Área_de_impresión</vt:lpstr>
      <vt:lpstr>'INDICE APUs'!Área_de_impresión</vt:lpstr>
      <vt:lpstr>'OFERTA  ECO- SAN JUAN DEL CESAR'!Área_de_impresión</vt:lpstr>
      <vt:lpstr>Revista!Área_de_impresión</vt:lpstr>
      <vt:lpstr>'INDICE APUs'!Títulos_a_imprimir</vt:lpstr>
      <vt:lpstr>'OFERTA  ECO- SAN JUAN DEL CESAR'!Títulos_a_imprimir</vt:lpstr>
    </vt:vector>
  </TitlesOfParts>
  <Manager/>
  <Company>ETC LTDA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ETC LTDA</dc:creator>
  <cp:keywords/>
  <dc:description/>
  <cp:lastModifiedBy>JIMENA ANDREA PEREZ AMAYA</cp:lastModifiedBy>
  <cp:revision/>
  <cp:lastPrinted>2017-05-08T23:50:54Z</cp:lastPrinted>
  <dcterms:created xsi:type="dcterms:W3CDTF">2011-02-01T21:59:47Z</dcterms:created>
  <dcterms:modified xsi:type="dcterms:W3CDTF">2017-05-09T16:17:04Z</dcterms:modified>
  <cp:category/>
  <cp:contentStatus/>
</cp:coreProperties>
</file>