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AGUA\3. CONVOCATORIAS\ESTUDIOS PREVIOS CONTRATO 438\APARTADO\Estudios previos\Estudio Previo\cd APARTADO\"/>
    </mc:Choice>
  </mc:AlternateContent>
  <bookViews>
    <workbookView xWindow="0" yWindow="0" windowWidth="20325" windowHeight="9735" tabRatio="824" firstSheet="9" activeTab="9"/>
  </bookViews>
  <sheets>
    <sheet name="cronograma" sheetId="13" state="hidden" r:id="rId1"/>
    <sheet name="obra" sheetId="9" state="hidden" r:id="rId2"/>
    <sheet name="Cantidades_AR" sheetId="29" state="hidden" r:id="rId3"/>
    <sheet name="Cantidades_MATA" sheetId="26" r:id="rId4"/>
    <sheet name="Memoria Cálculo_ANR" sheetId="28" r:id="rId5"/>
    <sheet name="Presupuesto Obra_ANR" sheetId="30" r:id="rId6"/>
    <sheet name="Presupuesto Suministro_ANR" sheetId="32" r:id="rId7"/>
    <sheet name="Memoria Cálculo_MATA" sheetId="1" r:id="rId8"/>
    <sheet name="Presupuesto Obra_MATA" sheetId="15" r:id="rId9"/>
    <sheet name="Presupuesto Obra_APO" sheetId="31" r:id="rId10"/>
    <sheet name="suministro" sheetId="10" state="hidden" r:id="rId11"/>
    <sheet name="suministro (2)" sheetId="16" state="hidden" r:id="rId12"/>
    <sheet name="especificaciones " sheetId="14" state="hidden" r:id="rId13"/>
    <sheet name="AIU" sheetId="3" state="hidden" r:id="rId14"/>
    <sheet name="MATERIALES" sheetId="18" state="hidden" r:id="rId15"/>
    <sheet name="EQUIPOS" sheetId="19" state="hidden" r:id="rId16"/>
  </sheets>
  <externalReferences>
    <externalReference r:id="rId17"/>
    <externalReference r:id="rId18"/>
    <externalReference r:id="rId19"/>
    <externalReference r:id="rId20"/>
  </externalReferences>
  <definedNames>
    <definedName name="_xlnm._FilterDatabase" localSheetId="4" hidden="1">'Memoria Cálculo_ANR'!$D$2:$AE$35</definedName>
    <definedName name="_xlnm._FilterDatabase" localSheetId="7" hidden="1">'Memoria Cálculo_MATA'!$D$2:$AJ$36</definedName>
    <definedName name="A_impresión_IM" localSheetId="0">#REF!</definedName>
    <definedName name="A_impresión_IM" localSheetId="15">#REF!</definedName>
    <definedName name="A_impresión_IM" localSheetId="12">#REF!</definedName>
    <definedName name="A_impresión_IM" localSheetId="1">#REF!</definedName>
    <definedName name="A_impresión_IM" localSheetId="5">#REF!</definedName>
    <definedName name="A_impresión_IM" localSheetId="9">#REF!</definedName>
    <definedName name="A_impresión_IM" localSheetId="8">#REF!</definedName>
    <definedName name="A_impresión_IM" localSheetId="6">#REF!</definedName>
    <definedName name="A_impresión_IM" localSheetId="10">#REF!</definedName>
    <definedName name="A_impresión_IM" localSheetId="11">#REF!</definedName>
    <definedName name="A_impresión_IM">#REF!</definedName>
    <definedName name="acero60" localSheetId="2">'[1]PRESTACIONES SOCIALES'!#REF!</definedName>
    <definedName name="acero60" localSheetId="0">'[1]PRESTACIONES SOCIALES'!#REF!</definedName>
    <definedName name="acero60" localSheetId="15">'[1]PRESTACIONES SOCIALES'!#REF!</definedName>
    <definedName name="acero60" localSheetId="12">'[1]PRESTACIONES SOCIALES'!#REF!</definedName>
    <definedName name="acero60" localSheetId="4">'[1]PRESTACIONES SOCIALES'!#REF!</definedName>
    <definedName name="acero60" localSheetId="1">'[1]PRESTACIONES SOCIALES'!#REF!</definedName>
    <definedName name="acero60" localSheetId="5">'[1]PRESTACIONES SOCIALES'!#REF!</definedName>
    <definedName name="acero60" localSheetId="9">'[1]PRESTACIONES SOCIALES'!#REF!</definedName>
    <definedName name="acero60" localSheetId="8">'[1]PRESTACIONES SOCIALES'!#REF!</definedName>
    <definedName name="acero60" localSheetId="6">'[2]PRESTACIONES SOCIALES'!#REF!</definedName>
    <definedName name="acero60" localSheetId="10">'[1]PRESTACIONES SOCIALES'!#REF!</definedName>
    <definedName name="acero60" localSheetId="11">'[1]PRESTACIONES SOCIALES'!#REF!</definedName>
    <definedName name="acero60">'[1]PRESTACIONES SOCIALES'!#REF!</definedName>
    <definedName name="agua" localSheetId="2">[1]lisprecios!$D$14</definedName>
    <definedName name="agua" localSheetId="4">[1]lisprecios!$D$14</definedName>
    <definedName name="agua" localSheetId="6">[2]lisprecios!$D$14</definedName>
    <definedName name="agua">[1]lisprecios!$D$14</definedName>
    <definedName name="alambre" localSheetId="0">#REF!</definedName>
    <definedName name="alambre" localSheetId="15">#REF!</definedName>
    <definedName name="alambre" localSheetId="12">#REF!</definedName>
    <definedName name="alambre" localSheetId="1">#REF!</definedName>
    <definedName name="alambre" localSheetId="5">#REF!</definedName>
    <definedName name="alambre" localSheetId="9">#REF!</definedName>
    <definedName name="alambre" localSheetId="8">#REF!</definedName>
    <definedName name="alambre" localSheetId="6">#REF!</definedName>
    <definedName name="alambre" localSheetId="10">#REF!</definedName>
    <definedName name="alambre" localSheetId="11">#REF!</definedName>
    <definedName name="alambre">#REF!</definedName>
    <definedName name="alampuas" localSheetId="2">[1]lisprecios!#REF!</definedName>
    <definedName name="alampuas" localSheetId="0">[1]lisprecios!#REF!</definedName>
    <definedName name="alampuas" localSheetId="15">[1]lisprecios!#REF!</definedName>
    <definedName name="alampuas" localSheetId="12">[1]lisprecios!#REF!</definedName>
    <definedName name="alampuas" localSheetId="4">[1]lisprecios!#REF!</definedName>
    <definedName name="alampuas" localSheetId="1">[1]lisprecios!#REF!</definedName>
    <definedName name="alampuas" localSheetId="5">[1]lisprecios!#REF!</definedName>
    <definedName name="alampuas" localSheetId="9">[1]lisprecios!#REF!</definedName>
    <definedName name="alampuas" localSheetId="8">[1]lisprecios!#REF!</definedName>
    <definedName name="alampuas" localSheetId="6">[2]lisprecios!#REF!</definedName>
    <definedName name="alampuas" localSheetId="10">[1]lisprecios!#REF!</definedName>
    <definedName name="alampuas" localSheetId="11">[1]lisprecios!#REF!</definedName>
    <definedName name="alampuas">[1]lisprecios!#REF!</definedName>
    <definedName name="anticorrosiva" localSheetId="2">[1]lisprecios!#REF!</definedName>
    <definedName name="anticorrosiva" localSheetId="0">[1]lisprecios!#REF!</definedName>
    <definedName name="anticorrosiva" localSheetId="15">[1]lisprecios!#REF!</definedName>
    <definedName name="anticorrosiva" localSheetId="12">[1]lisprecios!#REF!</definedName>
    <definedName name="anticorrosiva" localSheetId="4">[1]lisprecios!#REF!</definedName>
    <definedName name="anticorrosiva" localSheetId="1">[1]lisprecios!#REF!</definedName>
    <definedName name="anticorrosiva" localSheetId="5">[1]lisprecios!#REF!</definedName>
    <definedName name="anticorrosiva" localSheetId="9">[1]lisprecios!#REF!</definedName>
    <definedName name="anticorrosiva" localSheetId="8">[1]lisprecios!#REF!</definedName>
    <definedName name="anticorrosiva" localSheetId="6">[2]lisprecios!#REF!</definedName>
    <definedName name="anticorrosiva" localSheetId="10">[1]lisprecios!#REF!</definedName>
    <definedName name="anticorrosiva" localSheetId="11">[1]lisprecios!#REF!</definedName>
    <definedName name="anticorrosiva">[1]lisprecios!#REF!</definedName>
    <definedName name="_xlnm.Print_Area" localSheetId="0">cronograma!$A$1:$W$105</definedName>
    <definedName name="_xlnm.Print_Area" localSheetId="15">EQUIPOS!$A$1:$F$15</definedName>
    <definedName name="_xlnm.Print_Area" localSheetId="12">'especificaciones '!$A$1:$E$41</definedName>
    <definedName name="_xlnm.Print_Area" localSheetId="14">MATERIALES!$A$1:$F$14</definedName>
    <definedName name="_xlnm.Print_Area" localSheetId="4">'Memoria Cálculo_ANR'!$A$1:$AK$42</definedName>
    <definedName name="_xlnm.Print_Area" localSheetId="7">'Memoria Cálculo_MATA'!$A$1:$AP$43</definedName>
    <definedName name="_xlnm.Print_Area" localSheetId="1">obra!$A$1:$G$68</definedName>
    <definedName name="_xlnm.Print_Area" localSheetId="5">'Presupuesto Obra_ANR'!$A$1:$G$48</definedName>
    <definedName name="_xlnm.Print_Area" localSheetId="9">'Presupuesto Obra_APO'!$B$1:$G$88</definedName>
    <definedName name="_xlnm.Print_Area" localSheetId="8">'Presupuesto Obra_MATA'!$A$1:$G$54</definedName>
    <definedName name="_xlnm.Print_Area" localSheetId="6">'Presupuesto Suministro_ANR'!$A$1:$G$17</definedName>
    <definedName name="_xlnm.Print_Area" localSheetId="10">suministro!$A$1:$G$37</definedName>
    <definedName name="_xlnm.Print_Area" localSheetId="11">'suministro (2)'!$A$1:$G$17</definedName>
    <definedName name="arena" localSheetId="2">[1]lisprecios!$D$12</definedName>
    <definedName name="arena" localSheetId="4">[1]lisprecios!$D$12</definedName>
    <definedName name="arena" localSheetId="6">[2]lisprecios!$D$12</definedName>
    <definedName name="arena">[1]lisprecios!$D$12</definedName>
    <definedName name="balasto" localSheetId="2">'[1]PRESTACIONES SOCIALES'!#REF!</definedName>
    <definedName name="balasto" localSheetId="0">'[1]PRESTACIONES SOCIALES'!#REF!</definedName>
    <definedName name="balasto" localSheetId="15">'[1]PRESTACIONES SOCIALES'!#REF!</definedName>
    <definedName name="balasto" localSheetId="12">'[1]PRESTACIONES SOCIALES'!#REF!</definedName>
    <definedName name="balasto" localSheetId="4">'[1]PRESTACIONES SOCIALES'!#REF!</definedName>
    <definedName name="balasto" localSheetId="1">'[1]PRESTACIONES SOCIALES'!#REF!</definedName>
    <definedName name="balasto" localSheetId="5">'[1]PRESTACIONES SOCIALES'!#REF!</definedName>
    <definedName name="balasto" localSheetId="9">'[1]PRESTACIONES SOCIALES'!#REF!</definedName>
    <definedName name="balasto" localSheetId="8">'[1]PRESTACIONES SOCIALES'!#REF!</definedName>
    <definedName name="balasto" localSheetId="6">'[2]PRESTACIONES SOCIALES'!#REF!</definedName>
    <definedName name="balasto" localSheetId="10">'[1]PRESTACIONES SOCIALES'!#REF!</definedName>
    <definedName name="balasto" localSheetId="11">'[1]PRESTACIONES SOCIALES'!#REF!</definedName>
    <definedName name="balasto">'[1]PRESTACIONES SOCIALES'!#REF!</definedName>
    <definedName name="baldosa" localSheetId="2">[1]lisprecios!#REF!</definedName>
    <definedName name="baldosa" localSheetId="0">[1]lisprecios!#REF!</definedName>
    <definedName name="baldosa" localSheetId="15">[1]lisprecios!#REF!</definedName>
    <definedName name="baldosa" localSheetId="12">[1]lisprecios!#REF!</definedName>
    <definedName name="baldosa" localSheetId="4">[1]lisprecios!#REF!</definedName>
    <definedName name="baldosa" localSheetId="1">[1]lisprecios!#REF!</definedName>
    <definedName name="baldosa" localSheetId="5">[1]lisprecios!#REF!</definedName>
    <definedName name="baldosa" localSheetId="9">[1]lisprecios!#REF!</definedName>
    <definedName name="baldosa" localSheetId="8">[1]lisprecios!#REF!</definedName>
    <definedName name="baldosa" localSheetId="6">[2]lisprecios!#REF!</definedName>
    <definedName name="baldosa" localSheetId="10">[1]lisprecios!#REF!</definedName>
    <definedName name="baldosa" localSheetId="11">[1]lisprecios!#REF!</definedName>
    <definedName name="baldosa">[1]lisprecios!#REF!</definedName>
    <definedName name="baldosin" localSheetId="2">[1]lisprecios!#REF!</definedName>
    <definedName name="baldosin" localSheetId="0">[1]lisprecios!#REF!</definedName>
    <definedName name="baldosin" localSheetId="15">[1]lisprecios!#REF!</definedName>
    <definedName name="baldosin" localSheetId="12">[1]lisprecios!#REF!</definedName>
    <definedName name="baldosin" localSheetId="4">[1]lisprecios!#REF!</definedName>
    <definedName name="baldosin" localSheetId="1">[1]lisprecios!#REF!</definedName>
    <definedName name="baldosin" localSheetId="5">[1]lisprecios!#REF!</definedName>
    <definedName name="baldosin" localSheetId="9">[1]lisprecios!#REF!</definedName>
    <definedName name="baldosin" localSheetId="8">[1]lisprecios!#REF!</definedName>
    <definedName name="baldosin" localSheetId="6">[2]lisprecios!#REF!</definedName>
    <definedName name="baldosin" localSheetId="10">[1]lisprecios!#REF!</definedName>
    <definedName name="baldosin" localSheetId="11">[1]lisprecios!#REF!</definedName>
    <definedName name="baldosin">[1]lisprecios!#REF!</definedName>
    <definedName name="bloque" localSheetId="2">[1]lisprecios!$D$25</definedName>
    <definedName name="bloque" localSheetId="4">[1]lisprecios!$D$25</definedName>
    <definedName name="bloque" localSheetId="6">[2]lisprecios!$D$25</definedName>
    <definedName name="bloque">[1]lisprecios!$D$25</definedName>
    <definedName name="cemento" localSheetId="2">[1]lisprecios!$D$10</definedName>
    <definedName name="cemento" localSheetId="4">[1]lisprecios!$D$10</definedName>
    <definedName name="cemento" localSheetId="6">[2]lisprecios!$D$10</definedName>
    <definedName name="cemento">[1]lisprecios!$D$10</definedName>
    <definedName name="CHIGORODO" localSheetId="2">[1]lisprecios!#REF!</definedName>
    <definedName name="CHIGORODO" localSheetId="0">[1]lisprecios!#REF!</definedName>
    <definedName name="CHIGORODO" localSheetId="15">[1]lisprecios!#REF!</definedName>
    <definedName name="CHIGORODO" localSheetId="12">[1]lisprecios!#REF!</definedName>
    <definedName name="CHIGORODO" localSheetId="4">[1]lisprecios!#REF!</definedName>
    <definedName name="CHIGORODO" localSheetId="1">[1]lisprecios!#REF!</definedName>
    <definedName name="CHIGORODO" localSheetId="5">[1]lisprecios!#REF!</definedName>
    <definedName name="CHIGORODO" localSheetId="9">[1]lisprecios!#REF!</definedName>
    <definedName name="CHIGORODO" localSheetId="8">[1]lisprecios!#REF!</definedName>
    <definedName name="CHIGORODO" localSheetId="6">[2]lisprecios!#REF!</definedName>
    <definedName name="CHIGORODO" localSheetId="10">[1]lisprecios!#REF!</definedName>
    <definedName name="CHIGORODO" localSheetId="11">[1]lisprecios!#REF!</definedName>
    <definedName name="CHIGORODO">[1]lisprecios!#REF!</definedName>
    <definedName name="cinta" localSheetId="2">[1]lisprecios!#REF!</definedName>
    <definedName name="cinta" localSheetId="0">[1]lisprecios!#REF!</definedName>
    <definedName name="cinta" localSheetId="15">[1]lisprecios!#REF!</definedName>
    <definedName name="cinta" localSheetId="12">[1]lisprecios!#REF!</definedName>
    <definedName name="cinta" localSheetId="4">[1]lisprecios!#REF!</definedName>
    <definedName name="cinta" localSheetId="1">[1]lisprecios!#REF!</definedName>
    <definedName name="cinta" localSheetId="5">[1]lisprecios!#REF!</definedName>
    <definedName name="cinta" localSheetId="9">[1]lisprecios!#REF!</definedName>
    <definedName name="cinta" localSheetId="8">[1]lisprecios!#REF!</definedName>
    <definedName name="cinta" localSheetId="6">[2]lisprecios!#REF!</definedName>
    <definedName name="cinta" localSheetId="10">[1]lisprecios!#REF!</definedName>
    <definedName name="cinta" localSheetId="11">[1]lisprecios!#REF!</definedName>
    <definedName name="cinta">[1]lisprecios!#REF!</definedName>
    <definedName name="columna" localSheetId="2">[1]lisprecios!#REF!</definedName>
    <definedName name="columna" localSheetId="0">[1]lisprecios!#REF!</definedName>
    <definedName name="columna" localSheetId="15">[1]lisprecios!#REF!</definedName>
    <definedName name="columna" localSheetId="12">[1]lisprecios!#REF!</definedName>
    <definedName name="columna" localSheetId="4">[1]lisprecios!#REF!</definedName>
    <definedName name="columna" localSheetId="1">[1]lisprecios!#REF!</definedName>
    <definedName name="columna" localSheetId="5">[1]lisprecios!#REF!</definedName>
    <definedName name="columna" localSheetId="9">[1]lisprecios!#REF!</definedName>
    <definedName name="columna" localSheetId="8">[1]lisprecios!#REF!</definedName>
    <definedName name="columna" localSheetId="6">[2]lisprecios!#REF!</definedName>
    <definedName name="columna" localSheetId="10">[1]lisprecios!#REF!</definedName>
    <definedName name="columna" localSheetId="11">[1]lisprecios!#REF!</definedName>
    <definedName name="columna">[1]lisprecios!#REF!</definedName>
    <definedName name="compuerta" localSheetId="2">[1]lisprecios!#REF!</definedName>
    <definedName name="compuerta" localSheetId="0">[1]lisprecios!#REF!</definedName>
    <definedName name="compuerta" localSheetId="15">[1]lisprecios!#REF!</definedName>
    <definedName name="compuerta" localSheetId="12">[1]lisprecios!#REF!</definedName>
    <definedName name="compuerta" localSheetId="4">[1]lisprecios!#REF!</definedName>
    <definedName name="compuerta" localSheetId="1">[1]lisprecios!#REF!</definedName>
    <definedName name="compuerta" localSheetId="5">[1]lisprecios!#REF!</definedName>
    <definedName name="compuerta" localSheetId="9">[1]lisprecios!#REF!</definedName>
    <definedName name="compuerta" localSheetId="8">[1]lisprecios!#REF!</definedName>
    <definedName name="compuerta" localSheetId="6">[2]lisprecios!#REF!</definedName>
    <definedName name="compuerta" localSheetId="10">[1]lisprecios!#REF!</definedName>
    <definedName name="compuerta" localSheetId="11">[1]lisprecios!#REF!</definedName>
    <definedName name="compuerta">[1]lisprecios!#REF!</definedName>
    <definedName name="concreto14" localSheetId="0">#REF!</definedName>
    <definedName name="concreto14" localSheetId="15">#REF!</definedName>
    <definedName name="concreto14" localSheetId="12">#REF!</definedName>
    <definedName name="concreto14" localSheetId="1">#REF!</definedName>
    <definedName name="concreto14" localSheetId="5">#REF!</definedName>
    <definedName name="concreto14" localSheetId="9">#REF!</definedName>
    <definedName name="concreto14" localSheetId="8">#REF!</definedName>
    <definedName name="concreto14" localSheetId="6">#REF!</definedName>
    <definedName name="concreto14" localSheetId="10">#REF!</definedName>
    <definedName name="concreto14" localSheetId="11">#REF!</definedName>
    <definedName name="concreto14">#REF!</definedName>
    <definedName name="concreto25" localSheetId="0">#REF!</definedName>
    <definedName name="concreto25" localSheetId="15">#REF!</definedName>
    <definedName name="concreto25" localSheetId="12">#REF!</definedName>
    <definedName name="concreto25" localSheetId="1">#REF!</definedName>
    <definedName name="concreto25" localSheetId="5">#REF!</definedName>
    <definedName name="concreto25" localSheetId="9">#REF!</definedName>
    <definedName name="concreto25" localSheetId="8">#REF!</definedName>
    <definedName name="concreto25" localSheetId="6">#REF!</definedName>
    <definedName name="concreto25" localSheetId="10">#REF!</definedName>
    <definedName name="concreto25" localSheetId="11">#REF!</definedName>
    <definedName name="concreto25">#REF!</definedName>
    <definedName name="concreto30" localSheetId="0">#REF!</definedName>
    <definedName name="concreto30" localSheetId="15">#REF!</definedName>
    <definedName name="concreto30" localSheetId="12">#REF!</definedName>
    <definedName name="concreto30" localSheetId="1">#REF!</definedName>
    <definedName name="concreto30" localSheetId="5">#REF!</definedName>
    <definedName name="concreto30" localSheetId="9">#REF!</definedName>
    <definedName name="concreto30" localSheetId="8">#REF!</definedName>
    <definedName name="concreto30" localSheetId="6">#REF!</definedName>
    <definedName name="concreto30" localSheetId="10">#REF!</definedName>
    <definedName name="concreto30" localSheetId="11">#REF!</definedName>
    <definedName name="concreto30">#REF!</definedName>
    <definedName name="concreto35" localSheetId="0">#REF!</definedName>
    <definedName name="concreto35" localSheetId="15">#REF!</definedName>
    <definedName name="concreto35" localSheetId="12">#REF!</definedName>
    <definedName name="concreto35" localSheetId="1">#REF!</definedName>
    <definedName name="concreto35" localSheetId="5">#REF!</definedName>
    <definedName name="concreto35" localSheetId="9">#REF!</definedName>
    <definedName name="concreto35" localSheetId="8">#REF!</definedName>
    <definedName name="concreto35" localSheetId="6">#REF!</definedName>
    <definedName name="concreto35" localSheetId="10">#REF!</definedName>
    <definedName name="concreto35" localSheetId="11">#REF!</definedName>
    <definedName name="concreto35">#REF!</definedName>
    <definedName name="cuadrillaa1" localSheetId="2">[1]PERSONAL!$D$22</definedName>
    <definedName name="cuadrillaa1" localSheetId="4">[1]PERSONAL!$D$22</definedName>
    <definedName name="cuadrillaa1" localSheetId="6">[2]PERSONAL!$D$22</definedName>
    <definedName name="cuadrillaa1">[1]PERSONAL!$D$22</definedName>
    <definedName name="cuadrillaa2" localSheetId="2">[1]PERSONAL!$D$27</definedName>
    <definedName name="cuadrillaa2" localSheetId="4">[1]PERSONAL!$D$27</definedName>
    <definedName name="cuadrillaa2" localSheetId="6">[2]PERSONAL!$D$27</definedName>
    <definedName name="cuadrillaa2">[1]PERSONAL!$D$27</definedName>
    <definedName name="cuadrillaa4" localSheetId="2">[1]PERSONAL!#REF!</definedName>
    <definedName name="cuadrillaa4" localSheetId="0">[1]PERSONAL!#REF!</definedName>
    <definedName name="cuadrillaa4" localSheetId="15">[1]PERSONAL!#REF!</definedName>
    <definedName name="cuadrillaa4" localSheetId="12">[1]PERSONAL!#REF!</definedName>
    <definedName name="cuadrillaa4" localSheetId="4">[1]PERSONAL!#REF!</definedName>
    <definedName name="cuadrillaa4" localSheetId="1">[1]PERSONAL!#REF!</definedName>
    <definedName name="cuadrillaa4" localSheetId="5">[1]PERSONAL!#REF!</definedName>
    <definedName name="cuadrillaa4" localSheetId="9">[1]PERSONAL!#REF!</definedName>
    <definedName name="cuadrillaa4" localSheetId="8">[1]PERSONAL!#REF!</definedName>
    <definedName name="cuadrillaa4" localSheetId="6">[2]PERSONAL!#REF!</definedName>
    <definedName name="cuadrillaa4" localSheetId="10">[1]PERSONAL!#REF!</definedName>
    <definedName name="cuadrillaa4" localSheetId="11">[1]PERSONAL!#REF!</definedName>
    <definedName name="cuadrillaa4">[1]PERSONAL!#REF!</definedName>
    <definedName name="cuadrillac1" localSheetId="2">[1]PERSONAL!$D$45</definedName>
    <definedName name="cuadrillac1" localSheetId="4">[1]PERSONAL!$D$45</definedName>
    <definedName name="cuadrillac1" localSheetId="6">[2]PERSONAL!$D$45</definedName>
    <definedName name="cuadrillac1">[1]PERSONAL!$D$45</definedName>
    <definedName name="cuadrillas2" localSheetId="2">[1]PERSONAL!#REF!</definedName>
    <definedName name="cuadrillas2" localSheetId="0">[1]PERSONAL!#REF!</definedName>
    <definedName name="cuadrillas2" localSheetId="15">[1]PERSONAL!#REF!</definedName>
    <definedName name="cuadrillas2" localSheetId="12">[1]PERSONAL!#REF!</definedName>
    <definedName name="cuadrillas2" localSheetId="4">[1]PERSONAL!#REF!</definedName>
    <definedName name="cuadrillas2" localSheetId="1">[1]PERSONAL!#REF!</definedName>
    <definedName name="cuadrillas2" localSheetId="5">[1]PERSONAL!#REF!</definedName>
    <definedName name="cuadrillas2" localSheetId="9">[1]PERSONAL!#REF!</definedName>
    <definedName name="cuadrillas2" localSheetId="8">[1]PERSONAL!#REF!</definedName>
    <definedName name="cuadrillas2" localSheetId="6">[2]PERSONAL!#REF!</definedName>
    <definedName name="cuadrillas2" localSheetId="10">[1]PERSONAL!#REF!</definedName>
    <definedName name="cuadrillas2" localSheetId="11">[1]PERSONAL!#REF!</definedName>
    <definedName name="cuadrillas2">[1]PERSONAL!#REF!</definedName>
    <definedName name="CX" localSheetId="0">#REF!</definedName>
    <definedName name="CX" localSheetId="15">#REF!</definedName>
    <definedName name="CX" localSheetId="12">#REF!</definedName>
    <definedName name="CX" localSheetId="1">#REF!</definedName>
    <definedName name="CX" localSheetId="5">#REF!</definedName>
    <definedName name="CX" localSheetId="9">#REF!</definedName>
    <definedName name="CX" localSheetId="8">#REF!</definedName>
    <definedName name="CX" localSheetId="6">#REF!</definedName>
    <definedName name="CX" localSheetId="10">#REF!</definedName>
    <definedName name="CX" localSheetId="11">#REF!</definedName>
    <definedName name="CX">#REF!</definedName>
    <definedName name="DD" localSheetId="2">[1]lisprecios!#REF!</definedName>
    <definedName name="DD" localSheetId="0">[1]lisprecios!#REF!</definedName>
    <definedName name="DD" localSheetId="15">[1]lisprecios!#REF!</definedName>
    <definedName name="DD" localSheetId="12">[1]lisprecios!#REF!</definedName>
    <definedName name="DD" localSheetId="4">[1]lisprecios!#REF!</definedName>
    <definedName name="DD" localSheetId="1">[1]lisprecios!#REF!</definedName>
    <definedName name="DD" localSheetId="5">[1]lisprecios!#REF!</definedName>
    <definedName name="DD" localSheetId="9">[1]lisprecios!#REF!</definedName>
    <definedName name="DD" localSheetId="8">[1]lisprecios!#REF!</definedName>
    <definedName name="DD" localSheetId="6">[2]lisprecios!#REF!</definedName>
    <definedName name="DD" localSheetId="10">[1]lisprecios!#REF!</definedName>
    <definedName name="DD" localSheetId="11">[1]lisprecios!#REF!</definedName>
    <definedName name="DD">[1]lisprecios!#REF!</definedName>
    <definedName name="DDD" localSheetId="0">[3]lisprecios!#REF!</definedName>
    <definedName name="DDD" localSheetId="15">[3]lisprecios!#REF!</definedName>
    <definedName name="DDD" localSheetId="12">[3]lisprecios!#REF!</definedName>
    <definedName name="DDD" localSheetId="1">[3]lisprecios!#REF!</definedName>
    <definedName name="DDD" localSheetId="5">[3]lisprecios!#REF!</definedName>
    <definedName name="DDD" localSheetId="9">[3]lisprecios!#REF!</definedName>
    <definedName name="DDD" localSheetId="8">[3]lisprecios!#REF!</definedName>
    <definedName name="DDD" localSheetId="6">[3]lisprecios!#REF!</definedName>
    <definedName name="DDD" localSheetId="10">[3]lisprecios!#REF!</definedName>
    <definedName name="DDD" localSheetId="11">[3]lisprecios!#REF!</definedName>
    <definedName name="DDD">[3]lisprecios!#REF!</definedName>
    <definedName name="diferencial" localSheetId="2">[1]lisprecios!#REF!</definedName>
    <definedName name="diferencial" localSheetId="0">[1]lisprecios!#REF!</definedName>
    <definedName name="diferencial" localSheetId="15">[1]lisprecios!#REF!</definedName>
    <definedName name="diferencial" localSheetId="12">[1]lisprecios!#REF!</definedName>
    <definedName name="diferencial" localSheetId="4">[1]lisprecios!#REF!</definedName>
    <definedName name="diferencial" localSheetId="1">[1]lisprecios!#REF!</definedName>
    <definedName name="diferencial" localSheetId="5">[1]lisprecios!#REF!</definedName>
    <definedName name="diferencial" localSheetId="9">[1]lisprecios!#REF!</definedName>
    <definedName name="diferencial" localSheetId="8">[1]lisprecios!#REF!</definedName>
    <definedName name="diferencial" localSheetId="6">[2]lisprecios!#REF!</definedName>
    <definedName name="diferencial" localSheetId="10">[1]lisprecios!#REF!</definedName>
    <definedName name="diferencial" localSheetId="11">[1]lisprecios!#REF!</definedName>
    <definedName name="diferencial">[1]lisprecios!#REF!</definedName>
    <definedName name="DS" localSheetId="2">[1]lisprecios!#REF!</definedName>
    <definedName name="DS" localSheetId="0">[1]lisprecios!#REF!</definedName>
    <definedName name="DS" localSheetId="15">[1]lisprecios!#REF!</definedName>
    <definedName name="DS" localSheetId="12">[1]lisprecios!#REF!</definedName>
    <definedName name="DS" localSheetId="4">[1]lisprecios!#REF!</definedName>
    <definedName name="DS" localSheetId="1">[1]lisprecios!#REF!</definedName>
    <definedName name="DS" localSheetId="5">[1]lisprecios!#REF!</definedName>
    <definedName name="DS" localSheetId="9">[1]lisprecios!#REF!</definedName>
    <definedName name="DS" localSheetId="8">[1]lisprecios!#REF!</definedName>
    <definedName name="DS" localSheetId="6">[2]lisprecios!#REF!</definedName>
    <definedName name="DS" localSheetId="10">[1]lisprecios!#REF!</definedName>
    <definedName name="DS" localSheetId="11">[1]lisprecios!#REF!</definedName>
    <definedName name="DS">[1]lisprecios!#REF!</definedName>
    <definedName name="edil" localSheetId="2">[1]lisprecios!#REF!</definedName>
    <definedName name="edil" localSheetId="0">[1]lisprecios!#REF!</definedName>
    <definedName name="edil" localSheetId="15">[1]lisprecios!#REF!</definedName>
    <definedName name="edil" localSheetId="12">[1]lisprecios!#REF!</definedName>
    <definedName name="edil" localSheetId="4">[1]lisprecios!#REF!</definedName>
    <definedName name="edil" localSheetId="1">[1]lisprecios!#REF!</definedName>
    <definedName name="edil" localSheetId="5">[1]lisprecios!#REF!</definedName>
    <definedName name="edil" localSheetId="9">[1]lisprecios!#REF!</definedName>
    <definedName name="edil" localSheetId="8">[1]lisprecios!#REF!</definedName>
    <definedName name="edil" localSheetId="6">[2]lisprecios!#REF!</definedName>
    <definedName name="edil" localSheetId="10">[1]lisprecios!#REF!</definedName>
    <definedName name="edil" localSheetId="11">[1]lisprecios!#REF!</definedName>
    <definedName name="edil">[1]lisprecios!#REF!</definedName>
    <definedName name="EEE" localSheetId="2">[1]lisprecios!#REF!</definedName>
    <definedName name="EEE" localSheetId="0">[1]lisprecios!#REF!</definedName>
    <definedName name="EEE" localSheetId="15">[1]lisprecios!#REF!</definedName>
    <definedName name="EEE" localSheetId="12">[1]lisprecios!#REF!</definedName>
    <definedName name="EEE" localSheetId="4">[1]lisprecios!#REF!</definedName>
    <definedName name="EEE" localSheetId="1">[1]lisprecios!#REF!</definedName>
    <definedName name="EEE" localSheetId="5">[1]lisprecios!#REF!</definedName>
    <definedName name="EEE" localSheetId="9">[1]lisprecios!#REF!</definedName>
    <definedName name="EEE" localSheetId="8">[1]lisprecios!#REF!</definedName>
    <definedName name="EEE" localSheetId="6">[2]lisprecios!#REF!</definedName>
    <definedName name="EEE" localSheetId="10">[1]lisprecios!#REF!</definedName>
    <definedName name="EEE" localSheetId="11">[1]lisprecios!#REF!</definedName>
    <definedName name="EEE">[1]lisprecios!#REF!</definedName>
    <definedName name="escalones" localSheetId="2">[1]lisprecios!#REF!</definedName>
    <definedName name="escalones" localSheetId="0">[1]lisprecios!#REF!</definedName>
    <definedName name="escalones" localSheetId="15">[1]lisprecios!#REF!</definedName>
    <definedName name="escalones" localSheetId="12">[1]lisprecios!#REF!</definedName>
    <definedName name="escalones" localSheetId="4">[1]lisprecios!#REF!</definedName>
    <definedName name="escalones" localSheetId="1">[1]lisprecios!#REF!</definedName>
    <definedName name="escalones" localSheetId="5">[1]lisprecios!#REF!</definedName>
    <definedName name="escalones" localSheetId="9">[1]lisprecios!#REF!</definedName>
    <definedName name="escalones" localSheetId="8">[1]lisprecios!#REF!</definedName>
    <definedName name="escalones" localSheetId="6">[2]lisprecios!#REF!</definedName>
    <definedName name="escalones" localSheetId="10">[1]lisprecios!#REF!</definedName>
    <definedName name="escalones" localSheetId="11">[1]lisprecios!#REF!</definedName>
    <definedName name="escalones">[1]lisprecios!#REF!</definedName>
    <definedName name="FFF" localSheetId="0">#REF!</definedName>
    <definedName name="FFF" localSheetId="15">#REF!</definedName>
    <definedName name="FFF" localSheetId="12">#REF!</definedName>
    <definedName name="FFF" localSheetId="1">#REF!</definedName>
    <definedName name="FFF" localSheetId="5">#REF!</definedName>
    <definedName name="FFF" localSheetId="9">#REF!</definedName>
    <definedName name="FFF" localSheetId="8">#REF!</definedName>
    <definedName name="FFF" localSheetId="6">#REF!</definedName>
    <definedName name="FFF" localSheetId="10">#REF!</definedName>
    <definedName name="FFF" localSheetId="11">#REF!</definedName>
    <definedName name="FFF">#REF!</definedName>
    <definedName name="guardaescoba" localSheetId="2">[1]lisprecios!#REF!</definedName>
    <definedName name="guardaescoba" localSheetId="0">[1]lisprecios!#REF!</definedName>
    <definedName name="guardaescoba" localSheetId="15">[1]lisprecios!#REF!</definedName>
    <definedName name="guardaescoba" localSheetId="12">[1]lisprecios!#REF!</definedName>
    <definedName name="guardaescoba" localSheetId="4">[1]lisprecios!#REF!</definedName>
    <definedName name="guardaescoba" localSheetId="1">[1]lisprecios!#REF!</definedName>
    <definedName name="guardaescoba" localSheetId="5">[1]lisprecios!#REF!</definedName>
    <definedName name="guardaescoba" localSheetId="9">[1]lisprecios!#REF!</definedName>
    <definedName name="guardaescoba" localSheetId="8">[1]lisprecios!#REF!</definedName>
    <definedName name="guardaescoba" localSheetId="6">[2]lisprecios!#REF!</definedName>
    <definedName name="guardaescoba" localSheetId="10">[1]lisprecios!#REF!</definedName>
    <definedName name="guardaescoba" localSheetId="11">[1]lisprecios!#REF!</definedName>
    <definedName name="guardaescoba">[1]lisprecios!#REF!</definedName>
    <definedName name="incrustaciones" localSheetId="2">[1]lisprecios!#REF!</definedName>
    <definedName name="incrustaciones" localSheetId="0">[1]lisprecios!#REF!</definedName>
    <definedName name="incrustaciones" localSheetId="15">[1]lisprecios!#REF!</definedName>
    <definedName name="incrustaciones" localSheetId="12">[1]lisprecios!#REF!</definedName>
    <definedName name="incrustaciones" localSheetId="4">[1]lisprecios!#REF!</definedName>
    <definedName name="incrustaciones" localSheetId="1">[1]lisprecios!#REF!</definedName>
    <definedName name="incrustaciones" localSheetId="5">[1]lisprecios!#REF!</definedName>
    <definedName name="incrustaciones" localSheetId="9">[1]lisprecios!#REF!</definedName>
    <definedName name="incrustaciones" localSheetId="8">[1]lisprecios!#REF!</definedName>
    <definedName name="incrustaciones" localSheetId="6">[2]lisprecios!#REF!</definedName>
    <definedName name="incrustaciones" localSheetId="10">[1]lisprecios!#REF!</definedName>
    <definedName name="incrustaciones" localSheetId="11">[1]lisprecios!#REF!</definedName>
    <definedName name="incrustaciones">[1]lisprecios!#REF!</definedName>
    <definedName name="lu" localSheetId="0">[3]lisprecios!#REF!</definedName>
    <definedName name="lu" localSheetId="15">[3]lisprecios!#REF!</definedName>
    <definedName name="lu" localSheetId="12">[3]lisprecios!#REF!</definedName>
    <definedName name="lu" localSheetId="1">[3]lisprecios!#REF!</definedName>
    <definedName name="lu" localSheetId="5">[3]lisprecios!#REF!</definedName>
    <definedName name="lu" localSheetId="9">[3]lisprecios!#REF!</definedName>
    <definedName name="lu" localSheetId="8">[3]lisprecios!#REF!</definedName>
    <definedName name="lu" localSheetId="6">[3]lisprecios!#REF!</definedName>
    <definedName name="lu" localSheetId="10">[3]lisprecios!#REF!</definedName>
    <definedName name="lu" localSheetId="11">[3]lisprecios!#REF!</definedName>
    <definedName name="lu">[3]lisprecios!#REF!</definedName>
    <definedName name="lui" localSheetId="0">[3]lisprecios!#REF!</definedName>
    <definedName name="lui" localSheetId="15">[3]lisprecios!#REF!</definedName>
    <definedName name="lui" localSheetId="12">[3]lisprecios!#REF!</definedName>
    <definedName name="lui" localSheetId="1">[3]lisprecios!#REF!</definedName>
    <definedName name="lui" localSheetId="5">[3]lisprecios!#REF!</definedName>
    <definedName name="lui" localSheetId="9">[3]lisprecios!#REF!</definedName>
    <definedName name="lui" localSheetId="8">[3]lisprecios!#REF!</definedName>
    <definedName name="lui" localSheetId="6">[3]lisprecios!#REF!</definedName>
    <definedName name="lui" localSheetId="10">[3]lisprecios!#REF!</definedName>
    <definedName name="lui" localSheetId="11">[3]lisprecios!#REF!</definedName>
    <definedName name="lui">[3]lisprecios!#REF!</definedName>
    <definedName name="luis" localSheetId="0">[3]lisprecios!#REF!</definedName>
    <definedName name="luis" localSheetId="15">[3]lisprecios!#REF!</definedName>
    <definedName name="luis" localSheetId="12">[3]lisprecios!#REF!</definedName>
    <definedName name="luis" localSheetId="1">[3]lisprecios!#REF!</definedName>
    <definedName name="luis" localSheetId="5">[3]lisprecios!#REF!</definedName>
    <definedName name="luis" localSheetId="9">[3]lisprecios!#REF!</definedName>
    <definedName name="luis" localSheetId="8">[3]lisprecios!#REF!</definedName>
    <definedName name="luis" localSheetId="6">[3]lisprecios!#REF!</definedName>
    <definedName name="luis" localSheetId="10">[3]lisprecios!#REF!</definedName>
    <definedName name="luis" localSheetId="11">[3]lisprecios!#REF!</definedName>
    <definedName name="luis">[3]lisprecios!#REF!</definedName>
    <definedName name="malla" localSheetId="2">[1]lisprecios!#REF!</definedName>
    <definedName name="malla" localSheetId="0">[1]lisprecios!#REF!</definedName>
    <definedName name="malla" localSheetId="15">[1]lisprecios!#REF!</definedName>
    <definedName name="malla" localSheetId="12">[1]lisprecios!#REF!</definedName>
    <definedName name="malla" localSheetId="4">[1]lisprecios!#REF!</definedName>
    <definedName name="malla" localSheetId="1">[1]lisprecios!#REF!</definedName>
    <definedName name="malla" localSheetId="5">[1]lisprecios!#REF!</definedName>
    <definedName name="malla" localSheetId="9">[1]lisprecios!#REF!</definedName>
    <definedName name="malla" localSheetId="8">[1]lisprecios!#REF!</definedName>
    <definedName name="malla" localSheetId="6">[2]lisprecios!#REF!</definedName>
    <definedName name="malla" localSheetId="10">[1]lisprecios!#REF!</definedName>
    <definedName name="malla" localSheetId="11">[1]lisprecios!#REF!</definedName>
    <definedName name="malla">[1]lisprecios!#REF!</definedName>
    <definedName name="matgranular" localSheetId="2">[1]lisprecios!#REF!</definedName>
    <definedName name="matgranular" localSheetId="0">[1]lisprecios!#REF!</definedName>
    <definedName name="matgranular" localSheetId="15">[1]lisprecios!#REF!</definedName>
    <definedName name="matgranular" localSheetId="12">[1]lisprecios!#REF!</definedName>
    <definedName name="matgranular" localSheetId="4">[1]lisprecios!#REF!</definedName>
    <definedName name="matgranular" localSheetId="1">[1]lisprecios!#REF!</definedName>
    <definedName name="matgranular" localSheetId="5">[1]lisprecios!#REF!</definedName>
    <definedName name="matgranular" localSheetId="9">[1]lisprecios!#REF!</definedName>
    <definedName name="matgranular" localSheetId="8">[1]lisprecios!#REF!</definedName>
    <definedName name="matgranular" localSheetId="6">[2]lisprecios!#REF!</definedName>
    <definedName name="matgranular" localSheetId="10">[1]lisprecios!#REF!</definedName>
    <definedName name="matgranular" localSheetId="11">[1]lisprecios!#REF!</definedName>
    <definedName name="matgranular">[1]lisprecios!#REF!</definedName>
    <definedName name="MM" localSheetId="2">[1]lisprecios!#REF!</definedName>
    <definedName name="MM" localSheetId="0">[1]lisprecios!#REF!</definedName>
    <definedName name="MM" localSheetId="15">[1]lisprecios!#REF!</definedName>
    <definedName name="MM" localSheetId="12">[1]lisprecios!#REF!</definedName>
    <definedName name="MM" localSheetId="4">[1]lisprecios!#REF!</definedName>
    <definedName name="MM" localSheetId="1">[1]lisprecios!#REF!</definedName>
    <definedName name="MM" localSheetId="5">[1]lisprecios!#REF!</definedName>
    <definedName name="MM" localSheetId="9">[1]lisprecios!#REF!</definedName>
    <definedName name="MM" localSheetId="8">[1]lisprecios!#REF!</definedName>
    <definedName name="MM" localSheetId="6">[2]lisprecios!#REF!</definedName>
    <definedName name="MM" localSheetId="10">[1]lisprecios!#REF!</definedName>
    <definedName name="MM" localSheetId="11">[1]lisprecios!#REF!</definedName>
    <definedName name="MM">[1]lisprecios!#REF!</definedName>
    <definedName name="mortero14" localSheetId="0">#REF!</definedName>
    <definedName name="mortero14" localSheetId="15">#REF!</definedName>
    <definedName name="mortero14" localSheetId="12">#REF!</definedName>
    <definedName name="mortero14" localSheetId="1">#REF!</definedName>
    <definedName name="mortero14" localSheetId="5">#REF!</definedName>
    <definedName name="mortero14" localSheetId="9">#REF!</definedName>
    <definedName name="mortero14" localSheetId="8">#REF!</definedName>
    <definedName name="mortero14" localSheetId="6">#REF!</definedName>
    <definedName name="mortero14" localSheetId="10">#REF!</definedName>
    <definedName name="mortero14" localSheetId="11">#REF!</definedName>
    <definedName name="mortero14">#REF!</definedName>
    <definedName name="motobomba" localSheetId="2">'[1]PRESTACIONES SOCIALES'!#REF!</definedName>
    <definedName name="motobomba" localSheetId="0">'[1]PRESTACIONES SOCIALES'!#REF!</definedName>
    <definedName name="motobomba" localSheetId="15">'[1]PRESTACIONES SOCIALES'!#REF!</definedName>
    <definedName name="motobomba" localSheetId="12">'[1]PRESTACIONES SOCIALES'!#REF!</definedName>
    <definedName name="motobomba" localSheetId="4">'[1]PRESTACIONES SOCIALES'!#REF!</definedName>
    <definedName name="motobomba" localSheetId="1">'[1]PRESTACIONES SOCIALES'!#REF!</definedName>
    <definedName name="motobomba" localSheetId="5">'[1]PRESTACIONES SOCIALES'!#REF!</definedName>
    <definedName name="motobomba" localSheetId="9">'[1]PRESTACIONES SOCIALES'!#REF!</definedName>
    <definedName name="motobomba" localSheetId="8">'[1]PRESTACIONES SOCIALES'!#REF!</definedName>
    <definedName name="motobomba" localSheetId="6">'[2]PRESTACIONES SOCIALES'!#REF!</definedName>
    <definedName name="motobomba" localSheetId="10">'[1]PRESTACIONES SOCIALES'!#REF!</definedName>
    <definedName name="motobomba" localSheetId="11">'[1]PRESTACIONES SOCIALES'!#REF!</definedName>
    <definedName name="motobomba">'[1]PRESTACIONES SOCIALES'!#REF!</definedName>
    <definedName name="OOO" localSheetId="2">'[1]PRESTACIONES SOCIALES'!#REF!</definedName>
    <definedName name="OOO" localSheetId="0">'[1]PRESTACIONES SOCIALES'!#REF!</definedName>
    <definedName name="OOO" localSheetId="15">'[1]PRESTACIONES SOCIALES'!#REF!</definedName>
    <definedName name="OOO" localSheetId="12">'[1]PRESTACIONES SOCIALES'!#REF!</definedName>
    <definedName name="OOO" localSheetId="4">'[1]PRESTACIONES SOCIALES'!#REF!</definedName>
    <definedName name="OOO" localSheetId="1">'[1]PRESTACIONES SOCIALES'!#REF!</definedName>
    <definedName name="OOO" localSheetId="5">'[1]PRESTACIONES SOCIALES'!#REF!</definedName>
    <definedName name="OOO" localSheetId="9">'[1]PRESTACIONES SOCIALES'!#REF!</definedName>
    <definedName name="OOO" localSheetId="8">'[1]PRESTACIONES SOCIALES'!#REF!</definedName>
    <definedName name="OOO" localSheetId="6">'[2]PRESTACIONES SOCIALES'!#REF!</definedName>
    <definedName name="OOO" localSheetId="10">'[1]PRESTACIONES SOCIALES'!#REF!</definedName>
    <definedName name="OOO" localSheetId="11">'[1]PRESTACIONES SOCIALES'!#REF!</definedName>
    <definedName name="OOO">'[1]PRESTACIONES SOCIALES'!#REF!</definedName>
    <definedName name="pasamuro" localSheetId="2">[1]lisprecios!#REF!</definedName>
    <definedName name="pasamuro" localSheetId="0">[1]lisprecios!#REF!</definedName>
    <definedName name="pasamuro" localSheetId="15">[1]lisprecios!#REF!</definedName>
    <definedName name="pasamuro" localSheetId="12">[1]lisprecios!#REF!</definedName>
    <definedName name="pasamuro" localSheetId="4">[1]lisprecios!#REF!</definedName>
    <definedName name="pasamuro" localSheetId="1">[1]lisprecios!#REF!</definedName>
    <definedName name="pasamuro" localSheetId="5">[1]lisprecios!#REF!</definedName>
    <definedName name="pasamuro" localSheetId="9">[1]lisprecios!#REF!</definedName>
    <definedName name="pasamuro" localSheetId="8">[1]lisprecios!#REF!</definedName>
    <definedName name="pasamuro" localSheetId="6">[2]lisprecios!#REF!</definedName>
    <definedName name="pasamuro" localSheetId="10">[1]lisprecios!#REF!</definedName>
    <definedName name="pasamuro" localSheetId="11">[1]lisprecios!#REF!</definedName>
    <definedName name="pasamuro">[1]lisprecios!#REF!</definedName>
    <definedName name="perfil" localSheetId="2">[1]lisprecios!#REF!</definedName>
    <definedName name="perfil" localSheetId="0">[1]lisprecios!#REF!</definedName>
    <definedName name="perfil" localSheetId="15">[1]lisprecios!#REF!</definedName>
    <definedName name="perfil" localSheetId="12">[1]lisprecios!#REF!</definedName>
    <definedName name="perfil" localSheetId="4">[1]lisprecios!#REF!</definedName>
    <definedName name="perfil" localSheetId="1">[1]lisprecios!#REF!</definedName>
    <definedName name="perfil" localSheetId="5">[1]lisprecios!#REF!</definedName>
    <definedName name="perfil" localSheetId="9">[1]lisprecios!#REF!</definedName>
    <definedName name="perfil" localSheetId="8">[1]lisprecios!#REF!</definedName>
    <definedName name="perfil" localSheetId="6">[2]lisprecios!#REF!</definedName>
    <definedName name="perfil" localSheetId="10">[1]lisprecios!#REF!</definedName>
    <definedName name="perfil" localSheetId="11">[1]lisprecios!#REF!</definedName>
    <definedName name="perfil">[1]lisprecios!#REF!</definedName>
    <definedName name="pinturavinilo" localSheetId="0">#REF!</definedName>
    <definedName name="pinturavinilo" localSheetId="15">#REF!</definedName>
    <definedName name="pinturavinilo" localSheetId="12">#REF!</definedName>
    <definedName name="pinturavinilo" localSheetId="1">#REF!</definedName>
    <definedName name="pinturavinilo" localSheetId="5">#REF!</definedName>
    <definedName name="pinturavinilo" localSheetId="9">#REF!</definedName>
    <definedName name="pinturavinilo" localSheetId="8">#REF!</definedName>
    <definedName name="pinturavinilo" localSheetId="6">#REF!</definedName>
    <definedName name="pinturavinilo" localSheetId="10">#REF!</definedName>
    <definedName name="pinturavinilo" localSheetId="11">#REF!</definedName>
    <definedName name="pinturavinilo">#REF!</definedName>
    <definedName name="plastocrete" localSheetId="2">[1]lisprecios!#REF!</definedName>
    <definedName name="plastocrete" localSheetId="0">[1]lisprecios!#REF!</definedName>
    <definedName name="plastocrete" localSheetId="15">[1]lisprecios!#REF!</definedName>
    <definedName name="plastocrete" localSheetId="12">[1]lisprecios!#REF!</definedName>
    <definedName name="plastocrete" localSheetId="4">[1]lisprecios!#REF!</definedName>
    <definedName name="plastocrete" localSheetId="1">[1]lisprecios!#REF!</definedName>
    <definedName name="plastocrete" localSheetId="5">[1]lisprecios!#REF!</definedName>
    <definedName name="plastocrete" localSheetId="9">[1]lisprecios!#REF!</definedName>
    <definedName name="plastocrete" localSheetId="8">[1]lisprecios!#REF!</definedName>
    <definedName name="plastocrete" localSheetId="6">[2]lisprecios!#REF!</definedName>
    <definedName name="plastocrete" localSheetId="10">[1]lisprecios!#REF!</definedName>
    <definedName name="plastocrete" localSheetId="11">[1]lisprecios!#REF!</definedName>
    <definedName name="plastocrete">[1]lisprecios!#REF!</definedName>
    <definedName name="PP" localSheetId="0">#REF!,#REF!</definedName>
    <definedName name="PP" localSheetId="15">#REF!,#REF!</definedName>
    <definedName name="PP" localSheetId="12">#REF!,#REF!</definedName>
    <definedName name="PP" localSheetId="1">#REF!,#REF!</definedName>
    <definedName name="PP" localSheetId="5">#REF!,#REF!</definedName>
    <definedName name="PP" localSheetId="9">#REF!,#REF!</definedName>
    <definedName name="PP" localSheetId="8">#REF!,#REF!</definedName>
    <definedName name="PP" localSheetId="6">#REF!,#REF!</definedName>
    <definedName name="PP" localSheetId="10">#REF!,#REF!</definedName>
    <definedName name="PP" localSheetId="11">#REF!,#REF!</definedName>
    <definedName name="PP">#REF!,#REF!</definedName>
    <definedName name="Presupuesto_Obra_AR" localSheetId="9">[1]lisprecios!#REF!</definedName>
    <definedName name="Presupuesto_Obra_AR" localSheetId="6">[1]lisprecios!#REF!</definedName>
    <definedName name="Presupuesto_Obra_AR">[1]lisprecios!#REF!</definedName>
    <definedName name="Q" localSheetId="2">[1]lisprecios!#REF!</definedName>
    <definedName name="Q" localSheetId="0">[1]lisprecios!#REF!</definedName>
    <definedName name="Q" localSheetId="15">[1]lisprecios!#REF!</definedName>
    <definedName name="Q" localSheetId="12">[1]lisprecios!#REF!</definedName>
    <definedName name="Q" localSheetId="4">[1]lisprecios!#REF!</definedName>
    <definedName name="Q" localSheetId="1">[1]lisprecios!#REF!</definedName>
    <definedName name="Q" localSheetId="5">[1]lisprecios!#REF!</definedName>
    <definedName name="Q" localSheetId="9">[1]lisprecios!#REF!</definedName>
    <definedName name="Q" localSheetId="8">[1]lisprecios!#REF!</definedName>
    <definedName name="Q" localSheetId="6">[2]lisprecios!#REF!</definedName>
    <definedName name="Q" localSheetId="10">[1]lisprecios!#REF!</definedName>
    <definedName name="Q" localSheetId="11">[1]lisprecios!#REF!</definedName>
    <definedName name="Q">[1]lisprecios!#REF!</definedName>
    <definedName name="reparacion4" localSheetId="2">'[1]PRESTACIONES SOCIALES'!#REF!</definedName>
    <definedName name="reparacion4" localSheetId="0">'[1]PRESTACIONES SOCIALES'!#REF!</definedName>
    <definedName name="reparacion4" localSheetId="15">'[1]PRESTACIONES SOCIALES'!#REF!</definedName>
    <definedName name="reparacion4" localSheetId="12">'[1]PRESTACIONES SOCIALES'!#REF!</definedName>
    <definedName name="reparacion4" localSheetId="4">'[1]PRESTACIONES SOCIALES'!#REF!</definedName>
    <definedName name="reparacion4" localSheetId="1">'[1]PRESTACIONES SOCIALES'!#REF!</definedName>
    <definedName name="reparacion4" localSheetId="5">'[1]PRESTACIONES SOCIALES'!#REF!</definedName>
    <definedName name="reparacion4" localSheetId="9">'[1]PRESTACIONES SOCIALES'!#REF!</definedName>
    <definedName name="reparacion4" localSheetId="8">'[1]PRESTACIONES SOCIALES'!#REF!</definedName>
    <definedName name="reparacion4" localSheetId="6">'[2]PRESTACIONES SOCIALES'!#REF!</definedName>
    <definedName name="reparacion4" localSheetId="10">'[1]PRESTACIONES SOCIALES'!#REF!</definedName>
    <definedName name="reparacion4" localSheetId="11">'[1]PRESTACIONES SOCIALES'!#REF!</definedName>
    <definedName name="reparacion4">'[1]PRESTACIONES SOCIALES'!#REF!</definedName>
    <definedName name="rodaje" localSheetId="2">[1]lisprecios!#REF!</definedName>
    <definedName name="rodaje" localSheetId="0">[1]lisprecios!#REF!</definedName>
    <definedName name="rodaje" localSheetId="15">[1]lisprecios!#REF!</definedName>
    <definedName name="rodaje" localSheetId="12">[1]lisprecios!#REF!</definedName>
    <definedName name="rodaje" localSheetId="4">[1]lisprecios!#REF!</definedName>
    <definedName name="rodaje" localSheetId="1">[1]lisprecios!#REF!</definedName>
    <definedName name="rodaje" localSheetId="5">[1]lisprecios!#REF!</definedName>
    <definedName name="rodaje" localSheetId="9">[1]lisprecios!#REF!</definedName>
    <definedName name="rodaje" localSheetId="8">[1]lisprecios!#REF!</definedName>
    <definedName name="rodaje" localSheetId="6">[2]lisprecios!#REF!</definedName>
    <definedName name="rodaje" localSheetId="10">[1]lisprecios!#REF!</definedName>
    <definedName name="rodaje" localSheetId="11">[1]lisprecios!#REF!</definedName>
    <definedName name="rodaje">[1]lisprecios!#REF!</definedName>
    <definedName name="RTTT" localSheetId="2">'[1]PRESTACIONES SOCIALES'!#REF!</definedName>
    <definedName name="RTTT" localSheetId="0">'[1]PRESTACIONES SOCIALES'!#REF!</definedName>
    <definedName name="RTTT" localSheetId="15">'[1]PRESTACIONES SOCIALES'!#REF!</definedName>
    <definedName name="RTTT" localSheetId="12">'[1]PRESTACIONES SOCIALES'!#REF!</definedName>
    <definedName name="RTTT" localSheetId="4">'[1]PRESTACIONES SOCIALES'!#REF!</definedName>
    <definedName name="RTTT" localSheetId="1">'[1]PRESTACIONES SOCIALES'!#REF!</definedName>
    <definedName name="RTTT" localSheetId="5">'[1]PRESTACIONES SOCIALES'!#REF!</definedName>
    <definedName name="RTTT" localSheetId="9">'[1]PRESTACIONES SOCIALES'!#REF!</definedName>
    <definedName name="RTTT" localSheetId="8">'[1]PRESTACIONES SOCIALES'!#REF!</definedName>
    <definedName name="RTTT" localSheetId="6">'[2]PRESTACIONES SOCIALES'!#REF!</definedName>
    <definedName name="RTTT" localSheetId="10">'[1]PRESTACIONES SOCIALES'!#REF!</definedName>
    <definedName name="RTTT" localSheetId="11">'[1]PRESTACIONES SOCIALES'!#REF!</definedName>
    <definedName name="RTTT">'[1]PRESTACIONES SOCIALES'!#REF!</definedName>
    <definedName name="rueda" localSheetId="2">[1]lisprecios!#REF!</definedName>
    <definedName name="rueda" localSheetId="0">[1]lisprecios!#REF!</definedName>
    <definedName name="rueda" localSheetId="15">[1]lisprecios!#REF!</definedName>
    <definedName name="rueda" localSheetId="12">[1]lisprecios!#REF!</definedName>
    <definedName name="rueda" localSheetId="4">[1]lisprecios!#REF!</definedName>
    <definedName name="rueda" localSheetId="1">[1]lisprecios!#REF!</definedName>
    <definedName name="rueda" localSheetId="5">[1]lisprecios!#REF!</definedName>
    <definedName name="rueda" localSheetId="9">[1]lisprecios!#REF!</definedName>
    <definedName name="rueda" localSheetId="8">[1]lisprecios!#REF!</definedName>
    <definedName name="rueda" localSheetId="6">[2]lisprecios!#REF!</definedName>
    <definedName name="rueda" localSheetId="10">[1]lisprecios!#REF!</definedName>
    <definedName name="rueda" localSheetId="11">[1]lisprecios!#REF!</definedName>
    <definedName name="rueda">[1]lisprecios!#REF!</definedName>
    <definedName name="sanitario" localSheetId="2">[1]lisprecios!$D$35</definedName>
    <definedName name="sanitario" localSheetId="4">[1]lisprecios!$D$35</definedName>
    <definedName name="sanitario" localSheetId="6">[2]lisprecios!$D$35</definedName>
    <definedName name="sanitario">[1]lisprecios!$D$35</definedName>
    <definedName name="SD" localSheetId="0">#REF!</definedName>
    <definedName name="SD" localSheetId="15">#REF!</definedName>
    <definedName name="SD" localSheetId="12">#REF!</definedName>
    <definedName name="SD" localSheetId="1">#REF!</definedName>
    <definedName name="SD" localSheetId="5">#REF!</definedName>
    <definedName name="SD" localSheetId="9">#REF!</definedName>
    <definedName name="SD" localSheetId="8">#REF!</definedName>
    <definedName name="SD" localSheetId="6">#REF!</definedName>
    <definedName name="SD" localSheetId="10">#REF!</definedName>
    <definedName name="SD" localSheetId="11">#REF!</definedName>
    <definedName name="SD">#REF!</definedName>
    <definedName name="tablilla" localSheetId="0">#REF!</definedName>
    <definedName name="tablilla" localSheetId="15">#REF!</definedName>
    <definedName name="tablilla" localSheetId="12">#REF!</definedName>
    <definedName name="tablilla" localSheetId="1">#REF!</definedName>
    <definedName name="tablilla" localSheetId="5">#REF!</definedName>
    <definedName name="tablilla" localSheetId="9">#REF!</definedName>
    <definedName name="tablilla" localSheetId="8">#REF!</definedName>
    <definedName name="tablilla" localSheetId="6">#REF!</definedName>
    <definedName name="tablilla" localSheetId="10">#REF!</definedName>
    <definedName name="tablilla" localSheetId="11">#REF!</definedName>
    <definedName name="tablilla">#REF!</definedName>
    <definedName name="tapa" localSheetId="2">'[1]PRESTACIONES SOCIALES'!#REF!</definedName>
    <definedName name="tapa" localSheetId="0">'[1]PRESTACIONES SOCIALES'!#REF!</definedName>
    <definedName name="tapa" localSheetId="15">'[1]PRESTACIONES SOCIALES'!#REF!</definedName>
    <definedName name="tapa" localSheetId="12">'[1]PRESTACIONES SOCIALES'!#REF!</definedName>
    <definedName name="tapa" localSheetId="4">'[1]PRESTACIONES SOCIALES'!#REF!</definedName>
    <definedName name="tapa" localSheetId="1">'[1]PRESTACIONES SOCIALES'!#REF!</definedName>
    <definedName name="tapa" localSheetId="5">'[1]PRESTACIONES SOCIALES'!#REF!</definedName>
    <definedName name="tapa" localSheetId="9">'[1]PRESTACIONES SOCIALES'!#REF!</definedName>
    <definedName name="tapa" localSheetId="8">'[1]PRESTACIONES SOCIALES'!#REF!</definedName>
    <definedName name="tapa" localSheetId="6">'[2]PRESTACIONES SOCIALES'!#REF!</definedName>
    <definedName name="tapa" localSheetId="10">'[1]PRESTACIONES SOCIALES'!#REF!</definedName>
    <definedName name="tapa" localSheetId="11">'[1]PRESTACIONES SOCIALES'!#REF!</definedName>
    <definedName name="tapa">'[1]PRESTACIONES SOCIALES'!#REF!</definedName>
    <definedName name="_xlnm.Print_Titles" localSheetId="9">'Presupuesto Obra_APO'!$1:$7</definedName>
    <definedName name="Títulos_a_imprimir_IM" localSheetId="0">#REF!,#REF!</definedName>
    <definedName name="Títulos_a_imprimir_IM" localSheetId="15">#REF!,#REF!</definedName>
    <definedName name="Títulos_a_imprimir_IM" localSheetId="12">#REF!,#REF!</definedName>
    <definedName name="Títulos_a_imprimir_IM" localSheetId="1">#REF!,#REF!</definedName>
    <definedName name="Títulos_a_imprimir_IM" localSheetId="5">#REF!,#REF!</definedName>
    <definedName name="Títulos_a_imprimir_IM" localSheetId="9">#REF!,#REF!</definedName>
    <definedName name="Títulos_a_imprimir_IM" localSheetId="8">#REF!,#REF!</definedName>
    <definedName name="Títulos_a_imprimir_IM" localSheetId="6">#REF!,#REF!</definedName>
    <definedName name="Títulos_a_imprimir_IM" localSheetId="10">#REF!,#REF!</definedName>
    <definedName name="Títulos_a_imprimir_IM" localSheetId="11">#REF!,#REF!</definedName>
    <definedName name="Títulos_a_imprimir_IM">#REF!,#REF!</definedName>
    <definedName name="triturado" localSheetId="2">[1]lisprecios!$D$13</definedName>
    <definedName name="triturado" localSheetId="4">[1]lisprecios!$D$13</definedName>
    <definedName name="triturado" localSheetId="6">[2]lisprecios!$D$13</definedName>
    <definedName name="triturado">[1]lisprecios!$D$13</definedName>
    <definedName name="tubohg2" localSheetId="2">[1]lisprecios!#REF!</definedName>
    <definedName name="tubohg2" localSheetId="0">[1]lisprecios!#REF!</definedName>
    <definedName name="tubohg2" localSheetId="15">[1]lisprecios!#REF!</definedName>
    <definedName name="tubohg2" localSheetId="12">[1]lisprecios!#REF!</definedName>
    <definedName name="tubohg2" localSheetId="4">[1]lisprecios!#REF!</definedName>
    <definedName name="tubohg2" localSheetId="1">[1]lisprecios!#REF!</definedName>
    <definedName name="tubohg2" localSheetId="5">[1]lisprecios!#REF!</definedName>
    <definedName name="tubohg2" localSheetId="9">[1]lisprecios!#REF!</definedName>
    <definedName name="tubohg2" localSheetId="8">[1]lisprecios!#REF!</definedName>
    <definedName name="tubohg2" localSheetId="6">[2]lisprecios!#REF!</definedName>
    <definedName name="tubohg2" localSheetId="10">[1]lisprecios!#REF!</definedName>
    <definedName name="tubohg2" localSheetId="11">[1]lisprecios!#REF!</definedName>
    <definedName name="tubohg2">[1]lisprecios!#REF!</definedName>
    <definedName name="VB" localSheetId="2">[1]lisprecios!#REF!</definedName>
    <definedName name="VB" localSheetId="0">[1]lisprecios!#REF!</definedName>
    <definedName name="VB" localSheetId="15">[1]lisprecios!#REF!</definedName>
    <definedName name="VB" localSheetId="12">[1]lisprecios!#REF!</definedName>
    <definedName name="VB" localSheetId="4">[1]lisprecios!#REF!</definedName>
    <definedName name="VB" localSheetId="1">[1]lisprecios!#REF!</definedName>
    <definedName name="VB" localSheetId="5">[1]lisprecios!#REF!</definedName>
    <definedName name="VB" localSheetId="9">[1]lisprecios!#REF!</definedName>
    <definedName name="VB" localSheetId="8">[1]lisprecios!#REF!</definedName>
    <definedName name="VB" localSheetId="6">[2]lisprecios!#REF!</definedName>
    <definedName name="VB" localSheetId="10">[1]lisprecios!#REF!</definedName>
    <definedName name="VB" localSheetId="11">[1]lisprecios!#REF!</definedName>
    <definedName name="VB">[1]lisprecios!#REF!</definedName>
    <definedName name="VV" localSheetId="2">[1]lisprecios!#REF!</definedName>
    <definedName name="VV" localSheetId="0">[1]lisprecios!#REF!</definedName>
    <definedName name="VV" localSheetId="15">[1]lisprecios!#REF!</definedName>
    <definedName name="VV" localSheetId="12">[1]lisprecios!#REF!</definedName>
    <definedName name="VV" localSheetId="4">[1]lisprecios!#REF!</definedName>
    <definedName name="VV" localSheetId="1">[1]lisprecios!#REF!</definedName>
    <definedName name="VV" localSheetId="5">[1]lisprecios!#REF!</definedName>
    <definedName name="VV" localSheetId="9">[1]lisprecios!#REF!</definedName>
    <definedName name="VV" localSheetId="8">[1]lisprecios!#REF!</definedName>
    <definedName name="VV" localSheetId="6">[2]lisprecios!#REF!</definedName>
    <definedName name="VV" localSheetId="10">[1]lisprecios!#REF!</definedName>
    <definedName name="VV" localSheetId="11">[1]lisprecios!#REF!</definedName>
    <definedName name="VV">[1]lisprecios!#REF!</definedName>
    <definedName name="WA" localSheetId="2">'[1]PRESTACIONES SOCIALES'!#REF!</definedName>
    <definedName name="WA" localSheetId="0">'[1]PRESTACIONES SOCIALES'!#REF!</definedName>
    <definedName name="WA" localSheetId="15">'[1]PRESTACIONES SOCIALES'!#REF!</definedName>
    <definedName name="WA" localSheetId="12">'[1]PRESTACIONES SOCIALES'!#REF!</definedName>
    <definedName name="WA" localSheetId="4">'[1]PRESTACIONES SOCIALES'!#REF!</definedName>
    <definedName name="WA" localSheetId="1">'[1]PRESTACIONES SOCIALES'!#REF!</definedName>
    <definedName name="WA" localSheetId="5">'[1]PRESTACIONES SOCIALES'!#REF!</definedName>
    <definedName name="WA" localSheetId="9">'[1]PRESTACIONES SOCIALES'!#REF!</definedName>
    <definedName name="WA" localSheetId="8">'[1]PRESTACIONES SOCIALES'!#REF!</definedName>
    <definedName name="WA" localSheetId="6">'[2]PRESTACIONES SOCIALES'!#REF!</definedName>
    <definedName name="WA" localSheetId="10">'[1]PRESTACIONES SOCIALES'!#REF!</definedName>
    <definedName name="WA" localSheetId="11">'[1]PRESTACIONES SOCIALES'!#REF!</definedName>
    <definedName name="WA">'[1]PRESTACIONES SOCIALES'!#REF!</definedName>
    <definedName name="WWW" localSheetId="2">[1]lisprecios!#REF!</definedName>
    <definedName name="WWW" localSheetId="0">[1]lisprecios!#REF!</definedName>
    <definedName name="WWW" localSheetId="15">[1]lisprecios!#REF!</definedName>
    <definedName name="WWW" localSheetId="12">[1]lisprecios!#REF!</definedName>
    <definedName name="WWW" localSheetId="4">[1]lisprecios!#REF!</definedName>
    <definedName name="WWW" localSheetId="1">[1]lisprecios!#REF!</definedName>
    <definedName name="WWW" localSheetId="5">[1]lisprecios!#REF!</definedName>
    <definedName name="WWW" localSheetId="9">[1]lisprecios!#REF!</definedName>
    <definedName name="WWW" localSheetId="8">[1]lisprecios!#REF!</definedName>
    <definedName name="WWW" localSheetId="6">[2]lisprecios!#REF!</definedName>
    <definedName name="WWW" localSheetId="10">[1]lisprecios!#REF!</definedName>
    <definedName name="WWW" localSheetId="11">[1]lisprecios!#REF!</definedName>
    <definedName name="WWW">[1]lisprecios!#REF!</definedName>
    <definedName name="YY" localSheetId="2">[1]lisprecios!#REF!</definedName>
    <definedName name="YY" localSheetId="0">[1]lisprecios!#REF!</definedName>
    <definedName name="YY" localSheetId="15">[1]lisprecios!#REF!</definedName>
    <definedName name="YY" localSheetId="12">[1]lisprecios!#REF!</definedName>
    <definedName name="YY" localSheetId="4">[1]lisprecios!#REF!</definedName>
    <definedName name="YY" localSheetId="1">[1]lisprecios!#REF!</definedName>
    <definedName name="YY" localSheetId="5">[1]lisprecios!#REF!</definedName>
    <definedName name="YY" localSheetId="9">[1]lisprecios!#REF!</definedName>
    <definedName name="YY" localSheetId="8">[1]lisprecios!#REF!</definedName>
    <definedName name="YY" localSheetId="6">[2]lisprecios!#REF!</definedName>
    <definedName name="YY" localSheetId="10">[1]lisprecios!#REF!</definedName>
    <definedName name="YY" localSheetId="11">[1]lisprecios!#REF!</definedName>
    <definedName name="YY">[1]lisprecios!#REF!</definedName>
  </definedNames>
  <calcPr calcId="152511"/>
</workbook>
</file>

<file path=xl/calcChain.xml><?xml version="1.0" encoding="utf-8"?>
<calcChain xmlns="http://schemas.openxmlformats.org/spreadsheetml/2006/main">
  <c r="F16" i="32" l="1"/>
  <c r="F15" i="32"/>
  <c r="F14" i="32"/>
  <c r="F13" i="32"/>
  <c r="F12" i="32"/>
  <c r="G12" i="32" s="1"/>
  <c r="F11" i="32"/>
  <c r="F10" i="32"/>
  <c r="N29" i="1"/>
  <c r="N30" i="1"/>
  <c r="N31" i="1"/>
  <c r="N32" i="1"/>
  <c r="AD32" i="1" s="1"/>
  <c r="N33" i="1"/>
  <c r="N34" i="1"/>
  <c r="AD29" i="1"/>
  <c r="AD30" i="1"/>
  <c r="AD31" i="1"/>
  <c r="AD33" i="1"/>
  <c r="AD34" i="1"/>
  <c r="A10" i="32"/>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5" i="1"/>
  <c r="C6" i="1"/>
  <c r="AF36" i="28"/>
  <c r="S40" i="28" s="1"/>
  <c r="E35" i="30"/>
  <c r="E30" i="30"/>
  <c r="E9" i="30"/>
  <c r="AB36" i="28"/>
  <c r="S38" i="28" s="1"/>
  <c r="AG42" i="28"/>
  <c r="E31" i="30" s="1"/>
  <c r="D38" i="28"/>
  <c r="H38" i="28" s="1"/>
  <c r="N36" i="28"/>
  <c r="AJ36" i="28"/>
  <c r="E27" i="30" s="1"/>
  <c r="AG31" i="28"/>
  <c r="AG32" i="28"/>
  <c r="AG33" i="28"/>
  <c r="AG30" i="28"/>
  <c r="AG24" i="28"/>
  <c r="AG23" i="28"/>
  <c r="AG22" i="28"/>
  <c r="AG20" i="28"/>
  <c r="AG19" i="28"/>
  <c r="AG13" i="28"/>
  <c r="G11" i="30"/>
  <c r="G10" i="30"/>
  <c r="AE36" i="28"/>
  <c r="AD36" i="28"/>
  <c r="AC36" i="28"/>
  <c r="E43" i="30" s="1"/>
  <c r="AA34" i="28"/>
  <c r="Z34" i="28"/>
  <c r="X34" i="28"/>
  <c r="Y34" i="28"/>
  <c r="L34" i="28"/>
  <c r="AA33" i="28"/>
  <c r="X33" i="28"/>
  <c r="L33" i="28"/>
  <c r="M33" i="28" s="1"/>
  <c r="G33" i="28"/>
  <c r="Y32" i="28"/>
  <c r="X32" i="28"/>
  <c r="L32" i="28"/>
  <c r="M32" i="28"/>
  <c r="G32" i="28"/>
  <c r="Z31" i="28"/>
  <c r="Y31" i="28"/>
  <c r="X31" i="28"/>
  <c r="AA31" i="28"/>
  <c r="L31" i="28"/>
  <c r="G31" i="28"/>
  <c r="AH31" i="28"/>
  <c r="AA30" i="28"/>
  <c r="Z30" i="28"/>
  <c r="X30" i="28"/>
  <c r="Y30" i="28"/>
  <c r="L30" i="28"/>
  <c r="M30" i="28" s="1"/>
  <c r="AA29" i="28"/>
  <c r="Z29" i="28"/>
  <c r="X29" i="28"/>
  <c r="Y29" i="28"/>
  <c r="L29" i="28"/>
  <c r="M29" i="28" s="1"/>
  <c r="Z28" i="28"/>
  <c r="Y28" i="28"/>
  <c r="X28" i="28"/>
  <c r="AA28" i="28"/>
  <c r="L28" i="28"/>
  <c r="M28" i="28" s="1"/>
  <c r="G28" i="28"/>
  <c r="H28" i="28" s="1"/>
  <c r="Z27" i="28"/>
  <c r="Y27" i="28"/>
  <c r="X27" i="28"/>
  <c r="AA27" i="28"/>
  <c r="L27" i="28"/>
  <c r="G27" i="28"/>
  <c r="Z26" i="28"/>
  <c r="Y26" i="28"/>
  <c r="X26" i="28"/>
  <c r="AA26" i="28"/>
  <c r="L26" i="28"/>
  <c r="M26" i="28" s="1"/>
  <c r="G26" i="28"/>
  <c r="AA25" i="28"/>
  <c r="X25" i="28"/>
  <c r="L25" i="28"/>
  <c r="M25" i="28" s="1"/>
  <c r="G25" i="28"/>
  <c r="AI25" i="28" s="1"/>
  <c r="AG25" i="28" s="1"/>
  <c r="Y24" i="28"/>
  <c r="X24" i="28"/>
  <c r="L24" i="28"/>
  <c r="G24" i="28"/>
  <c r="Z23" i="28"/>
  <c r="Y23" i="28"/>
  <c r="X23" i="28"/>
  <c r="AA23" i="28"/>
  <c r="L23" i="28"/>
  <c r="G23" i="28"/>
  <c r="AI23" i="28" s="1"/>
  <c r="AA22" i="28"/>
  <c r="Z22" i="28"/>
  <c r="X22" i="28"/>
  <c r="Y22" i="28"/>
  <c r="L22" i="28"/>
  <c r="M22" i="28" s="1"/>
  <c r="AA21" i="28"/>
  <c r="Z21" i="28"/>
  <c r="X21" i="28"/>
  <c r="Y21" i="28"/>
  <c r="L21" i="28"/>
  <c r="AA20" i="28"/>
  <c r="X20" i="28"/>
  <c r="L20" i="28"/>
  <c r="M20" i="28" s="1"/>
  <c r="G20" i="28"/>
  <c r="AI20" i="28"/>
  <c r="Y19" i="28"/>
  <c r="X19" i="28"/>
  <c r="L19" i="28"/>
  <c r="G19" i="28"/>
  <c r="AA18" i="28"/>
  <c r="X18" i="28"/>
  <c r="L18" i="28"/>
  <c r="G18" i="28"/>
  <c r="H18" i="28" s="1"/>
  <c r="AA17" i="28"/>
  <c r="Z17" i="28"/>
  <c r="X17" i="28"/>
  <c r="L17" i="28"/>
  <c r="M17" i="28" s="1"/>
  <c r="G17" i="28"/>
  <c r="H17" i="28"/>
  <c r="AA16" i="28"/>
  <c r="Z16" i="28"/>
  <c r="X16" i="28"/>
  <c r="L16" i="28"/>
  <c r="M16" i="28" s="1"/>
  <c r="G16" i="28"/>
  <c r="AA15" i="28"/>
  <c r="X15" i="28"/>
  <c r="Y15" i="28"/>
  <c r="Z15" i="28"/>
  <c r="G15" i="28"/>
  <c r="AI15" i="28" s="1"/>
  <c r="X14" i="28"/>
  <c r="L14" i="28"/>
  <c r="G14" i="28"/>
  <c r="AA13" i="28"/>
  <c r="Z13" i="28"/>
  <c r="Y13" i="28"/>
  <c r="X13" i="28"/>
  <c r="L13" i="28"/>
  <c r="M13" i="28" s="1"/>
  <c r="G13" i="28"/>
  <c r="AH13" i="28" s="1"/>
  <c r="AA12" i="28"/>
  <c r="X12" i="28"/>
  <c r="Z12" i="28"/>
  <c r="Y12" i="28"/>
  <c r="L12" i="28"/>
  <c r="M12" i="28" s="1"/>
  <c r="G12" i="28"/>
  <c r="H12" i="28" s="1"/>
  <c r="AA11" i="28"/>
  <c r="Z11" i="28"/>
  <c r="Y11" i="28"/>
  <c r="X11" i="28"/>
  <c r="L11" i="28"/>
  <c r="M11" i="28" s="1"/>
  <c r="G11" i="28"/>
  <c r="AA10" i="28"/>
  <c r="X10" i="28"/>
  <c r="Z10" i="28"/>
  <c r="Y10" i="28"/>
  <c r="L10" i="28"/>
  <c r="G10" i="28"/>
  <c r="AA9" i="28"/>
  <c r="Z9" i="28"/>
  <c r="Y9" i="28"/>
  <c r="X9" i="28"/>
  <c r="L9" i="28"/>
  <c r="M9" i="28" s="1"/>
  <c r="G9" i="28"/>
  <c r="X8" i="28"/>
  <c r="Z8" i="28"/>
  <c r="L8" i="28"/>
  <c r="M8" i="28" s="1"/>
  <c r="G8" i="28"/>
  <c r="AI8" i="28" s="1"/>
  <c r="AA7" i="28"/>
  <c r="Y7" i="28"/>
  <c r="X7" i="28"/>
  <c r="Z7" i="28"/>
  <c r="Z36" i="28" s="1"/>
  <c r="L7" i="28"/>
  <c r="M7" i="28" s="1"/>
  <c r="G7" i="28"/>
  <c r="AH7" i="28" s="1"/>
  <c r="Z6" i="28"/>
  <c r="X6" i="28"/>
  <c r="L6" i="28"/>
  <c r="G6" i="28"/>
  <c r="AG6" i="28"/>
  <c r="AH6" i="28"/>
  <c r="Z5" i="28"/>
  <c r="X5" i="28"/>
  <c r="L5" i="28"/>
  <c r="M5" i="28" s="1"/>
  <c r="G5" i="28"/>
  <c r="Q5" i="28" s="1"/>
  <c r="U5" i="28" s="1"/>
  <c r="Z4" i="28"/>
  <c r="X4" i="28"/>
  <c r="L4" i="28"/>
  <c r="M4" i="28" s="1"/>
  <c r="G4" i="28"/>
  <c r="AH4" i="28" s="1"/>
  <c r="M31" i="28"/>
  <c r="AI31" i="28"/>
  <c r="H31" i="28"/>
  <c r="H7" i="28"/>
  <c r="AH10" i="28"/>
  <c r="Y14" i="28"/>
  <c r="AA14" i="28"/>
  <c r="Z14" i="28"/>
  <c r="Y4" i="28"/>
  <c r="AA4" i="28"/>
  <c r="Y5" i="28"/>
  <c r="AA5" i="28"/>
  <c r="Y6" i="28"/>
  <c r="AA6" i="28"/>
  <c r="AI7" i="28"/>
  <c r="Q13" i="28"/>
  <c r="R13" i="28" s="1"/>
  <c r="T13" i="28" s="1"/>
  <c r="V13" i="28" s="1"/>
  <c r="H15" i="28"/>
  <c r="AI6" i="28"/>
  <c r="H6" i="28"/>
  <c r="AA8" i="28"/>
  <c r="Y8" i="28"/>
  <c r="Q20" i="28"/>
  <c r="Q17" i="28"/>
  <c r="U17" i="28" s="1"/>
  <c r="AI33" i="28"/>
  <c r="G29" i="28"/>
  <c r="Q29" i="28" s="1"/>
  <c r="G30" i="28"/>
  <c r="H30" i="28" s="1"/>
  <c r="AA32" i="28"/>
  <c r="Z32" i="28"/>
  <c r="Z33" i="28"/>
  <c r="Y33" i="28"/>
  <c r="G34" i="28"/>
  <c r="L15" i="28"/>
  <c r="M15" i="28" s="1"/>
  <c r="Y16" i="28"/>
  <c r="Y17" i="28"/>
  <c r="Z18" i="28"/>
  <c r="Y18" i="28"/>
  <c r="AA19" i="28"/>
  <c r="Z19" i="28"/>
  <c r="Z20" i="28"/>
  <c r="Y20" i="28"/>
  <c r="G21" i="28"/>
  <c r="AG21" i="28" s="1"/>
  <c r="AI21" i="28"/>
  <c r="G22" i="28"/>
  <c r="AI22" i="28" s="1"/>
  <c r="AA24" i="28"/>
  <c r="Z24" i="28"/>
  <c r="Z25" i="28"/>
  <c r="Y25" i="28"/>
  <c r="H34" i="28"/>
  <c r="H29" i="28"/>
  <c r="Q15" i="28"/>
  <c r="R20" i="28"/>
  <c r="T20" i="28" s="1"/>
  <c r="W20" i="28" s="1"/>
  <c r="E33" i="15"/>
  <c r="L39" i="1"/>
  <c r="AI26" i="1"/>
  <c r="AI37" i="1"/>
  <c r="AH25" i="1"/>
  <c r="Y25" i="1" s="1"/>
  <c r="AH23" i="1"/>
  <c r="Y23" i="1" s="1"/>
  <c r="AF10" i="1"/>
  <c r="AF9" i="1"/>
  <c r="AP28" i="1"/>
  <c r="AL28" i="1"/>
  <c r="AP27" i="1"/>
  <c r="AL27" i="1" s="1"/>
  <c r="AP26" i="1"/>
  <c r="AL26" i="1"/>
  <c r="AP25" i="1"/>
  <c r="AL25" i="1" s="1"/>
  <c r="AP24" i="1"/>
  <c r="AL24" i="1"/>
  <c r="AP22" i="1"/>
  <c r="AL22" i="1" s="1"/>
  <c r="AP21" i="1"/>
  <c r="AL21" i="1" s="1"/>
  <c r="AO37" i="1"/>
  <c r="E28" i="15" s="1"/>
  <c r="E50" i="13" s="1"/>
  <c r="AP20" i="1"/>
  <c r="AL20" i="1" s="1"/>
  <c r="I61" i="3"/>
  <c r="I60" i="3"/>
  <c r="I59" i="3"/>
  <c r="I58" i="3"/>
  <c r="I57" i="3"/>
  <c r="G56" i="3"/>
  <c r="I56" i="3" s="1"/>
  <c r="I55" i="3"/>
  <c r="I54" i="3"/>
  <c r="I53" i="3"/>
  <c r="I52" i="3"/>
  <c r="I51" i="3"/>
  <c r="I50" i="3"/>
  <c r="H45" i="3"/>
  <c r="I44" i="3"/>
  <c r="I43" i="3"/>
  <c r="I42" i="3"/>
  <c r="I41" i="3"/>
  <c r="I40" i="3"/>
  <c r="I39" i="3"/>
  <c r="G38" i="3"/>
  <c r="I38" i="3" s="1"/>
  <c r="I37" i="3"/>
  <c r="G35" i="3"/>
  <c r="I35" i="3" s="1"/>
  <c r="G34" i="3"/>
  <c r="I34" i="3"/>
  <c r="I33" i="3"/>
  <c r="I32" i="3"/>
  <c r="L31" i="3"/>
  <c r="I31" i="3"/>
  <c r="L30" i="3"/>
  <c r="G30" i="3"/>
  <c r="I30" i="3" s="1"/>
  <c r="L29" i="3"/>
  <c r="I29" i="3"/>
  <c r="L28" i="3"/>
  <c r="G28" i="3"/>
  <c r="I28" i="3" s="1"/>
  <c r="I27" i="3"/>
  <c r="I26" i="3"/>
  <c r="I22" i="3"/>
  <c r="L21" i="3"/>
  <c r="I19" i="3"/>
  <c r="L14" i="3"/>
  <c r="I12" i="3"/>
  <c r="I11" i="3"/>
  <c r="I10" i="3"/>
  <c r="L9" i="3"/>
  <c r="I9" i="3"/>
  <c r="L13" i="3" s="1"/>
  <c r="I8" i="3"/>
  <c r="J4" i="3"/>
  <c r="D41" i="14"/>
  <c r="D32" i="14"/>
  <c r="D29" i="14"/>
  <c r="D28" i="14"/>
  <c r="D26" i="14"/>
  <c r="D25" i="14"/>
  <c r="B21" i="14"/>
  <c r="D20" i="14"/>
  <c r="D9" i="14"/>
  <c r="C9" i="14"/>
  <c r="B9" i="14"/>
  <c r="D8" i="14"/>
  <c r="F24" i="16"/>
  <c r="E24" i="16"/>
  <c r="F23" i="16"/>
  <c r="G23" i="16" s="1"/>
  <c r="E23" i="16"/>
  <c r="F22" i="16"/>
  <c r="E22" i="16"/>
  <c r="F21" i="16"/>
  <c r="E21" i="16"/>
  <c r="F20" i="16"/>
  <c r="G20" i="16" s="1"/>
  <c r="E20" i="16"/>
  <c r="F18" i="16"/>
  <c r="E18" i="16"/>
  <c r="F16" i="16"/>
  <c r="E16" i="16"/>
  <c r="F15" i="16"/>
  <c r="E15" i="16"/>
  <c r="G15" i="16" s="1"/>
  <c r="F14" i="16"/>
  <c r="G14" i="16" s="1"/>
  <c r="E14" i="16"/>
  <c r="F13" i="16"/>
  <c r="E13" i="16"/>
  <c r="G13" i="16" s="1"/>
  <c r="F12" i="16"/>
  <c r="G12" i="16" s="1"/>
  <c r="E12" i="16"/>
  <c r="C12" i="16"/>
  <c r="C11" i="16"/>
  <c r="F10" i="16"/>
  <c r="E10" i="16"/>
  <c r="C10" i="16"/>
  <c r="C9" i="16"/>
  <c r="C8" i="16"/>
  <c r="C18" i="10"/>
  <c r="C17" i="10"/>
  <c r="C16" i="10"/>
  <c r="C15" i="10"/>
  <c r="C14" i="10"/>
  <c r="C13" i="10"/>
  <c r="C12" i="10"/>
  <c r="C11" i="10"/>
  <c r="C10" i="10"/>
  <c r="C9" i="10"/>
  <c r="C8" i="10"/>
  <c r="D31" i="14"/>
  <c r="G11" i="15"/>
  <c r="G10" i="15"/>
  <c r="AK37" i="1"/>
  <c r="S41" i="1" s="1"/>
  <c r="E54" i="9"/>
  <c r="AJ37" i="1"/>
  <c r="E52" i="9"/>
  <c r="AG37" i="1"/>
  <c r="AE37" i="1"/>
  <c r="Y34" i="1"/>
  <c r="O34" i="1"/>
  <c r="M34" i="1" s="1"/>
  <c r="K34" i="1"/>
  <c r="J34" i="1"/>
  <c r="I34" i="1"/>
  <c r="F34" i="1"/>
  <c r="G34" i="1" s="1"/>
  <c r="E34" i="1"/>
  <c r="D34" i="1"/>
  <c r="Y33" i="1"/>
  <c r="O33" i="1"/>
  <c r="K33" i="1"/>
  <c r="J33" i="1"/>
  <c r="L33" i="1" s="1"/>
  <c r="I33" i="1"/>
  <c r="F33" i="1"/>
  <c r="E33" i="1"/>
  <c r="D33" i="1"/>
  <c r="Y32" i="1"/>
  <c r="O32" i="1"/>
  <c r="K32" i="1"/>
  <c r="J32" i="1"/>
  <c r="I32" i="1"/>
  <c r="F32" i="1"/>
  <c r="G32" i="1" s="1"/>
  <c r="AL32" i="1" s="1"/>
  <c r="E32" i="1"/>
  <c r="D32" i="1"/>
  <c r="Y31" i="1"/>
  <c r="O31" i="1"/>
  <c r="K31" i="1"/>
  <c r="J31" i="1"/>
  <c r="L31" i="1"/>
  <c r="M31" i="1" s="1"/>
  <c r="I31" i="1"/>
  <c r="F31" i="1"/>
  <c r="E31" i="1"/>
  <c r="G31" i="1"/>
  <c r="D31" i="1"/>
  <c r="Y30" i="1"/>
  <c r="O30" i="1"/>
  <c r="K30" i="1"/>
  <c r="J30" i="1"/>
  <c r="I30" i="1"/>
  <c r="F30" i="1"/>
  <c r="E30" i="1"/>
  <c r="G30" i="1" s="1"/>
  <c r="AL30" i="1" s="1"/>
  <c r="D30" i="1"/>
  <c r="Y29" i="1"/>
  <c r="O29" i="1"/>
  <c r="K29" i="1"/>
  <c r="J29" i="1"/>
  <c r="I29" i="1"/>
  <c r="F29" i="1"/>
  <c r="E29" i="1"/>
  <c r="D29" i="1"/>
  <c r="Y28" i="1"/>
  <c r="O28" i="1"/>
  <c r="N28" i="1"/>
  <c r="AD28" i="1" s="1"/>
  <c r="K28" i="1"/>
  <c r="L28" i="1" s="1"/>
  <c r="M28" i="1" s="1"/>
  <c r="J28" i="1"/>
  <c r="I28" i="1"/>
  <c r="F28" i="1"/>
  <c r="E28" i="1"/>
  <c r="D28" i="1"/>
  <c r="Y27" i="1"/>
  <c r="O27" i="1"/>
  <c r="N27" i="1"/>
  <c r="AC27" i="1" s="1"/>
  <c r="K27" i="1"/>
  <c r="J27" i="1"/>
  <c r="I27" i="1"/>
  <c r="F27" i="1"/>
  <c r="E27" i="1"/>
  <c r="G27" i="1" s="1"/>
  <c r="H27" i="1" s="1"/>
  <c r="D27" i="1"/>
  <c r="Y26" i="1"/>
  <c r="O26" i="1"/>
  <c r="N26" i="1"/>
  <c r="AC26" i="1" s="1"/>
  <c r="AC37" i="1" s="1"/>
  <c r="E43" i="15" s="1"/>
  <c r="K26" i="1"/>
  <c r="J26" i="1"/>
  <c r="I26" i="1"/>
  <c r="F26" i="1"/>
  <c r="E26" i="1"/>
  <c r="G26" i="1" s="1"/>
  <c r="AM26" i="1" s="1"/>
  <c r="D26" i="1"/>
  <c r="O25" i="1"/>
  <c r="M25" i="1" s="1"/>
  <c r="N25" i="1"/>
  <c r="AB25" i="1" s="1"/>
  <c r="K25" i="1"/>
  <c r="J25" i="1"/>
  <c r="I25" i="1"/>
  <c r="F25" i="1"/>
  <c r="G25" i="1" s="1"/>
  <c r="H25" i="1" s="1"/>
  <c r="E25" i="1"/>
  <c r="D25" i="1"/>
  <c r="Y24" i="1"/>
  <c r="O24" i="1"/>
  <c r="N24" i="1"/>
  <c r="AB24" i="1"/>
  <c r="K24" i="1"/>
  <c r="J24" i="1"/>
  <c r="L24" i="1" s="1"/>
  <c r="M24" i="1" s="1"/>
  <c r="I24" i="1"/>
  <c r="F24" i="1"/>
  <c r="E24" i="1"/>
  <c r="G24" i="1" s="1"/>
  <c r="D24" i="1"/>
  <c r="O23" i="1"/>
  <c r="N23" i="1"/>
  <c r="AB23" i="1"/>
  <c r="K23" i="1"/>
  <c r="J23" i="1"/>
  <c r="I23" i="1"/>
  <c r="F23" i="1"/>
  <c r="E23" i="1"/>
  <c r="G23" i="1" s="1"/>
  <c r="H23" i="1" s="1"/>
  <c r="D23" i="1"/>
  <c r="Y22" i="1"/>
  <c r="O22" i="1"/>
  <c r="N22" i="1"/>
  <c r="AA22" i="1" s="1"/>
  <c r="K22" i="1"/>
  <c r="J22" i="1"/>
  <c r="L22" i="1" s="1"/>
  <c r="I22" i="1"/>
  <c r="F22" i="1"/>
  <c r="G22" i="1" s="1"/>
  <c r="AM22" i="1" s="1"/>
  <c r="E22" i="1"/>
  <c r="D22" i="1"/>
  <c r="Y21" i="1"/>
  <c r="O21" i="1"/>
  <c r="N21" i="1"/>
  <c r="AA21" i="1"/>
  <c r="K21" i="1"/>
  <c r="J21" i="1"/>
  <c r="I21" i="1"/>
  <c r="F21" i="1"/>
  <c r="E21" i="1"/>
  <c r="D21" i="1"/>
  <c r="Y20" i="1"/>
  <c r="O20" i="1"/>
  <c r="N20" i="1"/>
  <c r="AA20" i="1" s="1"/>
  <c r="AA37" i="1" s="1"/>
  <c r="E41" i="15" s="1"/>
  <c r="K20" i="1"/>
  <c r="J20" i="1"/>
  <c r="I20" i="1"/>
  <c r="F20" i="1"/>
  <c r="G20" i="1" s="1"/>
  <c r="AM20" i="1" s="1"/>
  <c r="E20" i="1"/>
  <c r="D20" i="1"/>
  <c r="AP19" i="1"/>
  <c r="AL19" i="1"/>
  <c r="Y19" i="1"/>
  <c r="O19" i="1"/>
  <c r="N19" i="1"/>
  <c r="Z19" i="1"/>
  <c r="K19" i="1"/>
  <c r="J19" i="1"/>
  <c r="I19" i="1"/>
  <c r="F19" i="1"/>
  <c r="G19" i="1" s="1"/>
  <c r="AM19" i="1" s="1"/>
  <c r="E19" i="1"/>
  <c r="D19" i="1"/>
  <c r="AP18" i="1"/>
  <c r="AL18" i="1" s="1"/>
  <c r="Y18" i="1"/>
  <c r="O18" i="1"/>
  <c r="N18" i="1"/>
  <c r="Z18" i="1" s="1"/>
  <c r="K18" i="1"/>
  <c r="J18" i="1"/>
  <c r="L18" i="1" s="1"/>
  <c r="M18" i="1" s="1"/>
  <c r="I18" i="1"/>
  <c r="F18" i="1"/>
  <c r="E18" i="1"/>
  <c r="G18" i="1" s="1"/>
  <c r="D18" i="1"/>
  <c r="AP17" i="1"/>
  <c r="AL17" i="1"/>
  <c r="Y17" i="1"/>
  <c r="O17" i="1"/>
  <c r="N17" i="1"/>
  <c r="Z17" i="1"/>
  <c r="K17" i="1"/>
  <c r="L17" i="1" s="1"/>
  <c r="M17" i="1" s="1"/>
  <c r="J17" i="1"/>
  <c r="I17" i="1"/>
  <c r="F17" i="1"/>
  <c r="E17" i="1"/>
  <c r="D17" i="1"/>
  <c r="Y16" i="1"/>
  <c r="O16" i="1"/>
  <c r="N16" i="1"/>
  <c r="Z16" i="1" s="1"/>
  <c r="K16" i="1"/>
  <c r="J16" i="1"/>
  <c r="L16" i="1" s="1"/>
  <c r="M16" i="1" s="1"/>
  <c r="I16" i="1"/>
  <c r="F16" i="1"/>
  <c r="E16" i="1"/>
  <c r="D16" i="1"/>
  <c r="Y15" i="1"/>
  <c r="O15" i="1"/>
  <c r="N15" i="1"/>
  <c r="Z15" i="1"/>
  <c r="K15" i="1"/>
  <c r="J15" i="1"/>
  <c r="I15" i="1"/>
  <c r="F15" i="1"/>
  <c r="G15" i="1" s="1"/>
  <c r="H15" i="1" s="1"/>
  <c r="E15" i="1"/>
  <c r="D15" i="1"/>
  <c r="Y14" i="1"/>
  <c r="O14" i="1"/>
  <c r="N14" i="1"/>
  <c r="Z14" i="1" s="1"/>
  <c r="K14" i="1"/>
  <c r="J14" i="1"/>
  <c r="I14" i="1"/>
  <c r="F14" i="1"/>
  <c r="G14" i="1" s="1"/>
  <c r="AL14" i="1" s="1"/>
  <c r="E14" i="1"/>
  <c r="D14" i="1"/>
  <c r="AP13" i="1"/>
  <c r="AL13" i="1" s="1"/>
  <c r="Y13" i="1"/>
  <c r="O13" i="1"/>
  <c r="N13" i="1"/>
  <c r="Z13" i="1" s="1"/>
  <c r="K13" i="1"/>
  <c r="J13" i="1"/>
  <c r="I13" i="1"/>
  <c r="F13" i="1"/>
  <c r="E13" i="1"/>
  <c r="G13" i="1" s="1"/>
  <c r="AM13" i="1" s="1"/>
  <c r="D13" i="1"/>
  <c r="AP12" i="1"/>
  <c r="AL12" i="1" s="1"/>
  <c r="Y12" i="1"/>
  <c r="O12" i="1"/>
  <c r="N12" i="1"/>
  <c r="Z12" i="1" s="1"/>
  <c r="K12" i="1"/>
  <c r="J12" i="1"/>
  <c r="I12" i="1"/>
  <c r="F12" i="1"/>
  <c r="E12" i="1"/>
  <c r="D12" i="1"/>
  <c r="AP11" i="1"/>
  <c r="AL11" i="1" s="1"/>
  <c r="Y11" i="1"/>
  <c r="O11" i="1"/>
  <c r="N11" i="1"/>
  <c r="Z11" i="1" s="1"/>
  <c r="K11" i="1"/>
  <c r="J11" i="1"/>
  <c r="L11" i="1" s="1"/>
  <c r="M11" i="1" s="1"/>
  <c r="I11" i="1"/>
  <c r="F11" i="1"/>
  <c r="G11" i="1" s="1"/>
  <c r="E11" i="1"/>
  <c r="D11" i="1"/>
  <c r="Y10" i="1"/>
  <c r="O10" i="1"/>
  <c r="N10" i="1"/>
  <c r="Z10" i="1" s="1"/>
  <c r="K10" i="1"/>
  <c r="J10" i="1"/>
  <c r="I10" i="1"/>
  <c r="F10" i="1"/>
  <c r="E10" i="1"/>
  <c r="D10" i="1"/>
  <c r="O9" i="1"/>
  <c r="N9" i="1"/>
  <c r="K9" i="1"/>
  <c r="J9" i="1"/>
  <c r="I9" i="1"/>
  <c r="F9" i="1"/>
  <c r="E9" i="1"/>
  <c r="D9" i="1"/>
  <c r="Y8" i="1"/>
  <c r="O8" i="1"/>
  <c r="N8" i="1"/>
  <c r="Z8" i="1" s="1"/>
  <c r="K8" i="1"/>
  <c r="L8" i="1" s="1"/>
  <c r="M8" i="1" s="1"/>
  <c r="J8" i="1"/>
  <c r="I8" i="1"/>
  <c r="F8" i="1"/>
  <c r="E8" i="1"/>
  <c r="D8" i="1"/>
  <c r="AP7" i="1"/>
  <c r="AL7" i="1" s="1"/>
  <c r="Y7" i="1"/>
  <c r="O7" i="1"/>
  <c r="N7" i="1"/>
  <c r="Z7" i="1" s="1"/>
  <c r="K7" i="1"/>
  <c r="J7" i="1"/>
  <c r="I7" i="1"/>
  <c r="F7" i="1"/>
  <c r="E7" i="1"/>
  <c r="D7" i="1"/>
  <c r="AP6" i="1"/>
  <c r="AL6" i="1" s="1"/>
  <c r="Y6" i="1"/>
  <c r="O6" i="1"/>
  <c r="N6" i="1"/>
  <c r="Z6" i="1" s="1"/>
  <c r="K6" i="1"/>
  <c r="L6" i="1" s="1"/>
  <c r="J6" i="1"/>
  <c r="M6" i="1"/>
  <c r="I6" i="1"/>
  <c r="F6" i="1"/>
  <c r="E6" i="1"/>
  <c r="D6" i="1"/>
  <c r="AP5" i="1"/>
  <c r="AL5" i="1" s="1"/>
  <c r="Y5" i="1"/>
  <c r="O5" i="1"/>
  <c r="H5" i="1" s="1"/>
  <c r="N5" i="1"/>
  <c r="Z5" i="1" s="1"/>
  <c r="K5" i="1"/>
  <c r="J5" i="1"/>
  <c r="I5" i="1"/>
  <c r="F5" i="1"/>
  <c r="E5" i="1"/>
  <c r="G5" i="1" s="1"/>
  <c r="D5" i="1"/>
  <c r="AP4" i="1"/>
  <c r="AL4" i="1" s="1"/>
  <c r="Y4" i="1"/>
  <c r="O4" i="1"/>
  <c r="N4" i="1"/>
  <c r="Z4" i="1" s="1"/>
  <c r="K4" i="1"/>
  <c r="J4" i="1"/>
  <c r="L4" i="1" s="1"/>
  <c r="I4" i="1"/>
  <c r="F4" i="1"/>
  <c r="G4" i="1" s="1"/>
  <c r="E4" i="1"/>
  <c r="D4" i="1"/>
  <c r="C4" i="1"/>
  <c r="K35" i="26"/>
  <c r="J35" i="26"/>
  <c r="K34" i="26"/>
  <c r="J34" i="26"/>
  <c r="K33" i="26"/>
  <c r="J33" i="26"/>
  <c r="K32" i="26"/>
  <c r="J32" i="26"/>
  <c r="K31" i="26"/>
  <c r="J31" i="26"/>
  <c r="K30" i="26"/>
  <c r="J30" i="26"/>
  <c r="K29" i="26"/>
  <c r="J29" i="26"/>
  <c r="K28" i="26"/>
  <c r="J28" i="26"/>
  <c r="K27" i="26"/>
  <c r="J27" i="26"/>
  <c r="K26" i="26"/>
  <c r="J26" i="26"/>
  <c r="K25" i="26"/>
  <c r="J25" i="26"/>
  <c r="K24" i="26"/>
  <c r="J24" i="26"/>
  <c r="K23" i="26"/>
  <c r="J23" i="26"/>
  <c r="K22" i="26"/>
  <c r="J22" i="26"/>
  <c r="K21" i="26"/>
  <c r="J21" i="26"/>
  <c r="K20" i="26"/>
  <c r="J20" i="26"/>
  <c r="K19" i="26"/>
  <c r="J19" i="26"/>
  <c r="K18" i="26"/>
  <c r="J18" i="26"/>
  <c r="K17" i="26"/>
  <c r="J17" i="26"/>
  <c r="K16" i="26"/>
  <c r="J16" i="26"/>
  <c r="K15" i="26"/>
  <c r="J15" i="26"/>
  <c r="K14" i="26"/>
  <c r="J14" i="26"/>
  <c r="K13" i="26"/>
  <c r="J13" i="26"/>
  <c r="K12" i="26"/>
  <c r="J12" i="26"/>
  <c r="K11" i="26"/>
  <c r="J11" i="26"/>
  <c r="K10" i="26"/>
  <c r="J10" i="26"/>
  <c r="K9" i="26"/>
  <c r="J9" i="26"/>
  <c r="K8" i="26"/>
  <c r="J8" i="26"/>
  <c r="K7" i="26"/>
  <c r="J7" i="26"/>
  <c r="K6" i="26"/>
  <c r="J6" i="26"/>
  <c r="K5" i="26"/>
  <c r="J5" i="26"/>
  <c r="G56" i="9"/>
  <c r="G55" i="9"/>
  <c r="F54" i="9"/>
  <c r="F53" i="9"/>
  <c r="F52" i="9"/>
  <c r="F51" i="9"/>
  <c r="F50" i="9"/>
  <c r="F49" i="9"/>
  <c r="F48" i="9"/>
  <c r="E48" i="9"/>
  <c r="F47" i="9"/>
  <c r="E46" i="9"/>
  <c r="G46" i="9" s="1"/>
  <c r="E45" i="9"/>
  <c r="E17" i="10"/>
  <c r="G17" i="10" s="1"/>
  <c r="E44" i="9"/>
  <c r="G44" i="9" s="1"/>
  <c r="F43" i="9"/>
  <c r="E43" i="9"/>
  <c r="E15" i="10" s="1"/>
  <c r="G15" i="10" s="1"/>
  <c r="F42" i="9"/>
  <c r="E42" i="9"/>
  <c r="F41" i="9"/>
  <c r="E41" i="9"/>
  <c r="G41" i="9" s="1"/>
  <c r="F40" i="9"/>
  <c r="E40" i="9"/>
  <c r="E12" i="10"/>
  <c r="G12" i="10" s="1"/>
  <c r="F39" i="9"/>
  <c r="E39" i="9"/>
  <c r="F38" i="9"/>
  <c r="E38" i="9"/>
  <c r="E10" i="10" s="1"/>
  <c r="F37" i="9"/>
  <c r="F36" i="9"/>
  <c r="E33" i="9"/>
  <c r="G32" i="9"/>
  <c r="G31" i="9"/>
  <c r="G30" i="9"/>
  <c r="F29" i="9"/>
  <c r="G29" i="9" s="1"/>
  <c r="G28" i="9" s="1"/>
  <c r="F27" i="9"/>
  <c r="F26" i="9"/>
  <c r="F24" i="9"/>
  <c r="F22" i="9"/>
  <c r="F21" i="9"/>
  <c r="F20" i="9"/>
  <c r="F18" i="9"/>
  <c r="F17" i="9"/>
  <c r="F15" i="9"/>
  <c r="F14" i="9"/>
  <c r="E14" i="9"/>
  <c r="G14" i="9"/>
  <c r="G13" i="9" s="1"/>
  <c r="F11" i="9"/>
  <c r="E11" i="9"/>
  <c r="E27" i="9"/>
  <c r="G11" i="9"/>
  <c r="F10" i="9"/>
  <c r="E10" i="9"/>
  <c r="G10" i="9"/>
  <c r="G9" i="9" s="1"/>
  <c r="F8" i="9"/>
  <c r="E104" i="13"/>
  <c r="E101" i="13"/>
  <c r="E99" i="13"/>
  <c r="E97" i="13"/>
  <c r="E95" i="13"/>
  <c r="E93" i="13"/>
  <c r="E91" i="13"/>
  <c r="E89" i="13"/>
  <c r="E85" i="13"/>
  <c r="E81" i="13"/>
  <c r="E79" i="13"/>
  <c r="E77" i="13"/>
  <c r="E75" i="13"/>
  <c r="E73" i="13"/>
  <c r="E71" i="13"/>
  <c r="E69" i="13"/>
  <c r="E65" i="13"/>
  <c r="E48" i="13"/>
  <c r="E46" i="13"/>
  <c r="E43" i="13"/>
  <c r="E41" i="13"/>
  <c r="E33" i="13"/>
  <c r="E15" i="13"/>
  <c r="E13" i="13"/>
  <c r="E49" i="15"/>
  <c r="L14" i="1"/>
  <c r="E53" i="9"/>
  <c r="G43" i="9"/>
  <c r="L9" i="1"/>
  <c r="M9" i="1" s="1"/>
  <c r="G28" i="1"/>
  <c r="AM28" i="1" s="1"/>
  <c r="G17" i="1"/>
  <c r="L29" i="1"/>
  <c r="M29" i="1" s="1"/>
  <c r="G40" i="9"/>
  <c r="L34" i="1"/>
  <c r="L25" i="1"/>
  <c r="S39" i="1"/>
  <c r="G10" i="1"/>
  <c r="L30" i="1"/>
  <c r="M30" i="1" s="1"/>
  <c r="AL31" i="1"/>
  <c r="E51" i="9"/>
  <c r="E23" i="10" s="1"/>
  <c r="G23" i="10" s="1"/>
  <c r="E48" i="15"/>
  <c r="E54" i="13"/>
  <c r="E56" i="13"/>
  <c r="G18" i="16"/>
  <c r="E52" i="13"/>
  <c r="G10" i="10"/>
  <c r="E14" i="10"/>
  <c r="G14" i="10" s="1"/>
  <c r="E18" i="10"/>
  <c r="G18" i="10"/>
  <c r="D33" i="14"/>
  <c r="E26" i="9"/>
  <c r="G26" i="9" s="1"/>
  <c r="G25" i="9" s="1"/>
  <c r="G45" i="9"/>
  <c r="E13" i="10"/>
  <c r="G13" i="10" s="1"/>
  <c r="D30" i="14"/>
  <c r="H28" i="1"/>
  <c r="G51" i="9"/>
  <c r="H18" i="1"/>
  <c r="AH14" i="28"/>
  <c r="H14" i="28"/>
  <c r="AI14" i="28"/>
  <c r="AG14" i="28" s="1"/>
  <c r="AH5" i="28"/>
  <c r="H5" i="28"/>
  <c r="AN5" i="1"/>
  <c r="AH37" i="1"/>
  <c r="E47" i="15" s="1"/>
  <c r="AI12" i="28"/>
  <c r="AG12" i="28" s="1"/>
  <c r="Q12" i="28"/>
  <c r="AH12" i="28"/>
  <c r="M27" i="28"/>
  <c r="AL34" i="1"/>
  <c r="E12" i="32"/>
  <c r="E46" i="30"/>
  <c r="W17" i="28"/>
  <c r="R17" i="28"/>
  <c r="T17" i="28" s="1"/>
  <c r="V17" i="28" s="1"/>
  <c r="AH8" i="28"/>
  <c r="M23" i="28"/>
  <c r="H22" i="28"/>
  <c r="M19" i="28"/>
  <c r="M21" i="28"/>
  <c r="X36" i="28"/>
  <c r="E41" i="30" s="1"/>
  <c r="E10" i="32" s="1"/>
  <c r="E28" i="30"/>
  <c r="AH9" i="28"/>
  <c r="Q9" i="28"/>
  <c r="R9" i="28" s="1"/>
  <c r="T9" i="28" s="1"/>
  <c r="V9" i="28" s="1"/>
  <c r="AI9" i="28"/>
  <c r="AG9" i="28" s="1"/>
  <c r="H9" i="28"/>
  <c r="M10" i="28"/>
  <c r="AM25" i="1"/>
  <c r="E24" i="10"/>
  <c r="G24" i="10" s="1"/>
  <c r="G52" i="9"/>
  <c r="H11" i="28"/>
  <c r="AH11" i="28"/>
  <c r="AI11" i="28"/>
  <c r="AG11" i="28" s="1"/>
  <c r="Q7" i="28"/>
  <c r="R7" i="28" s="1"/>
  <c r="T7" i="28" s="1"/>
  <c r="V7" i="28" s="1"/>
  <c r="AG7" i="28"/>
  <c r="E9" i="15"/>
  <c r="U13" i="28"/>
  <c r="Q4" i="28"/>
  <c r="AI13" i="28"/>
  <c r="H20" i="28"/>
  <c r="AH20" i="28"/>
  <c r="M24" i="28"/>
  <c r="AD37" i="1"/>
  <c r="E44" i="15" s="1"/>
  <c r="H21" i="28"/>
  <c r="D39" i="1"/>
  <c r="H39" i="1" s="1"/>
  <c r="F47" i="30"/>
  <c r="G47" i="30" s="1"/>
  <c r="E50" i="9"/>
  <c r="E22" i="10" s="1"/>
  <c r="G22" i="10" s="1"/>
  <c r="U4" i="28"/>
  <c r="E15" i="32"/>
  <c r="E47" i="30"/>
  <c r="AN4" i="1"/>
  <c r="R5" i="28"/>
  <c r="T5" i="28" s="1"/>
  <c r="V5" i="28" s="1"/>
  <c r="W5" i="28"/>
  <c r="W7" i="28"/>
  <c r="U7" i="28"/>
  <c r="D7" i="14"/>
  <c r="E11" i="13"/>
  <c r="W9" i="28"/>
  <c r="U9" i="28"/>
  <c r="R12" i="28"/>
  <c r="T12" i="28"/>
  <c r="V12" i="28" s="1"/>
  <c r="U12" i="28"/>
  <c r="W12" i="28"/>
  <c r="F34" i="30"/>
  <c r="G50" i="9"/>
  <c r="E16" i="32"/>
  <c r="G15" i="32" l="1"/>
  <c r="G10" i="32"/>
  <c r="AI19" i="28"/>
  <c r="AH19" i="28"/>
  <c r="H19" i="28"/>
  <c r="Q32" i="28"/>
  <c r="AH32" i="28"/>
  <c r="H32" i="28"/>
  <c r="AI32" i="28"/>
  <c r="G16" i="32"/>
  <c r="R4" i="28"/>
  <c r="T4" i="28" s="1"/>
  <c r="V4" i="28" s="1"/>
  <c r="W4" i="28"/>
  <c r="E34" i="9"/>
  <c r="G34" i="9" s="1"/>
  <c r="G33" i="9"/>
  <c r="H4" i="1"/>
  <c r="Q4" i="1"/>
  <c r="Q18" i="28"/>
  <c r="M18" i="28"/>
  <c r="F27" i="30"/>
  <c r="G27" i="30" s="1"/>
  <c r="Q19" i="28"/>
  <c r="Q14" i="28"/>
  <c r="M14" i="28"/>
  <c r="Q33" i="28"/>
  <c r="AH33" i="28"/>
  <c r="H33" i="28"/>
  <c r="M34" i="28"/>
  <c r="AG34" i="28"/>
  <c r="F16" i="30"/>
  <c r="H4" i="28"/>
  <c r="H25" i="28"/>
  <c r="G27" i="9"/>
  <c r="L13" i="1"/>
  <c r="M13" i="1" s="1"/>
  <c r="Q34" i="1"/>
  <c r="AM34" i="1"/>
  <c r="H34" i="1"/>
  <c r="G10" i="16"/>
  <c r="G22" i="16"/>
  <c r="G24" i="16"/>
  <c r="AH29" i="28"/>
  <c r="U20" i="28"/>
  <c r="V20" i="28"/>
  <c r="Q10" i="28"/>
  <c r="R10" i="28" s="1"/>
  <c r="T10" i="28" s="1"/>
  <c r="H10" i="28"/>
  <c r="H16" i="28"/>
  <c r="AH16" i="28"/>
  <c r="Q16" i="28"/>
  <c r="W16" i="28" s="1"/>
  <c r="E11" i="16"/>
  <c r="L27" i="1"/>
  <c r="M27" i="1" s="1"/>
  <c r="W29" i="28"/>
  <c r="R29" i="28"/>
  <c r="T29" i="28" s="1"/>
  <c r="V29" i="28" s="1"/>
  <c r="AA36" i="28"/>
  <c r="AG8" i="28"/>
  <c r="H8" i="28"/>
  <c r="AH24" i="28"/>
  <c r="AI24" i="28"/>
  <c r="Q26" i="28"/>
  <c r="H26" i="28"/>
  <c r="Q21" i="28"/>
  <c r="Q8" i="28"/>
  <c r="AL23" i="1"/>
  <c r="U29" i="28"/>
  <c r="E16" i="10"/>
  <c r="G16" i="10" s="1"/>
  <c r="L10" i="1"/>
  <c r="M10" i="1" s="1"/>
  <c r="G12" i="1"/>
  <c r="AM12" i="1" s="1"/>
  <c r="L21" i="1"/>
  <c r="M21" i="1" s="1"/>
  <c r="H24" i="1"/>
  <c r="E46" i="15"/>
  <c r="E19" i="16" s="1"/>
  <c r="G19" i="16" s="1"/>
  <c r="E49" i="9"/>
  <c r="AH21" i="28"/>
  <c r="H24" i="28"/>
  <c r="AH25" i="28"/>
  <c r="E36" i="30"/>
  <c r="E37" i="30" s="1"/>
  <c r="E45" i="30"/>
  <c r="E38" i="30"/>
  <c r="E39" i="30" s="1"/>
  <c r="G7" i="1"/>
  <c r="AN7" i="1" s="1"/>
  <c r="L7" i="1"/>
  <c r="M7" i="1" s="1"/>
  <c r="G8" i="1"/>
  <c r="H8" i="1" s="1"/>
  <c r="H10" i="1"/>
  <c r="H13" i="1"/>
  <c r="L15" i="1"/>
  <c r="M15" i="1" s="1"/>
  <c r="G16" i="1"/>
  <c r="AN16" i="1" s="1"/>
  <c r="AL16" i="1" s="1"/>
  <c r="L19" i="1"/>
  <c r="M19" i="1" s="1"/>
  <c r="L23" i="1"/>
  <c r="M23" i="1" s="1"/>
  <c r="L26" i="1"/>
  <c r="M26" i="1" s="1"/>
  <c r="G33" i="1"/>
  <c r="AM33" i="1" s="1"/>
  <c r="G16" i="16"/>
  <c r="Q34" i="28"/>
  <c r="U34" i="28" s="1"/>
  <c r="Q11" i="28"/>
  <c r="M14" i="1"/>
  <c r="G38" i="9"/>
  <c r="M4" i="1"/>
  <c r="Q5" i="1"/>
  <c r="L5" i="1"/>
  <c r="M5" i="1" s="1"/>
  <c r="G6" i="1"/>
  <c r="G9" i="1"/>
  <c r="H9" i="1" s="1"/>
  <c r="L12" i="1"/>
  <c r="M12" i="1" s="1"/>
  <c r="G21" i="1"/>
  <c r="M22" i="1"/>
  <c r="G29" i="1"/>
  <c r="AM29" i="1" s="1"/>
  <c r="M33" i="1"/>
  <c r="E29" i="15"/>
  <c r="Y36" i="28"/>
  <c r="Q27" i="28"/>
  <c r="F16" i="15"/>
  <c r="Q11" i="1"/>
  <c r="AN11" i="1"/>
  <c r="H11" i="1"/>
  <c r="F36" i="30"/>
  <c r="F34" i="15"/>
  <c r="F28" i="15"/>
  <c r="G28" i="15" s="1"/>
  <c r="F53" i="15"/>
  <c r="F43" i="15"/>
  <c r="G43" i="15" s="1"/>
  <c r="F32" i="15"/>
  <c r="H14" i="1"/>
  <c r="Q10" i="1"/>
  <c r="AN10" i="1"/>
  <c r="AL10" i="1" s="1"/>
  <c r="Q24" i="1"/>
  <c r="AM24" i="1"/>
  <c r="G39" i="9"/>
  <c r="E11" i="10"/>
  <c r="G11" i="10" s="1"/>
  <c r="G42" i="9"/>
  <c r="Q6" i="1"/>
  <c r="AN6" i="1"/>
  <c r="H6" i="1"/>
  <c r="AB37" i="1"/>
  <c r="E42" i="15" s="1"/>
  <c r="Q27" i="1"/>
  <c r="AM27" i="1"/>
  <c r="Q30" i="1"/>
  <c r="AM30" i="1"/>
  <c r="H30" i="1"/>
  <c r="Q31" i="1"/>
  <c r="AM31" i="1"/>
  <c r="H31" i="1"/>
  <c r="U16" i="28"/>
  <c r="W13" i="28"/>
  <c r="Q17" i="1"/>
  <c r="AM17" i="1"/>
  <c r="H17" i="1"/>
  <c r="Q14" i="1"/>
  <c r="AM14" i="1"/>
  <c r="Q7" i="1"/>
  <c r="H7" i="1"/>
  <c r="Q8" i="1"/>
  <c r="AN9" i="1"/>
  <c r="AL9" i="1" s="1"/>
  <c r="N37" i="1"/>
  <c r="Z9" i="1"/>
  <c r="H12" i="1"/>
  <c r="L20" i="1"/>
  <c r="M20" i="1" s="1"/>
  <c r="L32" i="1"/>
  <c r="M32" i="1" s="1"/>
  <c r="Q30" i="28"/>
  <c r="AI30" i="28"/>
  <c r="AH30" i="28"/>
  <c r="F31" i="30"/>
  <c r="G31" i="30" s="1"/>
  <c r="D39" i="14"/>
  <c r="Z37" i="1"/>
  <c r="E25" i="10"/>
  <c r="G25" i="10" s="1"/>
  <c r="G53" i="9"/>
  <c r="Q16" i="1"/>
  <c r="Q26" i="1"/>
  <c r="H26" i="1"/>
  <c r="Q33" i="1"/>
  <c r="G54" i="9"/>
  <c r="E26" i="10"/>
  <c r="G26" i="10" s="1"/>
  <c r="AF37" i="1"/>
  <c r="Y9" i="1"/>
  <c r="Y37" i="1" s="1"/>
  <c r="Q22" i="1"/>
  <c r="H22" i="1"/>
  <c r="Q19" i="1"/>
  <c r="H19" i="1"/>
  <c r="Q15" i="1"/>
  <c r="AN15" i="1"/>
  <c r="AL15" i="1" s="1"/>
  <c r="E20" i="10"/>
  <c r="G20" i="10" s="1"/>
  <c r="G48" i="9"/>
  <c r="Q18" i="1"/>
  <c r="AN18" i="1"/>
  <c r="H20" i="1"/>
  <c r="E67" i="13"/>
  <c r="Q23" i="1"/>
  <c r="AM23" i="1"/>
  <c r="AM32" i="1"/>
  <c r="H32" i="1"/>
  <c r="R15" i="28"/>
  <c r="T15" i="28" s="1"/>
  <c r="V15" i="28" s="1"/>
  <c r="W15" i="28"/>
  <c r="U15" i="28"/>
  <c r="G21" i="16"/>
  <c r="M6" i="28"/>
  <c r="Q6" i="28"/>
  <c r="Q28" i="1"/>
  <c r="Q22" i="28"/>
  <c r="AH22" i="28"/>
  <c r="Q13" i="1"/>
  <c r="Q25" i="1"/>
  <c r="R34" i="28"/>
  <c r="T34" i="28" s="1"/>
  <c r="V34" i="28" s="1"/>
  <c r="E29" i="30"/>
  <c r="H13" i="28"/>
  <c r="H27" i="28"/>
  <c r="F19" i="30"/>
  <c r="H23" i="28"/>
  <c r="AH34" i="28"/>
  <c r="E33" i="30" s="1"/>
  <c r="AI10" i="28"/>
  <c r="AG10" i="28" s="1"/>
  <c r="AG36" i="28" s="1"/>
  <c r="AH23" i="28"/>
  <c r="Q24" i="28"/>
  <c r="Q25" i="28"/>
  <c r="Q31" i="28"/>
  <c r="Q23" i="28"/>
  <c r="AI26" i="28"/>
  <c r="AH27" i="28"/>
  <c r="Q28" i="28"/>
  <c r="F26" i="15"/>
  <c r="F24" i="15"/>
  <c r="F30" i="30"/>
  <c r="G30" i="30" s="1"/>
  <c r="F25" i="30"/>
  <c r="F44" i="30" l="1"/>
  <c r="G44" i="30" s="1"/>
  <c r="F22" i="15"/>
  <c r="F21" i="30"/>
  <c r="F42" i="15"/>
  <c r="G42" i="15" s="1"/>
  <c r="F29" i="30"/>
  <c r="G29" i="30" s="1"/>
  <c r="F38" i="30"/>
  <c r="G38" i="30" s="1"/>
  <c r="F23" i="30"/>
  <c r="H16" i="1"/>
  <c r="AN8" i="1"/>
  <c r="AL8" i="1" s="1"/>
  <c r="X5" i="1"/>
  <c r="U5" i="1"/>
  <c r="R5" i="1"/>
  <c r="T5" i="1" s="1"/>
  <c r="W5" i="1" s="1"/>
  <c r="E21" i="10"/>
  <c r="G21" i="10" s="1"/>
  <c r="G49" i="9"/>
  <c r="W27" i="28"/>
  <c r="U27" i="28"/>
  <c r="R27" i="28"/>
  <c r="T27" i="28" s="1"/>
  <c r="V27" i="28" s="1"/>
  <c r="H33" i="1"/>
  <c r="AL33" i="1"/>
  <c r="AL37" i="1" s="1"/>
  <c r="U14" i="28"/>
  <c r="R14" i="28"/>
  <c r="T14" i="28" s="1"/>
  <c r="V14" i="28" s="1"/>
  <c r="W14" i="28"/>
  <c r="F30" i="15"/>
  <c r="G30" i="15" s="1"/>
  <c r="E87" i="13"/>
  <c r="H29" i="1"/>
  <c r="Q12" i="1"/>
  <c r="Q9" i="1"/>
  <c r="G36" i="30"/>
  <c r="W38" i="28"/>
  <c r="E42" i="30"/>
  <c r="E11" i="32" s="1"/>
  <c r="G11" i="32" s="1"/>
  <c r="W11" i="28"/>
  <c r="U11" i="28"/>
  <c r="R11" i="28"/>
  <c r="T11" i="28" s="1"/>
  <c r="V11" i="28" s="1"/>
  <c r="W21" i="28"/>
  <c r="U21" i="28"/>
  <c r="R21" i="28"/>
  <c r="T21" i="28" s="1"/>
  <c r="V21" i="28" s="1"/>
  <c r="U34" i="1"/>
  <c r="R34" i="1"/>
  <c r="T34" i="1" s="1"/>
  <c r="V34" i="1"/>
  <c r="U33" i="28"/>
  <c r="R33" i="28"/>
  <c r="T33" i="28" s="1"/>
  <c r="U19" i="28"/>
  <c r="R19" i="28"/>
  <c r="T19" i="28" s="1"/>
  <c r="V19" i="28" s="1"/>
  <c r="U4" i="1"/>
  <c r="R4" i="1"/>
  <c r="T4" i="1" s="1"/>
  <c r="W4" i="1" s="1"/>
  <c r="X4" i="1"/>
  <c r="U32" i="28"/>
  <c r="R32" i="28"/>
  <c r="T32" i="28" s="1"/>
  <c r="U8" i="28"/>
  <c r="V8" i="28"/>
  <c r="R8" i="28"/>
  <c r="T8" i="28" s="1"/>
  <c r="W8" i="28" s="1"/>
  <c r="V16" i="28"/>
  <c r="R16" i="28"/>
  <c r="T16" i="28" s="1"/>
  <c r="U10" i="28"/>
  <c r="W10" i="28"/>
  <c r="F43" i="30"/>
  <c r="G43" i="30" s="1"/>
  <c r="F45" i="15"/>
  <c r="U18" i="28"/>
  <c r="R18" i="28"/>
  <c r="T18" i="28" s="1"/>
  <c r="V18" i="28" s="1"/>
  <c r="W18" i="28"/>
  <c r="AH36" i="28"/>
  <c r="E32" i="30" s="1"/>
  <c r="E34" i="30" s="1"/>
  <c r="Q32" i="1"/>
  <c r="V10" i="28"/>
  <c r="Q29" i="1"/>
  <c r="Q21" i="1"/>
  <c r="H21" i="1"/>
  <c r="AM21" i="1"/>
  <c r="E44" i="30"/>
  <c r="E13" i="32" s="1"/>
  <c r="G13" i="32" s="1"/>
  <c r="E14" i="32"/>
  <c r="G14" i="32" s="1"/>
  <c r="R26" i="28"/>
  <c r="T26" i="28" s="1"/>
  <c r="W26" i="28" s="1"/>
  <c r="V26" i="28"/>
  <c r="U26" i="28"/>
  <c r="F18" i="30"/>
  <c r="F19" i="15"/>
  <c r="F44" i="15"/>
  <c r="G44" i="15" s="1"/>
  <c r="F23" i="15"/>
  <c r="F22" i="30"/>
  <c r="F45" i="30"/>
  <c r="G45" i="30" s="1"/>
  <c r="F51" i="15"/>
  <c r="F48" i="15"/>
  <c r="G48" i="15" s="1"/>
  <c r="F47" i="15"/>
  <c r="G47" i="15" s="1"/>
  <c r="R6" i="28"/>
  <c r="T6" i="28" s="1"/>
  <c r="V6" i="28" s="1"/>
  <c r="U6" i="28"/>
  <c r="W6" i="28"/>
  <c r="U16" i="1"/>
  <c r="X16" i="1"/>
  <c r="R16" i="1"/>
  <c r="T16" i="1" s="1"/>
  <c r="W16" i="1" s="1"/>
  <c r="G71" i="9"/>
  <c r="E8" i="9"/>
  <c r="AM37" i="1"/>
  <c r="U10" i="1"/>
  <c r="X10" i="1"/>
  <c r="R10" i="1"/>
  <c r="T10" i="1" s="1"/>
  <c r="W10" i="1" s="1"/>
  <c r="F41" i="15"/>
  <c r="F20" i="15"/>
  <c r="W34" i="28"/>
  <c r="F9" i="15"/>
  <c r="G9" i="15" s="1"/>
  <c r="G8" i="15" s="1"/>
  <c r="F9" i="30"/>
  <c r="G9" i="30" s="1"/>
  <c r="G8" i="30" s="1"/>
  <c r="W25" i="28"/>
  <c r="R25" i="28"/>
  <c r="T25" i="28" s="1"/>
  <c r="V25" i="28" s="1"/>
  <c r="U25" i="28"/>
  <c r="R25" i="1"/>
  <c r="T25" i="1" s="1"/>
  <c r="U25" i="1"/>
  <c r="U22" i="28"/>
  <c r="R22" i="28"/>
  <c r="T22" i="28" s="1"/>
  <c r="W22" i="28" s="1"/>
  <c r="U32" i="1"/>
  <c r="R32" i="1"/>
  <c r="T32" i="1" s="1"/>
  <c r="V32" i="1"/>
  <c r="X18" i="1"/>
  <c r="R18" i="1"/>
  <c r="T18" i="1" s="1"/>
  <c r="W18" i="1" s="1"/>
  <c r="U18" i="1"/>
  <c r="U15" i="1"/>
  <c r="R15" i="1"/>
  <c r="T15" i="1" s="1"/>
  <c r="W15" i="1" s="1"/>
  <c r="X15" i="1"/>
  <c r="R22" i="1"/>
  <c r="T22" i="1" s="1"/>
  <c r="W22" i="1" s="1"/>
  <c r="U22" i="1"/>
  <c r="X22" i="1"/>
  <c r="X8" i="1"/>
  <c r="R8" i="1"/>
  <c r="T8" i="1" s="1"/>
  <c r="W8" i="1" s="1"/>
  <c r="U8" i="1"/>
  <c r="R14" i="1"/>
  <c r="T14" i="1" s="1"/>
  <c r="W14" i="1" s="1"/>
  <c r="X14" i="1"/>
  <c r="U14" i="1"/>
  <c r="X17" i="1"/>
  <c r="R17" i="1"/>
  <c r="T17" i="1" s="1"/>
  <c r="W17" i="1" s="1"/>
  <c r="U17" i="1"/>
  <c r="U27" i="1"/>
  <c r="R27" i="1"/>
  <c r="T27" i="1" s="1"/>
  <c r="U6" i="1"/>
  <c r="X6" i="1"/>
  <c r="R6" i="1"/>
  <c r="T6" i="1" s="1"/>
  <c r="W6" i="1" s="1"/>
  <c r="F40" i="15"/>
  <c r="F42" i="30"/>
  <c r="G42" i="30" s="1"/>
  <c r="U31" i="28"/>
  <c r="W31" i="28"/>
  <c r="R31" i="28"/>
  <c r="T31" i="28" s="1"/>
  <c r="V31" i="28" s="1"/>
  <c r="E45" i="15"/>
  <c r="E36" i="15"/>
  <c r="E47" i="9"/>
  <c r="E34" i="15"/>
  <c r="G34" i="15" s="1"/>
  <c r="R30" i="28"/>
  <c r="T30" i="28" s="1"/>
  <c r="V30" i="28" s="1"/>
  <c r="U30" i="28"/>
  <c r="W30" i="28"/>
  <c r="U31" i="1"/>
  <c r="R31" i="1"/>
  <c r="T31" i="1" s="1"/>
  <c r="X31" i="1" s="1"/>
  <c r="F17" i="15"/>
  <c r="R24" i="28"/>
  <c r="T24" i="28" s="1"/>
  <c r="U24" i="28"/>
  <c r="X13" i="1"/>
  <c r="R13" i="1"/>
  <c r="T13" i="1" s="1"/>
  <c r="W13" i="1" s="1"/>
  <c r="U13" i="1"/>
  <c r="R28" i="1"/>
  <c r="T28" i="1" s="1"/>
  <c r="U28" i="1"/>
  <c r="U26" i="1"/>
  <c r="R26" i="1"/>
  <c r="T26" i="1" s="1"/>
  <c r="X12" i="1"/>
  <c r="U12" i="1"/>
  <c r="R12" i="1"/>
  <c r="T12" i="1" s="1"/>
  <c r="W12" i="1" s="1"/>
  <c r="U9" i="1"/>
  <c r="X9" i="1"/>
  <c r="R9" i="1"/>
  <c r="T9" i="1" s="1"/>
  <c r="W9" i="1" s="1"/>
  <c r="AI36" i="28"/>
  <c r="R24" i="1"/>
  <c r="T24" i="1" s="1"/>
  <c r="W24" i="1"/>
  <c r="U24" i="1"/>
  <c r="X24" i="1"/>
  <c r="F49" i="15"/>
  <c r="G49" i="15" s="1"/>
  <c r="U28" i="28"/>
  <c r="R28" i="28"/>
  <c r="T28" i="28" s="1"/>
  <c r="V28" i="28" s="1"/>
  <c r="W28" i="28"/>
  <c r="U33" i="1"/>
  <c r="V33" i="1"/>
  <c r="R33" i="1"/>
  <c r="T33" i="1" s="1"/>
  <c r="W33" i="1" s="1"/>
  <c r="U23" i="28"/>
  <c r="R23" i="28"/>
  <c r="T23" i="28" s="1"/>
  <c r="R23" i="1"/>
  <c r="T23" i="1" s="1"/>
  <c r="W23" i="1" s="1"/>
  <c r="X23" i="1"/>
  <c r="U23" i="1"/>
  <c r="Q20" i="1"/>
  <c r="R19" i="1"/>
  <c r="T19" i="1" s="1"/>
  <c r="X19" i="1" s="1"/>
  <c r="U19" i="1"/>
  <c r="E36" i="9"/>
  <c r="E39" i="15"/>
  <c r="E40" i="15"/>
  <c r="E37" i="9"/>
  <c r="X39" i="1"/>
  <c r="R29" i="1"/>
  <c r="T29" i="1" s="1"/>
  <c r="U29" i="1"/>
  <c r="X7" i="1"/>
  <c r="R7" i="1"/>
  <c r="T7" i="1" s="1"/>
  <c r="W7" i="1" s="1"/>
  <c r="U7" i="1"/>
  <c r="U30" i="1"/>
  <c r="R30" i="1"/>
  <c r="T30" i="1" s="1"/>
  <c r="X30" i="1" s="1"/>
  <c r="F46" i="30"/>
  <c r="G46" i="30" s="1"/>
  <c r="F52" i="15"/>
  <c r="R11" i="1"/>
  <c r="T11" i="1" s="1"/>
  <c r="W11" i="1" s="1"/>
  <c r="U11" i="1"/>
  <c r="X11" i="1"/>
  <c r="F29" i="15"/>
  <c r="G29" i="15" s="1"/>
  <c r="F28" i="30"/>
  <c r="G28" i="30" s="1"/>
  <c r="F46" i="15" l="1"/>
  <c r="G46" i="15" s="1"/>
  <c r="F50" i="15"/>
  <c r="F36" i="15"/>
  <c r="G36" i="15" s="1"/>
  <c r="G40" i="15"/>
  <c r="W33" i="28"/>
  <c r="V33" i="28"/>
  <c r="AN37" i="1"/>
  <c r="U21" i="1"/>
  <c r="R21" i="1"/>
  <c r="T21" i="1" s="1"/>
  <c r="W21" i="1" s="1"/>
  <c r="X21" i="1"/>
  <c r="U36" i="28"/>
  <c r="E16" i="30" s="1"/>
  <c r="W31" i="1"/>
  <c r="W19" i="28"/>
  <c r="E31" i="15"/>
  <c r="E32" i="15" s="1"/>
  <c r="E58" i="13" s="1"/>
  <c r="W32" i="28"/>
  <c r="V32" i="28"/>
  <c r="X34" i="1"/>
  <c r="W34" i="1"/>
  <c r="G9" i="32"/>
  <c r="G17" i="32" s="1"/>
  <c r="G16" i="30"/>
  <c r="G15" i="30" s="1"/>
  <c r="F41" i="30"/>
  <c r="G41" i="30" s="1"/>
  <c r="G40" i="30" s="1"/>
  <c r="F39" i="15"/>
  <c r="G39" i="15" s="1"/>
  <c r="V23" i="28"/>
  <c r="W23" i="28"/>
  <c r="F11" i="16"/>
  <c r="G11" i="16" s="1"/>
  <c r="G41" i="15"/>
  <c r="W30" i="1"/>
  <c r="W29" i="1"/>
  <c r="X29" i="1"/>
  <c r="E9" i="13"/>
  <c r="E61" i="13"/>
  <c r="D36" i="14"/>
  <c r="E8" i="16"/>
  <c r="G8" i="16" s="1"/>
  <c r="X28" i="1"/>
  <c r="W28" i="1"/>
  <c r="W24" i="28"/>
  <c r="V24" i="28"/>
  <c r="D38" i="14"/>
  <c r="E52" i="15"/>
  <c r="E83" i="13"/>
  <c r="G45" i="15"/>
  <c r="E17" i="16"/>
  <c r="G17" i="16" s="1"/>
  <c r="E51" i="15"/>
  <c r="W27" i="1"/>
  <c r="X27" i="1"/>
  <c r="W32" i="1"/>
  <c r="X32" i="1"/>
  <c r="V22" i="28"/>
  <c r="G37" i="9"/>
  <c r="E9" i="10"/>
  <c r="G9" i="10" s="1"/>
  <c r="W19" i="1"/>
  <c r="E19" i="10"/>
  <c r="G19" i="10" s="1"/>
  <c r="G47" i="9"/>
  <c r="X25" i="1"/>
  <c r="W25" i="1"/>
  <c r="G8" i="9"/>
  <c r="G7" i="9" s="1"/>
  <c r="E22" i="9"/>
  <c r="G22" i="9" s="1"/>
  <c r="X33" i="1"/>
  <c r="G36" i="9"/>
  <c r="G35" i="9" s="1"/>
  <c r="E8" i="10"/>
  <c r="G8" i="10" s="1"/>
  <c r="G7" i="10" s="1"/>
  <c r="G28" i="10" s="1"/>
  <c r="G29" i="10" s="1"/>
  <c r="G30" i="10" s="1"/>
  <c r="X20" i="1"/>
  <c r="U20" i="1"/>
  <c r="R20" i="1"/>
  <c r="T20" i="1" s="1"/>
  <c r="W20" i="1" s="1"/>
  <c r="E35" i="15"/>
  <c r="D37" i="14"/>
  <c r="E63" i="13"/>
  <c r="E9" i="16"/>
  <c r="G9" i="16" s="1"/>
  <c r="X26" i="1"/>
  <c r="W26" i="1"/>
  <c r="E37" i="15"/>
  <c r="U37" i="1"/>
  <c r="E16" i="15" s="1"/>
  <c r="D12" i="14" s="1"/>
  <c r="V37" i="1"/>
  <c r="G34" i="30"/>
  <c r="W36" i="28"/>
  <c r="E19" i="30" s="1"/>
  <c r="G19" i="30" s="1"/>
  <c r="F33" i="30"/>
  <c r="G33" i="30" s="1"/>
  <c r="G32" i="15" l="1"/>
  <c r="D34" i="14"/>
  <c r="X37" i="1"/>
  <c r="V36" i="28"/>
  <c r="E18" i="30" s="1"/>
  <c r="G18" i="30" s="1"/>
  <c r="G17" i="30" s="1"/>
  <c r="W37" i="1"/>
  <c r="E19" i="15" s="1"/>
  <c r="E21" i="30"/>
  <c r="G21" i="30" s="1"/>
  <c r="G20" i="30" s="1"/>
  <c r="E23" i="30"/>
  <c r="G23" i="30" s="1"/>
  <c r="E22" i="30"/>
  <c r="G22" i="30" s="1"/>
  <c r="E18" i="9"/>
  <c r="G18" i="9" s="1"/>
  <c r="E20" i="15"/>
  <c r="D16" i="14" s="1"/>
  <c r="E19" i="13"/>
  <c r="E50" i="15"/>
  <c r="G51" i="15"/>
  <c r="E53" i="15"/>
  <c r="G52" i="15"/>
  <c r="G16" i="15"/>
  <c r="E15" i="9"/>
  <c r="G15" i="9" s="1"/>
  <c r="E17" i="15"/>
  <c r="G31" i="10"/>
  <c r="G32" i="10"/>
  <c r="G33" i="10" s="1"/>
  <c r="G34" i="10" s="1"/>
  <c r="G7" i="16"/>
  <c r="G25" i="16" s="1"/>
  <c r="G26" i="16" s="1"/>
  <c r="G27" i="16" s="1"/>
  <c r="G29" i="16" s="1"/>
  <c r="G30" i="16" s="1"/>
  <c r="G31" i="16" s="1"/>
  <c r="G32" i="16" s="1"/>
  <c r="G33" i="16" s="1"/>
  <c r="F32" i="30"/>
  <c r="G32" i="30" s="1"/>
  <c r="F31" i="15"/>
  <c r="G31" i="15" s="1"/>
  <c r="E24" i="15" l="1"/>
  <c r="D15" i="14"/>
  <c r="E22" i="15"/>
  <c r="G22" i="15" s="1"/>
  <c r="G21" i="15" s="1"/>
  <c r="E24" i="13"/>
  <c r="E23" i="15"/>
  <c r="G23" i="15" s="1"/>
  <c r="G20" i="15"/>
  <c r="E17" i="9"/>
  <c r="E20" i="9" s="1"/>
  <c r="G20" i="9" s="1"/>
  <c r="G19" i="9" s="1"/>
  <c r="E26" i="13"/>
  <c r="G24" i="15"/>
  <c r="G19" i="15"/>
  <c r="G18" i="15" s="1"/>
  <c r="H20" i="15"/>
  <c r="G35" i="10"/>
  <c r="G36" i="10" s="1"/>
  <c r="E25" i="30"/>
  <c r="G25" i="30" s="1"/>
  <c r="G24" i="30" s="1"/>
  <c r="G14" i="30" s="1"/>
  <c r="G50" i="15"/>
  <c r="G38" i="15" s="1"/>
  <c r="E21" i="13"/>
  <c r="G17" i="15"/>
  <c r="G15" i="15" s="1"/>
  <c r="D13" i="14"/>
  <c r="G53" i="15"/>
  <c r="E26" i="15"/>
  <c r="D23" i="14" s="1"/>
  <c r="D21" i="14"/>
  <c r="E35" i="13"/>
  <c r="D19" i="14"/>
  <c r="E31" i="13"/>
  <c r="F33" i="15"/>
  <c r="G33" i="15" s="1"/>
  <c r="F35" i="30"/>
  <c r="G35" i="30" s="1"/>
  <c r="H23" i="15" l="1"/>
  <c r="I23" i="15" s="1"/>
  <c r="G17" i="9"/>
  <c r="G16" i="9" s="1"/>
  <c r="E29" i="13"/>
  <c r="E21" i="9"/>
  <c r="D18" i="14"/>
  <c r="E24" i="9"/>
  <c r="G24" i="9" s="1"/>
  <c r="G23" i="9" s="1"/>
  <c r="G12" i="9" s="1"/>
  <c r="G57" i="9" s="1"/>
  <c r="G21" i="9"/>
  <c r="E38" i="13"/>
  <c r="G26" i="15"/>
  <c r="G25" i="15" s="1"/>
  <c r="G14" i="15" s="1"/>
  <c r="F35" i="15"/>
  <c r="G35" i="15" s="1"/>
  <c r="F37" i="30"/>
  <c r="G37" i="30" s="1"/>
  <c r="F39" i="30"/>
  <c r="G39" i="30" s="1"/>
  <c r="F37" i="15"/>
  <c r="G37" i="15" s="1"/>
  <c r="G60" i="9" l="1"/>
  <c r="G61" i="9" s="1"/>
  <c r="G62" i="9"/>
  <c r="G64" i="9" s="1"/>
  <c r="G59" i="9"/>
  <c r="G58" i="9"/>
  <c r="G26" i="30"/>
  <c r="G48" i="30" s="1"/>
  <c r="G27" i="15"/>
  <c r="G54" i="15" s="1"/>
  <c r="I3" i="3" s="1"/>
  <c r="G65" i="9" l="1"/>
  <c r="G66" i="9"/>
  <c r="G68" i="9" s="1"/>
  <c r="G17" i="3"/>
  <c r="I17" i="3" s="1"/>
  <c r="H17" i="3" s="1"/>
  <c r="H52" i="3"/>
  <c r="G48" i="3"/>
  <c r="I48" i="3" s="1"/>
  <c r="H48" i="3" s="1"/>
  <c r="H47" i="3" s="1"/>
  <c r="G16" i="3"/>
  <c r="I16" i="3" s="1"/>
  <c r="H16" i="3" s="1"/>
  <c r="H51" i="3"/>
  <c r="H41" i="3"/>
  <c r="H59" i="3"/>
  <c r="H58" i="3"/>
  <c r="H8" i="3"/>
  <c r="K46" i="3"/>
  <c r="H29" i="3"/>
  <c r="H44" i="3"/>
  <c r="H9" i="3"/>
  <c r="G15" i="3"/>
  <c r="I15" i="3" s="1"/>
  <c r="H15" i="3" s="1"/>
  <c r="H32" i="3"/>
  <c r="H38" i="3"/>
  <c r="H28" i="3"/>
  <c r="H33" i="3"/>
  <c r="H31" i="3"/>
  <c r="H27" i="3"/>
  <c r="G14" i="3"/>
  <c r="I14" i="3" s="1"/>
  <c r="H14" i="3" s="1"/>
  <c r="H12" i="3"/>
  <c r="H35" i="3"/>
  <c r="H30" i="3"/>
  <c r="H42" i="3"/>
  <c r="G18" i="3"/>
  <c r="I18" i="3" s="1"/>
  <c r="H18" i="3" s="1"/>
  <c r="H54" i="3"/>
  <c r="G23" i="3"/>
  <c r="I23" i="3" s="1"/>
  <c r="H23" i="3" s="1"/>
  <c r="H53" i="3"/>
  <c r="K48" i="3"/>
  <c r="H40" i="3"/>
  <c r="G24" i="3"/>
  <c r="I24" i="3" s="1"/>
  <c r="H24" i="3" s="1"/>
  <c r="H60" i="3"/>
  <c r="H11" i="3"/>
  <c r="H37" i="3"/>
  <c r="H56" i="3"/>
  <c r="H57" i="3"/>
  <c r="H34" i="3"/>
  <c r="H55" i="3"/>
  <c r="H39" i="3"/>
  <c r="H10" i="3"/>
  <c r="H43" i="3"/>
  <c r="H26" i="3"/>
  <c r="H50" i="3"/>
  <c r="G21" i="3"/>
  <c r="I21" i="3" s="1"/>
  <c r="H21" i="3" s="1"/>
  <c r="H22" i="3"/>
  <c r="H19" i="3"/>
  <c r="H61" i="3"/>
  <c r="G46" i="3"/>
  <c r="I46" i="3" s="1"/>
  <c r="H68" i="9" l="1"/>
  <c r="H70" i="9" s="1"/>
  <c r="G72" i="9"/>
  <c r="H49" i="3"/>
  <c r="H6" i="3" s="1"/>
  <c r="H63" i="3" s="1"/>
  <c r="Q46" i="1" l="1"/>
</calcChain>
</file>

<file path=xl/comments1.xml><?xml version="1.0" encoding="utf-8"?>
<comments xmlns="http://schemas.openxmlformats.org/spreadsheetml/2006/main">
  <authors>
    <author>MARIA ISABEL ORTIZ CORREA</author>
  </authors>
  <commentList>
    <comment ref="L27" authorId="0" shapeId="0">
      <text>
        <r>
          <rPr>
            <b/>
            <sz val="9"/>
            <color indexed="81"/>
            <rFont val="Tahoma"/>
            <family val="2"/>
          </rPr>
          <t>MARIA ISABEL ORTIZ CORREA:</t>
        </r>
        <r>
          <rPr>
            <sz val="9"/>
            <color indexed="81"/>
            <rFont val="Tahoma"/>
            <family val="2"/>
          </rPr>
          <t xml:space="preserve">
12"</t>
        </r>
      </text>
    </comment>
  </commentList>
</comments>
</file>

<file path=xl/comments2.xml><?xml version="1.0" encoding="utf-8"?>
<comments xmlns="http://schemas.openxmlformats.org/spreadsheetml/2006/main">
  <authors>
    <author>MARIA ISABEL ORTIZ CORREA</author>
  </authors>
  <commentList>
    <comment ref="AF2" authorId="0" shapeId="0">
      <text>
        <r>
          <rPr>
            <b/>
            <sz val="9"/>
            <color indexed="81"/>
            <rFont val="Tahoma"/>
            <family val="2"/>
          </rPr>
          <t>MARIA ISABEL ORTIZ CORREA:</t>
        </r>
        <r>
          <rPr>
            <sz val="9"/>
            <color indexed="81"/>
            <rFont val="Tahoma"/>
            <family val="2"/>
          </rPr>
          <t xml:space="preserve">
cálculo altura cámara inicial</t>
        </r>
      </text>
    </comment>
    <comment ref="AF6" authorId="0" shapeId="0">
      <text>
        <r>
          <rPr>
            <b/>
            <sz val="9"/>
            <color indexed="81"/>
            <rFont val="Tahoma"/>
            <family val="2"/>
          </rPr>
          <t>MARIA ISABEL ORTIZ CORREA:</t>
        </r>
        <r>
          <rPr>
            <sz val="9"/>
            <color indexed="81"/>
            <rFont val="Tahoma"/>
            <family val="2"/>
          </rPr>
          <t xml:space="preserve">
N</t>
        </r>
      </text>
    </comment>
    <comment ref="AF7" authorId="0" shapeId="0">
      <text>
        <r>
          <rPr>
            <b/>
            <sz val="9"/>
            <color indexed="81"/>
            <rFont val="Tahoma"/>
            <family val="2"/>
          </rPr>
          <t>MARIA ISABEL ORTIZ CORREA:</t>
        </r>
        <r>
          <rPr>
            <sz val="9"/>
            <color indexed="81"/>
            <rFont val="Tahoma"/>
            <family val="2"/>
          </rPr>
          <t xml:space="preserve">
N</t>
        </r>
      </text>
    </comment>
    <comment ref="AF8" authorId="0" shapeId="0">
      <text>
        <r>
          <rPr>
            <b/>
            <sz val="9"/>
            <color indexed="81"/>
            <rFont val="Tahoma"/>
            <family val="2"/>
          </rPr>
          <t>MARIA ISABEL ORTIZ CORREA:</t>
        </r>
        <r>
          <rPr>
            <sz val="9"/>
            <color indexed="81"/>
            <rFont val="Tahoma"/>
            <family val="2"/>
          </rPr>
          <t xml:space="preserve">
N</t>
        </r>
      </text>
    </comment>
    <comment ref="D14" authorId="0" shapeId="0">
      <text>
        <r>
          <rPr>
            <b/>
            <sz val="9"/>
            <color indexed="81"/>
            <rFont val="Tahoma"/>
            <family val="2"/>
          </rPr>
          <t>MARIA ISABEL ORTIZ CORREA:</t>
        </r>
        <r>
          <rPr>
            <sz val="9"/>
            <color indexed="81"/>
            <rFont val="Tahoma"/>
            <family val="2"/>
          </rPr>
          <t xml:space="preserve">
esta cámara es nueva</t>
        </r>
      </text>
    </comment>
    <comment ref="D21" authorId="0" shapeId="0">
      <text>
        <r>
          <rPr>
            <b/>
            <sz val="9"/>
            <color indexed="81"/>
            <rFont val="Tahoma"/>
            <family val="2"/>
          </rPr>
          <t>MARIA ISABEL ORTIZ CORREA:</t>
        </r>
        <r>
          <rPr>
            <sz val="9"/>
            <color indexed="81"/>
            <rFont val="Tahoma"/>
            <family val="2"/>
          </rPr>
          <t xml:space="preserve">
SE INCLUYE COMO NUEVA POR LO DE LLUVIAS</t>
        </r>
      </text>
    </comment>
    <comment ref="AF21" authorId="0" shapeId="0">
      <text>
        <r>
          <rPr>
            <b/>
            <sz val="9"/>
            <color indexed="81"/>
            <rFont val="Tahoma"/>
            <family val="2"/>
          </rPr>
          <t>MARIA ISABEL ORTIZ CORREA:</t>
        </r>
        <r>
          <rPr>
            <sz val="9"/>
            <color indexed="81"/>
            <rFont val="Tahoma"/>
            <family val="2"/>
          </rPr>
          <t xml:space="preserve">
N</t>
        </r>
      </text>
    </comment>
    <comment ref="AB34" authorId="0" shapeId="0">
      <text>
        <r>
          <rPr>
            <b/>
            <sz val="9"/>
            <color indexed="81"/>
            <rFont val="Tahoma"/>
            <family val="2"/>
          </rPr>
          <t>MARIA ISABEL ORTIZ CORREA:</t>
        </r>
        <r>
          <rPr>
            <sz val="9"/>
            <color indexed="81"/>
            <rFont val="Tahoma"/>
            <family val="2"/>
          </rPr>
          <t xml:space="preserve">
Cálcular con la cota batea del 007</t>
        </r>
      </text>
    </comment>
  </commentList>
</comments>
</file>

<file path=xl/comments3.xml><?xml version="1.0" encoding="utf-8"?>
<comments xmlns="http://schemas.openxmlformats.org/spreadsheetml/2006/main">
  <authors>
    <author>Leandro</author>
  </authors>
  <commentList>
    <comment ref="AO2" authorId="0" shapeId="0">
      <text>
        <r>
          <rPr>
            <b/>
            <sz val="9"/>
            <color indexed="81"/>
            <rFont val="Tahoma"/>
            <family val="2"/>
          </rPr>
          <t>Leandro:</t>
        </r>
        <r>
          <rPr>
            <sz val="9"/>
            <color indexed="81"/>
            <rFont val="Tahoma"/>
            <family val="2"/>
          </rPr>
          <t xml:space="preserve">
en caso de construcción nueva u optimización, no se cuenta rotura y emboquillada, excepto cuando confieren varias redes</t>
        </r>
      </text>
    </comment>
    <comment ref="AN4" authorId="0" shapeId="0">
      <text>
        <r>
          <rPr>
            <b/>
            <sz val="9"/>
            <color indexed="81"/>
            <rFont val="Tahoma"/>
            <family val="2"/>
          </rPr>
          <t>Leandro:</t>
        </r>
        <r>
          <rPr>
            <sz val="9"/>
            <color indexed="81"/>
            <rFont val="Tahoma"/>
            <family val="2"/>
          </rPr>
          <t xml:space="preserve">
Se cuantifica para el mh inicial</t>
        </r>
      </text>
    </comment>
  </commentList>
</comments>
</file>

<file path=xl/comments4.xml><?xml version="1.0" encoding="utf-8"?>
<comments xmlns="http://schemas.openxmlformats.org/spreadsheetml/2006/main">
  <authors>
    <author>Administrador</author>
  </authors>
  <commentList>
    <comment ref="C23" authorId="0" shapeId="0">
      <text>
        <r>
          <rPr>
            <b/>
            <sz val="8"/>
            <color indexed="81"/>
            <rFont val="Tahoma"/>
            <family val="2"/>
          </rPr>
          <t>Administrador:</t>
        </r>
        <r>
          <rPr>
            <sz val="8"/>
            <color indexed="81"/>
            <rFont val="Tahoma"/>
            <family val="2"/>
          </rPr>
          <t xml:space="preserve">
Por orden de la subgerencia no se incluye este concepto</t>
        </r>
      </text>
    </comment>
  </commentList>
</comments>
</file>

<file path=xl/sharedStrings.xml><?xml version="1.0" encoding="utf-8"?>
<sst xmlns="http://schemas.openxmlformats.org/spreadsheetml/2006/main" count="1724" uniqueCount="619">
  <si>
    <t>C.I (INICIAL)</t>
  </si>
  <si>
    <t>LONGITUD (m)</t>
  </si>
  <si>
    <t>COTA TAPA (m)</t>
  </si>
  <si>
    <t>COTA BATEA (m)</t>
  </si>
  <si>
    <t>ANCHO PROMEDIO</t>
  </si>
  <si>
    <t>ALTURA  (M)</t>
  </si>
  <si>
    <t>ALTURA PROMEDIO</t>
  </si>
  <si>
    <t>AGUAS DE URABA S.A. E.S.P.</t>
  </si>
  <si>
    <t>ESPEC. NEGC</t>
  </si>
  <si>
    <t>ITEM</t>
  </si>
  <si>
    <t>DESCRIPCION</t>
  </si>
  <si>
    <t>UND</t>
  </si>
  <si>
    <t>CANTIDAD</t>
  </si>
  <si>
    <t>VALOR UNITARIO</t>
  </si>
  <si>
    <t>VALOR TOTAL</t>
  </si>
  <si>
    <t>PRELIMINARES</t>
  </si>
  <si>
    <t>104, 417</t>
  </si>
  <si>
    <t>1.1</t>
  </si>
  <si>
    <t>Localización y replanteo</t>
  </si>
  <si>
    <t>m</t>
  </si>
  <si>
    <t>DEMOLICION Y DESINSTALACION</t>
  </si>
  <si>
    <t>und</t>
  </si>
  <si>
    <t>m2</t>
  </si>
  <si>
    <t>MOVIMIENTO DE TIERRA</t>
  </si>
  <si>
    <t xml:space="preserve"> </t>
  </si>
  <si>
    <t>3.2</t>
  </si>
  <si>
    <t>EXCAVACIONES</t>
  </si>
  <si>
    <t>3.2.1</t>
  </si>
  <si>
    <t>Excavación material heterogéneo de 0 - 2m</t>
  </si>
  <si>
    <t>m3</t>
  </si>
  <si>
    <t>3.2.2</t>
  </si>
  <si>
    <t>Excavación material heterogéneo de 2 - 4m</t>
  </si>
  <si>
    <t>3.3</t>
  </si>
  <si>
    <t>LLENOS</t>
  </si>
  <si>
    <t>204, 204.A1</t>
  </si>
  <si>
    <t>3.3.1</t>
  </si>
  <si>
    <t>S.T.C. de lleno y apisonado de zanjas y apiques con material selecto de la excavación (incluye compactación)</t>
  </si>
  <si>
    <t>3.3.2</t>
  </si>
  <si>
    <t>S.T.C. de lleno y apisonado de zanjas y apiques con material de préstamo (incluye compactación)</t>
  </si>
  <si>
    <t>404, 803, 801</t>
  </si>
  <si>
    <t>3.3.3</t>
  </si>
  <si>
    <t>S.T.C. de lleno con arenilla</t>
  </si>
  <si>
    <t>DISPOSICION DE MATERIALES SOBRANTES</t>
  </si>
  <si>
    <t>3,4,1</t>
  </si>
  <si>
    <t>Cargue con maquinaria, retiro y disposición final de material sobrante a cualquier distancia</t>
  </si>
  <si>
    <t>PAVIMENTOS</t>
  </si>
  <si>
    <t>4.1</t>
  </si>
  <si>
    <t>S.T.C. de pavimento flexible (incluye cilindrada y riego de liga)</t>
  </si>
  <si>
    <t>300, 303</t>
  </si>
  <si>
    <t>4.4</t>
  </si>
  <si>
    <t>S,T,C, de base granular  Tmáx = 1 1/2" (incluye compactación, densidad mayor al 98% del proctor modificado) en zanjas y apiques.</t>
  </si>
  <si>
    <t>CONCRETOS</t>
  </si>
  <si>
    <t>Rotura y emboquillada de MH</t>
  </si>
  <si>
    <t>Suministro y colocación gancho en cámara de inspección.</t>
  </si>
  <si>
    <t>6.1</t>
  </si>
  <si>
    <t>SUMINISTRO</t>
  </si>
  <si>
    <t>803, 801.</t>
  </si>
  <si>
    <t>Tubería 6"</t>
  </si>
  <si>
    <t>Tubería 8"</t>
  </si>
  <si>
    <t>Tubería 10"</t>
  </si>
  <si>
    <t>Tubería 12"</t>
  </si>
  <si>
    <t>Tubería 14"</t>
  </si>
  <si>
    <t>Tubería 16"</t>
  </si>
  <si>
    <t>Tubería 18"</t>
  </si>
  <si>
    <t>Tubería 20"</t>
  </si>
  <si>
    <t>Tubería 26"</t>
  </si>
  <si>
    <t>6.2</t>
  </si>
  <si>
    <t xml:space="preserve"> 803, 801</t>
  </si>
  <si>
    <t>GEOREFERENCIACION</t>
  </si>
  <si>
    <t xml:space="preserve">Refererenciación de redes por elemento </t>
  </si>
  <si>
    <t>Subtotal costo directo</t>
  </si>
  <si>
    <t>Administración</t>
  </si>
  <si>
    <t>Imprevistos</t>
  </si>
  <si>
    <t>Utilidad</t>
  </si>
  <si>
    <t xml:space="preserve">IVA sobre utilidad </t>
  </si>
  <si>
    <t>impuesto de guerra</t>
  </si>
  <si>
    <t>UNIDAD</t>
  </si>
  <si>
    <t>un</t>
  </si>
  <si>
    <t>Día</t>
  </si>
  <si>
    <t>MUNICIPIO DE CAREPA</t>
  </si>
  <si>
    <t>300, 301</t>
  </si>
  <si>
    <t>Corte pavimento rígido</t>
  </si>
  <si>
    <t>2.3</t>
  </si>
  <si>
    <t>Corte pavimento flexible</t>
  </si>
  <si>
    <t>Demolición mecánica, retiro y botada de  pavimento flexible e = &lt;= 4"</t>
  </si>
  <si>
    <t>3.1</t>
  </si>
  <si>
    <t>ENTIBADOS</t>
  </si>
  <si>
    <t>3.1.1</t>
  </si>
  <si>
    <t>3.1.2</t>
  </si>
  <si>
    <t>801, 806, 814, 815</t>
  </si>
  <si>
    <t>Tubería 24"</t>
  </si>
  <si>
    <t xml:space="preserve">Entibado temporal &gt; 3.0m </t>
  </si>
  <si>
    <t xml:space="preserve">Entibado temporal &lt; 3.0m </t>
  </si>
  <si>
    <t>TOTALES</t>
  </si>
  <si>
    <t>2.6</t>
  </si>
  <si>
    <t>7.1</t>
  </si>
  <si>
    <t>6.3</t>
  </si>
  <si>
    <t>6.4</t>
  </si>
  <si>
    <t>6.5</t>
  </si>
  <si>
    <t>6.6</t>
  </si>
  <si>
    <t>6.7</t>
  </si>
  <si>
    <t>6.8</t>
  </si>
  <si>
    <t>6.9</t>
  </si>
  <si>
    <t>6.10</t>
  </si>
  <si>
    <t>6.11</t>
  </si>
  <si>
    <t>AIU</t>
  </si>
  <si>
    <t>IMPUESTO DE GUERRA</t>
  </si>
  <si>
    <t>VALOR TOTAL CON I. DE GUERRA</t>
  </si>
  <si>
    <t>Costo directo</t>
  </si>
  <si>
    <t>TOTAL CON AIU</t>
  </si>
  <si>
    <t>INTERVENTORIA</t>
  </si>
  <si>
    <t xml:space="preserve">VALOR TOTAL OBRAS   </t>
  </si>
  <si>
    <t>SEGUIMIENTO MAVDT</t>
  </si>
  <si>
    <t>VALOR TOTAL + SEGUIMIENTO</t>
  </si>
  <si>
    <t>COSTO TOTAL CON AIU</t>
  </si>
  <si>
    <t>COSTO TOTAL CON I DE GUERRA</t>
  </si>
  <si>
    <t>INERVENTORIA</t>
  </si>
  <si>
    <t>VALOR TOTAL SUMINISTRO</t>
  </si>
  <si>
    <t>VALOR TOTAL SUMINISTRO + SEGUIMIENTO</t>
  </si>
  <si>
    <t>OPTIMIZACION  REDES DE ALCANTARILLADO</t>
  </si>
  <si>
    <t>OPTIMIZACION REDES DE ALCANTARILLADO</t>
  </si>
  <si>
    <t>TIEMPO EN SEMANAS</t>
  </si>
  <si>
    <t>P</t>
  </si>
  <si>
    <t>E</t>
  </si>
  <si>
    <t>STC Silla Yee PVC-S 8"x6"</t>
  </si>
  <si>
    <t>STC Silla Yee PVC-S 10"x6"</t>
  </si>
  <si>
    <t>STC Silla Yee PVC-S 12"x6"</t>
  </si>
  <si>
    <t>STC Silla Yee PVC-S 14"x6"</t>
  </si>
  <si>
    <t>STC Silla Yee PVC-S 16" x 6"</t>
  </si>
  <si>
    <t>STC Silla Yee PVC-S 18" x 6"</t>
  </si>
  <si>
    <t>STC Silla Yee PVC-S 20" x 6"</t>
  </si>
  <si>
    <t>SILLA Y 8"</t>
  </si>
  <si>
    <t>SILLA Y 10"</t>
  </si>
  <si>
    <t>SILLA Y 12"</t>
  </si>
  <si>
    <t>SILLA Y 14"</t>
  </si>
  <si>
    <t>SILLA Y 16"</t>
  </si>
  <si>
    <t>SILLA Y 20"</t>
  </si>
  <si>
    <t>ENTIBADO &gt;3 M</t>
  </si>
  <si>
    <t>ENTIBADO &lt; 3 M</t>
  </si>
  <si>
    <t>ml</t>
  </si>
  <si>
    <t xml:space="preserve">Entibado temporal &gt;3.0m </t>
  </si>
  <si>
    <t>Tubería 34"</t>
  </si>
  <si>
    <t>TRANSPORTE E INSTALACION DE TUBERIA Y ACCESORIOS</t>
  </si>
  <si>
    <t>STC Silla Yee PVC-S 24" x 6"</t>
  </si>
  <si>
    <t>6.13</t>
  </si>
  <si>
    <t>6.14</t>
  </si>
  <si>
    <t>6.15</t>
  </si>
  <si>
    <t>6.16</t>
  </si>
  <si>
    <t>6.17</t>
  </si>
  <si>
    <t>6.18</t>
  </si>
  <si>
    <t>6.19</t>
  </si>
  <si>
    <t>6.20</t>
  </si>
  <si>
    <t>kitt silla yee pvc 8"x6"</t>
  </si>
  <si>
    <t>kitt silla yee pvc 10"x6"</t>
  </si>
  <si>
    <t>kitt silla yee pvc 12"x6"</t>
  </si>
  <si>
    <t>kitt silla yee pvc 14"x6"</t>
  </si>
  <si>
    <t>kitt silla yee pvc 16"x6"</t>
  </si>
  <si>
    <t>kitt silla yee pvc 18"x6"</t>
  </si>
  <si>
    <t>kitt silla yee pvc 20"x6"</t>
  </si>
  <si>
    <t>kitt silla yee pvc 24"x6"</t>
  </si>
  <si>
    <t>5.8</t>
  </si>
  <si>
    <t>Construccion de cajas domiciliarias en bloque de concreto de 60x60, altura promedio 1,2 m, incluye tapa con herraje, se tomo en cuenta el 46%  a construir</t>
  </si>
  <si>
    <t>ESPECIFICACIONES</t>
  </si>
  <si>
    <t>Equivale a la longitud de los tramos donde existe pavimento flexible, por el ancho de la zanja en la parte superior</t>
  </si>
  <si>
    <t>Se referenciaran las camaras que comunican cada tramo de tuberia, para ir alimentando el catastro de la red de recoleccion de aguas residuales</t>
  </si>
  <si>
    <t>Colocacion de sillas Yee sanitarias, corresponde al mismo número de domiciliarias a construir, en este item  se toma el 100%, ya que al retirar la tuberia no es posible recuperar las sillas Yees</t>
  </si>
  <si>
    <t>1A ETAPA</t>
  </si>
  <si>
    <t>811, 807</t>
  </si>
  <si>
    <t>5.2</t>
  </si>
  <si>
    <t>5.3</t>
  </si>
  <si>
    <t>Construcción en concreto de 3000 psi de mesa y cañuela para cámara de inspección hasta 5 m</t>
  </si>
  <si>
    <t>5.4</t>
  </si>
  <si>
    <t xml:space="preserve">Construcción en concreto de 3000 psi de cono. Cuello, anillo y tapa para cámara de inspección </t>
  </si>
  <si>
    <t>5.5</t>
  </si>
  <si>
    <t>Construcción en concreto de 3000 psi de cilindro cámara de inspección de hasta 5m</t>
  </si>
  <si>
    <t>5.6</t>
  </si>
  <si>
    <t>Base, cañuela y tapa en concreto (sin marco) 0,5x0,5 externa</t>
  </si>
  <si>
    <t>Const. Caja mamposteria 10x20x40 (0,3x0,3 interna)</t>
  </si>
  <si>
    <t>5.1</t>
  </si>
  <si>
    <t>301.A1</t>
  </si>
  <si>
    <t>1.2</t>
  </si>
  <si>
    <t>1.3</t>
  </si>
  <si>
    <t>Kit Silla Yee PVC-S ó conector domiciliar 8"x6"</t>
  </si>
  <si>
    <t>GASTOS GENERALES, ADMINISTRACION, UTILIDAD, IMPREVISTOS, IMPACTO COMUNITARIO Y OTROS</t>
  </si>
  <si>
    <t xml:space="preserve">                                                         </t>
  </si>
  <si>
    <t>VR. TOTAL</t>
  </si>
  <si>
    <t>PLAZO EN MESES:</t>
  </si>
  <si>
    <t>Código</t>
  </si>
  <si>
    <t>Nombre</t>
  </si>
  <si>
    <t>Und</t>
  </si>
  <si>
    <t>Cant</t>
  </si>
  <si>
    <t>Durac.</t>
  </si>
  <si>
    <t>Valor</t>
  </si>
  <si>
    <t>Porcentaje</t>
  </si>
  <si>
    <t>Subtotal</t>
  </si>
  <si>
    <t>1</t>
  </si>
  <si>
    <t>ADMINISTRACIÓN</t>
  </si>
  <si>
    <t xml:space="preserve">                                                                                                                                                          </t>
  </si>
  <si>
    <t>Costos del proceso de contratación</t>
  </si>
  <si>
    <t/>
  </si>
  <si>
    <t>1.1.1</t>
  </si>
  <si>
    <t>Valor del pliego</t>
  </si>
  <si>
    <t>1.1.2</t>
  </si>
  <si>
    <t>Valor garantía seriedad propuesta</t>
  </si>
  <si>
    <t>1.1.3</t>
  </si>
  <si>
    <t>Ingeniero - Preparación propuesta</t>
  </si>
  <si>
    <t>1.1.4</t>
  </si>
  <si>
    <t>Secretaria - Preparación propuesta</t>
  </si>
  <si>
    <t>1.1.5</t>
  </si>
  <si>
    <t>Mensajero - Preparación propuesta</t>
  </si>
  <si>
    <t>Costos legalización-Garantía Única</t>
  </si>
  <si>
    <t>1.2.1</t>
  </si>
  <si>
    <t>Amparo de anticipo+Intereses</t>
  </si>
  <si>
    <t>Anticipo 20%</t>
  </si>
  <si>
    <t>1.2.2</t>
  </si>
  <si>
    <t>Amparo de cumplimiento</t>
  </si>
  <si>
    <t>1.2.3</t>
  </si>
  <si>
    <t>1.2.4</t>
  </si>
  <si>
    <t>Amparo de estabilidad de la obra</t>
  </si>
  <si>
    <t>1.2.5</t>
  </si>
  <si>
    <t>Otros amparos</t>
  </si>
  <si>
    <t>Garatía de responsabilidad Civil Ex</t>
  </si>
  <si>
    <t>1.4</t>
  </si>
  <si>
    <t>Impuestos</t>
  </si>
  <si>
    <t>1.4.1</t>
  </si>
  <si>
    <t>Impuesto de Industria y Comercio</t>
  </si>
  <si>
    <t>1.4.2</t>
  </si>
  <si>
    <t>Otros impuestos costos financieros</t>
  </si>
  <si>
    <t>7*smdlv</t>
  </si>
  <si>
    <t>1.4.3</t>
  </si>
  <si>
    <t>No se incluye</t>
  </si>
  <si>
    <t>1.4.4</t>
  </si>
  <si>
    <t>Impuesto del 4x1000</t>
  </si>
  <si>
    <t>1.5</t>
  </si>
  <si>
    <t>Personal de Admón. del Contrato</t>
  </si>
  <si>
    <t>1.5.1</t>
  </si>
  <si>
    <t>Director de Obra</t>
  </si>
  <si>
    <t>1.5.2</t>
  </si>
  <si>
    <t>Ingeniero residente</t>
  </si>
  <si>
    <t>1.5.3</t>
  </si>
  <si>
    <t>Almacenista</t>
  </si>
  <si>
    <t>1.5.4</t>
  </si>
  <si>
    <t>Celador</t>
  </si>
  <si>
    <t>1.5.5</t>
  </si>
  <si>
    <t>Encargado de la obra</t>
  </si>
  <si>
    <t>1.5.6</t>
  </si>
  <si>
    <t>Secretaria</t>
  </si>
  <si>
    <t>1.5.7</t>
  </si>
  <si>
    <t>Mensajero</t>
  </si>
  <si>
    <t>1.5.8</t>
  </si>
  <si>
    <t>Tecnologo auxiliar</t>
  </si>
  <si>
    <t>1.5.9</t>
  </si>
  <si>
    <t>Gestor social</t>
  </si>
  <si>
    <t>1.5.10</t>
  </si>
  <si>
    <t>Topógrafo</t>
  </si>
  <si>
    <t>1.6</t>
  </si>
  <si>
    <t>Otros gastos</t>
  </si>
  <si>
    <t>1.6.1</t>
  </si>
  <si>
    <t>Arrendamientos y servicios públicos</t>
  </si>
  <si>
    <t>Mes</t>
  </si>
  <si>
    <t>1.6.2</t>
  </si>
  <si>
    <t>Ensayos de Laboratorio</t>
  </si>
  <si>
    <t>35000+iva ensayo densidad</t>
  </si>
  <si>
    <t>1.6.3</t>
  </si>
  <si>
    <t>Bodegas ó almacenes</t>
  </si>
  <si>
    <t>1.6.4</t>
  </si>
  <si>
    <t>Transporte del personal de admón.</t>
  </si>
  <si>
    <t>1.6.5</t>
  </si>
  <si>
    <t>Gastos de papelería y permisos</t>
  </si>
  <si>
    <t>1.6.6</t>
  </si>
  <si>
    <t>Dotación del personal</t>
  </si>
  <si>
    <t>1.6.7</t>
  </si>
  <si>
    <t>Otros costos de admón. (calidad)</t>
  </si>
  <si>
    <t>1.6.8</t>
  </si>
  <si>
    <t>Medio de comunicacion</t>
  </si>
  <si>
    <t>2</t>
  </si>
  <si>
    <t>IMPREVISTOS</t>
  </si>
  <si>
    <t>2.1</t>
  </si>
  <si>
    <t>Imprevisto (diferentes a fza.mayor)</t>
  </si>
  <si>
    <t>Gl</t>
  </si>
  <si>
    <t>3</t>
  </si>
  <si>
    <t>UTILIDADES</t>
  </si>
  <si>
    <t>Utilidades del contratista</t>
  </si>
  <si>
    <t>4</t>
  </si>
  <si>
    <t>IMPACTO COMUNITARIO</t>
  </si>
  <si>
    <t>Encargado IC</t>
  </si>
  <si>
    <t>4.2</t>
  </si>
  <si>
    <t>Ayudante limpieza</t>
  </si>
  <si>
    <t>4.3</t>
  </si>
  <si>
    <t>Fotocopias</t>
  </si>
  <si>
    <t>Cámara Digital</t>
  </si>
  <si>
    <t>4.5</t>
  </si>
  <si>
    <t>Uniformes encargado IC</t>
  </si>
  <si>
    <t>4.6</t>
  </si>
  <si>
    <t>Valla informativa 6 x 3m</t>
  </si>
  <si>
    <t>4.7</t>
  </si>
  <si>
    <t>Plásticos para protección de materiales y otros</t>
  </si>
  <si>
    <t>4.8</t>
  </si>
  <si>
    <t xml:space="preserve">Lonas y carpas </t>
  </si>
  <si>
    <t>4.9</t>
  </si>
  <si>
    <t>Escobas, recogedores y otros</t>
  </si>
  <si>
    <t>4.10</t>
  </si>
  <si>
    <t>Salud Ocupacional (Tapabocas, protectores auditivos, guantes, monogafas)</t>
  </si>
  <si>
    <t>4.11</t>
  </si>
  <si>
    <t>Botiquines y Camillas rígidas para campamento y frentes de trabajo</t>
  </si>
  <si>
    <t>4.12</t>
  </si>
  <si>
    <t>Señalización</t>
  </si>
  <si>
    <t>TOTAL A.I.U.</t>
  </si>
  <si>
    <t>Demolición mecánica, retiro y botada de  pavimento rigido e= &lt;= 8"</t>
  </si>
  <si>
    <t>S.T.C. de lleno con Triturado</t>
  </si>
  <si>
    <t>Demolición mecánica, retiro y botada de  pavimento flexible e = &lt;= 12cm</t>
  </si>
  <si>
    <t xml:space="preserve">DEMOLICION </t>
  </si>
  <si>
    <t>Demolición obras en concreto</t>
  </si>
  <si>
    <t>Impuesto de guerra</t>
  </si>
  <si>
    <t>OBRA CIVIL</t>
  </si>
  <si>
    <t xml:space="preserve">VALOR TOTAL </t>
  </si>
  <si>
    <t>INTERVENTORÍA</t>
  </si>
  <si>
    <t>Amparo de pago de salarios y prest.</t>
  </si>
  <si>
    <t>N°</t>
  </si>
  <si>
    <t>Se contabilizaron llenos con 50% de material de prestamo</t>
  </si>
  <si>
    <t>Se recomienda este material de protección de la tubería de acuerdo a las especificaciones entregadas por el proveedor</t>
  </si>
  <si>
    <t>Se recomienda este material de protección de la tubería para casos en los que el nivel freático sea alto, de acuerdo a las especificaciones entregadas por el proveedor</t>
  </si>
  <si>
    <t>Se construiran todas las cajas de las viviendas del sector que se intervendrá</t>
  </si>
  <si>
    <t>Se construiran todas los MH necesarios para los cambios de dirección y operación y mantenimiento de las redes</t>
  </si>
  <si>
    <t>Tuberia PVC novafort unión mecánico</t>
  </si>
  <si>
    <t>Tubería PVC Novafort 6"</t>
  </si>
  <si>
    <t>Tubería  PVC Novafort 8"</t>
  </si>
  <si>
    <t>H CLAVE</t>
  </si>
  <si>
    <t>HCLAVE</t>
  </si>
  <si>
    <t>2.2</t>
  </si>
  <si>
    <t>3,1,1</t>
  </si>
  <si>
    <t>3,1,2</t>
  </si>
  <si>
    <t>3,2,1</t>
  </si>
  <si>
    <t>3,2,2</t>
  </si>
  <si>
    <t>3,3,1</t>
  </si>
  <si>
    <t>3,3,2</t>
  </si>
  <si>
    <t>3,3,3</t>
  </si>
  <si>
    <t>3,3,4</t>
  </si>
  <si>
    <t>4,4,1</t>
  </si>
  <si>
    <t>5.7</t>
  </si>
  <si>
    <t>COSTO DIRECTO</t>
  </si>
  <si>
    <t>VALOR TOTAL CON AIU</t>
  </si>
  <si>
    <t>VALOR TOTAL CON IMPUESTO DE GUERRA</t>
  </si>
  <si>
    <t>VALOR TOTAL OBRAS</t>
  </si>
  <si>
    <t>Se discriminaron en &gt;&lt;3m por su diferencia en la ejecución</t>
  </si>
  <si>
    <t>Se clasificaron en rangos de 0 a 2m, de 2 a 4</t>
  </si>
  <si>
    <t>Se contabilizaron llenos con el 15% del material excavado, considerando la contaminacion de los suelos con aguas negras y sus propiedades mecanicas de baja especificación</t>
  </si>
  <si>
    <t>equivalente al material sobranted e la excavación menos el utilizado para lleno</t>
  </si>
  <si>
    <t>corresponde al volumen removido para la intervención en las zonas donde se repondra el pavimento paraconservar las condiciones antes de la intervención de la vía</t>
  </si>
  <si>
    <t xml:space="preserve">Se contabilizo el area de pavimento a reemplazar por un espesor de 0,50 m </t>
  </si>
  <si>
    <t>Se deberán empalmar las redes a construir en las camaras existentes, se toman mìnimo dos puntos (entrada y salida)</t>
  </si>
  <si>
    <t xml:space="preserve">Se construiran todas los MH necesarios para los cambios de dirección y operación y mantenimiento de las redes, se estima como las sumatorias de las alturas promedio de las camaras </t>
  </si>
  <si>
    <t>Se construiran todas los MH necesarios para los cambios de dirección y operación y mantenimiento de las redes, se calculan 4 ganchos por cámara</t>
  </si>
  <si>
    <t xml:space="preserve">Entibado temporal&gt;3.0m </t>
  </si>
  <si>
    <t>.</t>
  </si>
  <si>
    <t>MATERIAL</t>
  </si>
  <si>
    <t>PVC</t>
  </si>
  <si>
    <t>TUBERIA DE 10" PVC</t>
  </si>
  <si>
    <t>TUBERIA DE 14" PVC</t>
  </si>
  <si>
    <t>TUBERIA DE 16" PVC</t>
  </si>
  <si>
    <t>TUBERIA DE 20" PVC</t>
  </si>
  <si>
    <t>Kit Silla Yee PVC-S ó conector domiciliar 10"x6"</t>
  </si>
  <si>
    <t>Kit Silla Yee PVC-S ó conector domiciliar 12"x6"</t>
  </si>
  <si>
    <t>Kit Silla Yee PVC-S ó conector domiciliar 14"x6"</t>
  </si>
  <si>
    <t>Kit Silla Yee PVC-S ó conector domiciliar 16"x6"</t>
  </si>
  <si>
    <t>Kit Silla Yee PVC-S ó conector domiciliar 20"x6"</t>
  </si>
  <si>
    <t>Kit Silla Yee PVC-S ó conector domiciliar 30"x6"</t>
  </si>
  <si>
    <t>CANTIDAD CÁMARAS</t>
  </si>
  <si>
    <t>Kit Silla Yee PVC-S ó conector domiciliar 33"x6"</t>
  </si>
  <si>
    <t>Tubería 30"</t>
  </si>
  <si>
    <t>Tubería 33"</t>
  </si>
  <si>
    <t>kitt silla yee pvc 30"x6"</t>
  </si>
  <si>
    <t>kitt silla yee pvc 33"x6"</t>
  </si>
  <si>
    <t>Kit Silla Yee PVC-S ó conector domiciliar 18"x6"</t>
  </si>
  <si>
    <t>Kit Silla Yee PVC-S ó conector domiciliar 24"x6"</t>
  </si>
  <si>
    <t>90 Días Calendario</t>
  </si>
  <si>
    <t>2,1,1</t>
  </si>
  <si>
    <t>2,1,2</t>
  </si>
  <si>
    <t>NUEVA RED</t>
  </si>
  <si>
    <t>EXISTENTES</t>
  </si>
  <si>
    <t>Se demoleran las estructuras existentes tubos, cajas de inspección, que se calculan en realción 1/2, donde se estima  que existe una caja por cada dos viviendas; toda vez que algunas han sido tapadas por la vegetación y/o terreno el terreno</t>
  </si>
  <si>
    <t>OPTIMIZACIÓN REDES DE ALCANTARILLADO, MUNICIPIO DE TURBO, BARRIO SAN MARTÍN</t>
  </si>
  <si>
    <t xml:space="preserve">OPTIMIZACIÓN REDES DE ALCANTARILLADO, </t>
  </si>
  <si>
    <t>MUNICIPIO DE TURBO, BARRIO SAN MARTÍN</t>
  </si>
  <si>
    <t xml:space="preserve">OPTIMIZACIÓN DEL SISTEMA DE RECOLECCIÓN  </t>
  </si>
  <si>
    <t xml:space="preserve"> DE AGUAS RESIDUALES</t>
  </si>
  <si>
    <t xml:space="preserve">MUNICIPIO DE TURBO, BARRIO JULIA OROZCO </t>
  </si>
  <si>
    <t>LISTADO DE MATERIALES</t>
  </si>
  <si>
    <t xml:space="preserve">La tubería está fabricada en un material denominando Novafort, el cual es inerte a la acción de las sustancias químicas presentes, lo que implica una menor pérdida de carga, toda vez que su poca rugosidad permite autolimpieza y dificulta la adhesión de materiales a la pared del tubo, condición que se ve reflejada en menores costos de mantenimiento. Adicional tiene gran resistencia a la acción corrosiva del ácido sulfhídrico y a los gases de alcantarilla. es liviana lo que permite fácil maniobrabilidad, por tanto no se hace necesario el uso de equipo pesado para su colocación e instalación. Adicional a lo anterior su bajo coeficiente de rugosidad n=0,009 permite optimizar los diámetros y disminuir pendientes. 
</t>
  </si>
  <si>
    <t>LISTADO DE MAQUINARIA</t>
  </si>
  <si>
    <t>DESCRIPCIÓN</t>
  </si>
  <si>
    <t>RENDIMIENTO</t>
  </si>
  <si>
    <t>RETROEXCAVADORA LLANTAS</t>
  </si>
  <si>
    <t>Con la retroexcavadora pajarita de balde pequeño de 60 cm y equpo combinado; se ejecutarán todas las excavaciones, para garantizar mayor eficiencia en la colocacion de la tuberia y accesorios.</t>
  </si>
  <si>
    <t>COMPACTADOR DE PLACA- CANGURO</t>
  </si>
  <si>
    <t>El compactador de placa canguro de 75 Kg, el cual alcanza un golpe de impacto de 1430 Kg, trabaja a gasolina . Con una placa de 40x40 cm, operada por un solo hombre, que permite la compactación de capas de 15 cm de espesor dentro de la zanja con un rendimiento aproximado de 200 m2</t>
  </si>
  <si>
    <t>COMPRESOR-MARTILLO-MANGUERA</t>
  </si>
  <si>
    <t>El compresor+martillo+manguera, se utilizará para la ruptura del pavimento</t>
  </si>
  <si>
    <t>CONCRETADORA</t>
  </si>
  <si>
    <t>concretadora de 1 m3, a gasolina, para la elaboraciónbde las mezclas de concreto, lo cual nos permite rapidez y una mezcla homogenea</t>
  </si>
  <si>
    <t>VIBROCOMPACTADOR</t>
  </si>
  <si>
    <t>vibrocompactador de cilindro ca 15, de 6,5 toneladas, se utilizará para el parcheo que resulte de ejecutar las demoliciones del pavimento</t>
  </si>
  <si>
    <t xml:space="preserve">Corresponde a algunos tramos donde el pavimento existe y se encuentra en buen estado. Carrera 13 entre calles 96-98, Carrera 14 B entre 96 y 98A </t>
  </si>
  <si>
    <t>TRAMO</t>
  </si>
  <si>
    <t>MEMORIA DE CÁLCULO CANTIDADES</t>
  </si>
  <si>
    <t>C.I (FINAL)</t>
  </si>
  <si>
    <t>DIÁMETRO  (mm)</t>
  </si>
  <si>
    <t>ANCHO SUPERIOR DE LA EXCAVACIÓN</t>
  </si>
  <si>
    <t>ANCHO INFERIOR DE LA EXCAVACIÓN</t>
  </si>
  <si>
    <t>VOLUMEN DE EXCAVACIÓN DE 0  A 2 M</t>
  </si>
  <si>
    <t>VOLUMEN DE EXCAVACIÓN DE 2 A 4 M</t>
  </si>
  <si>
    <t>TUBERÍA DE 6"</t>
  </si>
  <si>
    <t>TUBERÍA DE 8" PVC</t>
  </si>
  <si>
    <t>TUBERÍA DE 12" PVC</t>
  </si>
  <si>
    <t>CÁMARAS A CONSTRUIR</t>
  </si>
  <si>
    <t>Construcción de tapa losa en concreto F'c=21 Mpa para camara de inspeccion de 1,20m*1,20m e=0,20m</t>
  </si>
  <si>
    <t>2.2.1</t>
  </si>
  <si>
    <t>2.2.2</t>
  </si>
  <si>
    <t>2.3.1</t>
  </si>
  <si>
    <t>2.3.2</t>
  </si>
  <si>
    <t>2.3.4</t>
  </si>
  <si>
    <t>2.4.1</t>
  </si>
  <si>
    <t>2.1.1</t>
  </si>
  <si>
    <t>PRESUPUESTO OBRA CIVIL</t>
  </si>
  <si>
    <t>PRESUPUESTO SUMINISTRO</t>
  </si>
  <si>
    <t>ÍTEM</t>
  </si>
  <si>
    <t>CÁMARAS NUEVAS</t>
  </si>
  <si>
    <t>CÁMARAS EXISTENTES+NUEVAS</t>
  </si>
  <si>
    <t xml:space="preserve">DEMOLICIÓN </t>
  </si>
  <si>
    <t>DISPOSICIÓN DE MATERIALES SOBRANTES</t>
  </si>
  <si>
    <t>S.T.C. de lleno y apisonado de zanjas y apiques con material seleccionado de la excavación (incluye compactación)</t>
  </si>
  <si>
    <t>INSTALACIÓN DE TUBERÍA Y ACCESORIOS</t>
  </si>
  <si>
    <t>Kit Silla Yee PVC-S o conector domiciliar 8"x6"</t>
  </si>
  <si>
    <t>Kit Silla Yee PVC-S o conector domiciliar 12"x6"</t>
  </si>
  <si>
    <t>Tramo</t>
  </si>
  <si>
    <t>Cota Terreno</t>
  </si>
  <si>
    <t>Profundidad a la clave</t>
  </si>
  <si>
    <t>Longitud</t>
  </si>
  <si>
    <t>Cota batea</t>
  </si>
  <si>
    <t>Diám</t>
  </si>
  <si>
    <t>De</t>
  </si>
  <si>
    <t>A</t>
  </si>
  <si>
    <t>(m)</t>
  </si>
  <si>
    <t>Superior</t>
  </si>
  <si>
    <t>Inferior</t>
  </si>
  <si>
    <t>(mm)</t>
  </si>
  <si>
    <t>Sup</t>
  </si>
  <si>
    <t>Inf</t>
  </si>
  <si>
    <t>Inicial</t>
  </si>
  <si>
    <t>Final</t>
  </si>
  <si>
    <t>Profundidad MH</t>
  </si>
  <si>
    <t>No se interviene</t>
  </si>
  <si>
    <t>LOCALIZACIÓN</t>
  </si>
  <si>
    <t>PARAÍSO</t>
  </si>
  <si>
    <t>EXCAVACIÓN CÁMARAS</t>
  </si>
  <si>
    <t>CILINDRO  (m)</t>
  </si>
  <si>
    <t>TAPA LOSA  (m)</t>
  </si>
  <si>
    <t>LONGITUD TUBERÍA</t>
  </si>
  <si>
    <t>TAPAS LOSAS</t>
  </si>
  <si>
    <t>CONSTRUCCIÓN OPTIMIZACIÓNCÁMARA</t>
  </si>
  <si>
    <t>2.1.2</t>
  </si>
  <si>
    <t>Demolición cámara existente h&lt; 4.0m (incluye retiro y botada)</t>
  </si>
  <si>
    <t>Construcción en concreto de 3000 psi de mesa y cañuela para cámara de inspección d=1.2 m hasta 5 m</t>
  </si>
  <si>
    <t>Construcción en concreto de 3000 psi de cono. Cuello, anillo y tapa para cámara de inspección d=1.2 m</t>
  </si>
  <si>
    <t>Construcción en concreto de 3000 psi de cilindro cámara de inspección d=1.2 m de hasta 1-4m</t>
  </si>
  <si>
    <t>Const. Caja mamposteria 10x20x40 (0,5x0,5 interna)</t>
  </si>
  <si>
    <t>Base, cañuela y tapa en concreto (sin marco) 0,7x0,7 externa</t>
  </si>
  <si>
    <t>Hidrosello 160mm</t>
  </si>
  <si>
    <t>ROTURA Y EMBOQUILLADA</t>
  </si>
  <si>
    <t>INFORMACIÓN DE RED ALCANTARILLADO BARRIO MATA DE GUADUA-APARTADÓ</t>
  </si>
  <si>
    <t>APA_MDGSC020</t>
  </si>
  <si>
    <t>APA_MDGSC021</t>
  </si>
  <si>
    <t>APA_MDGSC012</t>
  </si>
  <si>
    <t>APA_MDGSC013</t>
  </si>
  <si>
    <t>APA_MDGSC015</t>
  </si>
  <si>
    <t>APA_MDGSC016</t>
  </si>
  <si>
    <t>APA_MDGSC019</t>
  </si>
  <si>
    <t>APA_MDGSC006</t>
  </si>
  <si>
    <t>APA_MDGSC005</t>
  </si>
  <si>
    <t>APA_MDGSC007</t>
  </si>
  <si>
    <t>APA_MDGSC008</t>
  </si>
  <si>
    <t>APA_MDGSC009</t>
  </si>
  <si>
    <t>APA_MDGSC014</t>
  </si>
  <si>
    <t>APA_MDGSC017</t>
  </si>
  <si>
    <t>APA_MDGSC018</t>
  </si>
  <si>
    <t>APA_MDGSC023</t>
  </si>
  <si>
    <t>APA_MDGSC024</t>
  </si>
  <si>
    <t>APA_MDGSC022</t>
  </si>
  <si>
    <t>APA_MDGSC010</t>
  </si>
  <si>
    <t>APA_MDGSC011</t>
  </si>
  <si>
    <t>APA_MDGSC002</t>
  </si>
  <si>
    <t>APA_MDGSC003</t>
  </si>
  <si>
    <t>APA_MDGSC004</t>
  </si>
  <si>
    <t>APA_MDGSC025</t>
  </si>
  <si>
    <t>APA_MDGSC026</t>
  </si>
  <si>
    <t>APA_MDGSC027</t>
  </si>
  <si>
    <t>APA_MDGSC028</t>
  </si>
  <si>
    <t>APA_MDGSC029</t>
  </si>
  <si>
    <t>APA_MDGSC030</t>
  </si>
  <si>
    <t>APA_MDGSC031</t>
  </si>
  <si>
    <t>APA_MDGSC032</t>
  </si>
  <si>
    <t>APA_MDGSC033</t>
  </si>
  <si>
    <t>ARRANQUE</t>
  </si>
  <si>
    <t>Silla Yee PVC-S o conector domiciliar 14"x6"</t>
  </si>
  <si>
    <t>Silla Yee PVC-S o conector domiciliar 16"x6"</t>
  </si>
  <si>
    <t>Silla Yee PVC-S o conector domiciliar 20"x6"</t>
  </si>
  <si>
    <t>Silla yee pvc 14"x6"</t>
  </si>
  <si>
    <t>Silla yee pvc 16"x6"</t>
  </si>
  <si>
    <t>Silla yee pvc 20"x6"</t>
  </si>
  <si>
    <t>PROFUNDIDAD EXTRA POR OPTIMIZACIÓN CÁMARA</t>
  </si>
  <si>
    <t>CONSTRUCCIÓN / OPTIMIZACIÓN CÁMARA</t>
  </si>
  <si>
    <t>CILINDRO 1.2</t>
  </si>
  <si>
    <t>CILINDRO 1.5</t>
  </si>
  <si>
    <t>INFORMACIÓN DE RED ALCANTARILLADO BARRIO ANTONIO ROLDÁN - APARTADÓ</t>
  </si>
  <si>
    <t>APA015SC100</t>
  </si>
  <si>
    <t>APA015CC005</t>
  </si>
  <si>
    <t>APA015CC003A</t>
  </si>
  <si>
    <t>APA015SC027</t>
  </si>
  <si>
    <t>APA015CC025</t>
  </si>
  <si>
    <t>APA015SC023</t>
  </si>
  <si>
    <t>APA015CC010</t>
  </si>
  <si>
    <t>APA002</t>
  </si>
  <si>
    <t>APA015SC009</t>
  </si>
  <si>
    <t>APA001</t>
  </si>
  <si>
    <t>APA015CC008</t>
  </si>
  <si>
    <t>APA004</t>
  </si>
  <si>
    <t>APA005</t>
  </si>
  <si>
    <t>APA015SC106</t>
  </si>
  <si>
    <t>APA003</t>
  </si>
  <si>
    <t>APA015CC022</t>
  </si>
  <si>
    <t>APA015CC011</t>
  </si>
  <si>
    <t>APA015SC100A</t>
  </si>
  <si>
    <t>APA015SC028</t>
  </si>
  <si>
    <t>APA015SC101</t>
  </si>
  <si>
    <t>APA015CC102</t>
  </si>
  <si>
    <t>APA015CC035</t>
  </si>
  <si>
    <t>APA015CC003</t>
  </si>
  <si>
    <t>APA008</t>
  </si>
  <si>
    <t>APA015SC019</t>
  </si>
  <si>
    <t>APA015CC014</t>
  </si>
  <si>
    <t>APA015CC013</t>
  </si>
  <si>
    <t>APA015SC049</t>
  </si>
  <si>
    <t>APA015SC012</t>
  </si>
  <si>
    <t>APA015SC049A</t>
  </si>
  <si>
    <t>APA015CC040</t>
  </si>
  <si>
    <t>APA015SC050</t>
  </si>
  <si>
    <t>APA007</t>
  </si>
  <si>
    <t>No se intervienen</t>
  </si>
  <si>
    <t>Reducción Sant 6*4 SOL</t>
  </si>
  <si>
    <t xml:space="preserve">TAPAS LOSAS </t>
  </si>
  <si>
    <t>CÁMARAS OPTIMIZAR</t>
  </si>
  <si>
    <t>OPTIMIZACIÓN REDES DE ALCANTARILLADO, MUNICIPIO DE APARTADÓ, BARRIO ANTONIO ROLDÁN</t>
  </si>
  <si>
    <t>OPTIMIZACIÓN REDES DE ALCANTARILLADO, MUNICIPIO DE APARTADÓ, BARRIO MATA DE GUADUA</t>
  </si>
  <si>
    <t>Kit Silla Yee PVC-S o conector domiciliar 14"x6"</t>
  </si>
  <si>
    <t>Kit Silla Yee PVC-S o conector domiciliar 16"x6"</t>
  </si>
  <si>
    <t>Kit Silla Yee PVC-S o conector domiciliar 20"x6"</t>
  </si>
  <si>
    <t>Construcción en concreto de 3000 psi de cilindro cámara de inspección d=1.5 m de hasta 1-4m</t>
  </si>
  <si>
    <t>Construcción en concreto de 3000 psi de mesa y cañuela para cámara de inspección d=1.5m hasta 5 m</t>
  </si>
  <si>
    <t>Construcción en concreto de 3000 psi de cono. Cuello, anillo y tapa para cámara de inspección d=1.5 m</t>
  </si>
  <si>
    <t>2.3.3</t>
  </si>
  <si>
    <t>OPTIMIZACIÓN REDES DE ALCANTARILLADO, MUNICIPIO DE APARTADÓ, BARRIOS MATA DE GUADUA Y ANTONIO ROLDÁN</t>
  </si>
  <si>
    <t>OPTIMIZACIÓN REDES DE ALCANTARILLADO, MUNICIPIO DEAPARTADÓ, BARRIO ANTONIO ROLDÁN</t>
  </si>
  <si>
    <t>VALOR TOTAL CON ADMINISTRACIÓN + IVA</t>
  </si>
  <si>
    <t>807, 809, 811</t>
  </si>
  <si>
    <t>807, 810, 811</t>
  </si>
  <si>
    <t xml:space="preserve"> 807, 811</t>
  </si>
  <si>
    <t>807, 808</t>
  </si>
  <si>
    <t>818, 815</t>
  </si>
  <si>
    <t>801, 803, 806, 814, 815</t>
  </si>
  <si>
    <t>801, 803</t>
  </si>
  <si>
    <t>806, 803</t>
  </si>
  <si>
    <t>Tubería PVC  6"</t>
  </si>
  <si>
    <t>Tubería  PVC 8"</t>
  </si>
  <si>
    <t>Adaptador ALC 160 PVC a Sant 6"</t>
  </si>
  <si>
    <t>Codo 45° 6" PVC</t>
  </si>
  <si>
    <t>Reducción Sant 6*4 SOL PVC</t>
  </si>
  <si>
    <t>Tubería 6" PVC</t>
  </si>
  <si>
    <t>Tubería 8" PVC</t>
  </si>
  <si>
    <t>Tubería  PVC  8"</t>
  </si>
  <si>
    <t>Tubería  PVC  12"</t>
  </si>
  <si>
    <t>Tubería  PVC  14"</t>
  </si>
  <si>
    <t>Tubería  PVC 16"</t>
  </si>
  <si>
    <t>Tubería  PVC  20"</t>
  </si>
  <si>
    <t>Tubería  PVC 12"</t>
  </si>
  <si>
    <t>Tubería  PVC 14"</t>
  </si>
  <si>
    <t>Tubería  PVC  16"</t>
  </si>
  <si>
    <t>Tubería 6" pvc</t>
  </si>
  <si>
    <t>Tubería 8" pvc</t>
  </si>
  <si>
    <t>Tubería 12" pvc</t>
  </si>
  <si>
    <t>Tubería 14" pvc</t>
  </si>
  <si>
    <t>Tubería 16" pvc</t>
  </si>
  <si>
    <t>Tubería 20" pvc</t>
  </si>
  <si>
    <t xml:space="preserve">kitt silla yee pvc 8"x6" </t>
  </si>
  <si>
    <t xml:space="preserve">kitt silla yee pvc 12"x6" </t>
  </si>
  <si>
    <t>Codo 45° 6" pvc</t>
  </si>
  <si>
    <t>Adaptador ALC 160 pvc a Sant 6"</t>
  </si>
  <si>
    <t>Reducción Sant 6*4 SOL pvc</t>
  </si>
  <si>
    <t>AGUAS REGIONALES EPM S.A. E.S.P.</t>
  </si>
  <si>
    <t>Base, cañuela y tapa en concreto (sin marco) 0,7m x 0,7m externa</t>
  </si>
  <si>
    <t>Construcción caja en mamaposteria de dimensiones 0,5m x 0,5m interna en bloque de 0,1m x 0,2m x 0,4m</t>
  </si>
  <si>
    <t>Construcción caja en mamaposteria de dimensiones 0,3m x 0,3m interna en bloque de 0,1m x 0,2m x 0,4m</t>
  </si>
  <si>
    <t>Base, cañuela y tapa en concreto (sin marco) 0,5m x 0,5m externa</t>
  </si>
  <si>
    <t>Suministro, transporte y colocación de lleno y apisonado de zanjas y apiques con material seleccionado de la excavación (incluye compactación)</t>
  </si>
  <si>
    <t>Suministro, transporte y colocación de lleno y apisonado de zanjas y apiques con material de préstamo (incluye compactación)</t>
  </si>
  <si>
    <t>Suministro, transporte y colocación de lleno con Triturado</t>
  </si>
  <si>
    <t>Excavación mecánica material común de 0 - 2m, Incluye manejo de aguas</t>
  </si>
  <si>
    <t>Excavación mecánica material común de 2 - 4m, Incluye manejo de aguas</t>
  </si>
  <si>
    <t>Construcción de tapa losa en concreto F'c=28 Mpa para camara de inspeccion de 1,20m*1,20m e=0,20m</t>
  </si>
  <si>
    <t>Cargue con maquinaria, retiro y disposición final de material sobrante a distancia entre 5  y 10 Km</t>
  </si>
  <si>
    <t>Excavación mecánica material común de 0 - 2m,</t>
  </si>
  <si>
    <t>Excavación mecánica material común de 2 - 4m,</t>
  </si>
  <si>
    <t>Cargue con maquinaria, retiro y disposición final de material sobrante a distancia maxima 7 Km</t>
  </si>
  <si>
    <t>IVA SOBRE UTILIDAD</t>
  </si>
  <si>
    <t>PRESUPUESTO ESTIMADO FASE III</t>
  </si>
  <si>
    <t>VALOR
UNITARIO</t>
  </si>
  <si>
    <t xml:space="preserve">TOTAL COSTO DIRECTO OBRA CIVIL : </t>
  </si>
  <si>
    <t xml:space="preserve">TOTAL COSTO DIRECTO SUMINISTROS : </t>
  </si>
  <si>
    <t>SUMINISTROS</t>
  </si>
  <si>
    <t>TOTAL PRESUPUESTO ESTIMADO FASE III:  (OBRA CIVIL + SUMINISTROS)</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</si>
</sst>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6" formatCode="&quot;$&quot;\ #,##0_);[Red]\(&quot;$&quot;\ #,##0\)"/>
    <numFmt numFmtId="41" formatCode="_(* #,##0_);_(* \(#,##0\);_(* &quot;-&quot;_);_(@_)"/>
    <numFmt numFmtId="44" formatCode="_(&quot;$&quot;\ * #,##0.00_);_(&quot;$&quot;\ * \(#,##0.00\);_(&quot;$&quot;\ * &quot;-&quot;??_);_(@_)"/>
    <numFmt numFmtId="43" formatCode="_(* #,##0.00_);_(* \(#,##0.00\);_(* &quot;-&quot;??_);_(@_)"/>
    <numFmt numFmtId="164" formatCode="_-&quot;$&quot;* #,##0.00_-;\-&quot;$&quot;* #,##0.00_-;_-&quot;$&quot;* &quot;-&quot;??_-;_-@_-"/>
    <numFmt numFmtId="165" formatCode="_-* #,##0.00_-;\-* #,##0.00_-;_-* &quot;-&quot;??_-;_-@_-"/>
    <numFmt numFmtId="166" formatCode="&quot;$&quot;\ #,##0"/>
    <numFmt numFmtId="167" formatCode="#,"/>
    <numFmt numFmtId="168" formatCode="_ [$€-2]\ * #,##0.00_ ;_ [$€-2]\ * \-#,##0.00_ ;_ [$€-2]\ * &quot;-&quot;??_ "/>
    <numFmt numFmtId="169" formatCode="\$#,##0.00\ ;\(\$#,##0.00\)"/>
    <numFmt numFmtId="171" formatCode="0.0"/>
    <numFmt numFmtId="172" formatCode="_-* #,##0\ _$_-;\-* #,##0\ _$_-;_-* &quot;-&quot;??\ _$_-;_-@_-"/>
    <numFmt numFmtId="173" formatCode="#,##0.0000\ _€;[Red]\-#,##0.0000\ _€"/>
    <numFmt numFmtId="174" formatCode="_ [$$-240A]\ * #,##0_ ;_ [$$-240A]\ * \-#,##0_ ;_ [$$-240A]\ * &quot;-&quot;_ ;_ @_ "/>
    <numFmt numFmtId="175" formatCode="0.000%"/>
    <numFmt numFmtId="176" formatCode="0.0000"/>
    <numFmt numFmtId="177" formatCode="0.00000"/>
    <numFmt numFmtId="178" formatCode="_(* #,##0.00_);_(* \(#,##0.00\);_(* &quot;-&quot;_);_(@_)"/>
    <numFmt numFmtId="179" formatCode="#,##0\ [$$-240A]"/>
    <numFmt numFmtId="180" formatCode="[$$-409]#,##0"/>
    <numFmt numFmtId="181" formatCode="&quot;$&quot;\ #,##0.0000000000000"/>
    <numFmt numFmtId="182" formatCode="_(* #,##0.000000000000_);_(* \(#,##0.000000000000\);_(* &quot;-&quot;??_);_(@_)"/>
    <numFmt numFmtId="183" formatCode="[$$-409]#,##0.00"/>
    <numFmt numFmtId="184" formatCode="_(* #,##0_);_(* \(#,##0\);_(* &quot;-&quot;??_);_(@_)"/>
  </numFmts>
  <fonts count="47" x14ac:knownFonts="1">
    <font>
      <sz val="11"/>
      <color theme="1"/>
      <name val="Calibri"/>
      <family val="2"/>
      <scheme val="minor"/>
    </font>
    <font>
      <sz val="11"/>
      <color indexed="8"/>
      <name val="Calibri"/>
      <family val="2"/>
    </font>
    <font>
      <sz val="11"/>
      <color indexed="8"/>
      <name val="Arial"/>
      <family val="2"/>
    </font>
    <font>
      <b/>
      <sz val="11"/>
      <color indexed="8"/>
      <name val="Arial"/>
      <family val="2"/>
    </font>
    <font>
      <b/>
      <sz val="10"/>
      <color indexed="8"/>
      <name val="Arial"/>
      <family val="2"/>
    </font>
    <font>
      <sz val="10"/>
      <name val="Arial Narrow"/>
      <family val="2"/>
    </font>
    <font>
      <b/>
      <sz val="11"/>
      <name val="Arial"/>
      <family val="2"/>
    </font>
    <font>
      <sz val="11"/>
      <name val="Arial"/>
      <family val="2"/>
    </font>
    <font>
      <sz val="1"/>
      <color indexed="16"/>
      <name val="Courier"/>
      <family val="3"/>
    </font>
    <font>
      <sz val="12"/>
      <color indexed="24"/>
      <name val="Arial"/>
      <family val="2"/>
    </font>
    <font>
      <b/>
      <sz val="18"/>
      <color indexed="24"/>
      <name val="Arial"/>
      <family val="2"/>
    </font>
    <font>
      <b/>
      <sz val="12"/>
      <color indexed="24"/>
      <name val="Arial"/>
      <family val="2"/>
    </font>
    <font>
      <sz val="10"/>
      <name val="Arial"/>
      <family val="2"/>
    </font>
    <font>
      <b/>
      <sz val="1"/>
      <color indexed="16"/>
      <name val="Courier"/>
      <family val="3"/>
    </font>
    <font>
      <sz val="10"/>
      <name val="MS Sans Serif"/>
      <family val="2"/>
    </font>
    <font>
      <b/>
      <sz val="9"/>
      <color indexed="8"/>
      <name val="Arial"/>
      <family val="2"/>
    </font>
    <font>
      <sz val="9"/>
      <name val="Arial"/>
      <family val="2"/>
    </font>
    <font>
      <sz val="12"/>
      <name val="Arial"/>
      <family val="2"/>
    </font>
    <font>
      <b/>
      <sz val="10"/>
      <name val="Arial"/>
      <family val="2"/>
    </font>
    <font>
      <b/>
      <sz val="9"/>
      <name val="Arial"/>
      <family val="2"/>
    </font>
    <font>
      <b/>
      <sz val="8"/>
      <color indexed="81"/>
      <name val="Tahoma"/>
      <family val="2"/>
    </font>
    <font>
      <sz val="8"/>
      <color indexed="81"/>
      <name val="Tahoma"/>
      <family val="2"/>
    </font>
    <font>
      <b/>
      <sz val="12"/>
      <name val="Arial"/>
      <family val="2"/>
    </font>
    <font>
      <sz val="8"/>
      <name val="Calibri"/>
      <family val="2"/>
    </font>
    <font>
      <sz val="10"/>
      <color indexed="8"/>
      <name val="Arial"/>
      <family val="2"/>
    </font>
    <font>
      <sz val="8"/>
      <name val="Calibri"/>
      <family val="2"/>
    </font>
    <font>
      <sz val="11"/>
      <color theme="1"/>
      <name val="Calibri"/>
      <family val="2"/>
      <scheme val="minor"/>
    </font>
    <font>
      <sz val="10"/>
      <color theme="1"/>
      <name val="Arial"/>
      <family val="2"/>
    </font>
    <font>
      <sz val="11"/>
      <color rgb="FFFF0000"/>
      <name val="Arial"/>
      <family val="2"/>
    </font>
    <font>
      <sz val="12"/>
      <color theme="1"/>
      <name val="Calibri"/>
      <family val="2"/>
      <scheme val="minor"/>
    </font>
    <font>
      <sz val="10"/>
      <color theme="0"/>
      <name val="Arial"/>
      <family val="2"/>
    </font>
    <font>
      <sz val="8"/>
      <color theme="1"/>
      <name val="Arial"/>
      <family val="2"/>
    </font>
    <font>
      <sz val="9"/>
      <color theme="1"/>
      <name val="Arial"/>
      <family val="2"/>
    </font>
    <font>
      <sz val="16"/>
      <color theme="1"/>
      <name val="Calibri"/>
      <family val="2"/>
      <scheme val="minor"/>
    </font>
    <font>
      <b/>
      <sz val="12"/>
      <color theme="1"/>
      <name val="Arial"/>
      <family val="2"/>
    </font>
    <font>
      <sz val="11"/>
      <color theme="0"/>
      <name val="Arial"/>
      <family val="2"/>
    </font>
    <font>
      <sz val="10"/>
      <name val="Arial"/>
      <family val="2"/>
    </font>
    <font>
      <b/>
      <sz val="12"/>
      <color indexed="8"/>
      <name val="Arial"/>
      <family val="2"/>
    </font>
    <font>
      <b/>
      <sz val="11"/>
      <color theme="1"/>
      <name val="Calibri"/>
      <family val="2"/>
      <scheme val="minor"/>
    </font>
    <font>
      <b/>
      <sz val="10"/>
      <color theme="1"/>
      <name val="Arial"/>
      <family val="2"/>
    </font>
    <font>
      <sz val="11"/>
      <name val="Calibri"/>
      <family val="2"/>
      <scheme val="minor"/>
    </font>
    <font>
      <sz val="9"/>
      <color indexed="81"/>
      <name val="Tahoma"/>
      <family val="2"/>
    </font>
    <font>
      <b/>
      <sz val="9"/>
      <color indexed="81"/>
      <name val="Tahoma"/>
      <family val="2"/>
    </font>
    <font>
      <sz val="8"/>
      <name val="Arial"/>
      <family val="2"/>
    </font>
    <font>
      <b/>
      <sz val="9"/>
      <color theme="1"/>
      <name val="Calibri"/>
      <family val="2"/>
      <scheme val="minor"/>
    </font>
    <font>
      <sz val="10"/>
      <name val="Courier"/>
      <family val="3"/>
    </font>
    <font>
      <b/>
      <sz val="8"/>
      <name val="Arial Narrow"/>
      <family val="2"/>
    </font>
  </fonts>
  <fills count="14">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lightDown"/>
    </fill>
    <fill>
      <patternFill patternType="solid">
        <fgColor theme="0" tint="-0.14999847407452621"/>
        <bgColor indexed="64"/>
      </patternFill>
    </fill>
    <fill>
      <patternFill patternType="solid">
        <fgColor rgb="FF92D05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s>
  <borders count="98">
    <border>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diagonal/>
    </border>
    <border>
      <left/>
      <right/>
      <top style="hair">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theme="1" tint="0.499984740745262"/>
      </left>
      <right style="hair">
        <color theme="1" tint="0.499984740745262"/>
      </right>
      <top style="hair">
        <color theme="1" tint="0.499984740745262"/>
      </top>
      <bottom style="hair">
        <color theme="1" tint="0.499984740745262"/>
      </bottom>
      <diagonal/>
    </border>
    <border>
      <left/>
      <right style="hair">
        <color theme="1" tint="0.499984740745262"/>
      </right>
      <top style="hair">
        <color theme="1" tint="0.499984740745262"/>
      </top>
      <bottom style="medium">
        <color indexed="64"/>
      </bottom>
      <diagonal/>
    </border>
    <border>
      <left style="hair">
        <color theme="1" tint="0.499984740745262"/>
      </left>
      <right style="hair">
        <color theme="1" tint="0.499984740745262"/>
      </right>
      <top style="hair">
        <color theme="1" tint="0.499984740745262"/>
      </top>
      <bottom style="medium">
        <color indexed="64"/>
      </bottom>
      <diagonal/>
    </border>
    <border>
      <left/>
      <right style="hair">
        <color theme="1" tint="0.499984740745262"/>
      </right>
      <top style="medium">
        <color indexed="64"/>
      </top>
      <bottom style="hair">
        <color theme="1" tint="0.499984740745262"/>
      </bottom>
      <diagonal/>
    </border>
    <border>
      <left style="hair">
        <color theme="1" tint="0.499984740745262"/>
      </left>
      <right style="hair">
        <color theme="1" tint="0.499984740745262"/>
      </right>
      <top style="medium">
        <color indexed="64"/>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right style="hair">
        <color theme="1" tint="0.499984740745262"/>
      </right>
      <top style="thin">
        <color indexed="64"/>
      </top>
      <bottom style="hair">
        <color theme="1" tint="0.499984740745262"/>
      </bottom>
      <diagonal/>
    </border>
    <border>
      <left style="hair">
        <color theme="1" tint="0.499984740745262"/>
      </left>
      <right style="hair">
        <color theme="1" tint="0.499984740745262"/>
      </right>
      <top style="thin">
        <color indexed="64"/>
      </top>
      <bottom style="hair">
        <color theme="1" tint="0.499984740745262"/>
      </bottom>
      <diagonal/>
    </border>
    <border>
      <left/>
      <right/>
      <top style="hair">
        <color theme="1" tint="0.499984740745262"/>
      </top>
      <bottom style="hair">
        <color theme="1" tint="0.499984740745262"/>
      </bottom>
      <diagonal/>
    </border>
    <border>
      <left/>
      <right/>
      <top style="hair">
        <color theme="1" tint="0.499984740745262"/>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theme="1" tint="0.499984740745262"/>
      </right>
      <top style="thin">
        <color indexed="64"/>
      </top>
      <bottom style="medium">
        <color indexed="64"/>
      </bottom>
      <diagonal/>
    </border>
    <border>
      <left style="hair">
        <color theme="1" tint="0.499984740745262"/>
      </left>
      <right style="hair">
        <color theme="1" tint="0.499984740745262"/>
      </right>
      <top style="thin">
        <color indexed="64"/>
      </top>
      <bottom style="medium">
        <color indexed="64"/>
      </bottom>
      <diagonal/>
    </border>
    <border>
      <left style="hair">
        <color theme="1" tint="0.499984740745262"/>
      </left>
      <right/>
      <top style="thin">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s>
  <cellStyleXfs count="36">
    <xf numFmtId="0" fontId="0" fillId="0" borderId="0"/>
    <xf numFmtId="167" fontId="8" fillId="0" borderId="0">
      <protection locked="0"/>
    </xf>
    <xf numFmtId="167" fontId="8" fillId="0" borderId="0">
      <protection locked="0"/>
    </xf>
    <xf numFmtId="167" fontId="8" fillId="0" borderId="0">
      <protection locked="0"/>
    </xf>
    <xf numFmtId="0" fontId="9" fillId="0" borderId="0" applyProtection="0"/>
    <xf numFmtId="0" fontId="10" fillId="0" borderId="0" applyProtection="0"/>
    <xf numFmtId="0" fontId="11" fillId="0" borderId="0" applyProtection="0"/>
    <xf numFmtId="168" fontId="12" fillId="0" borderId="0" applyFont="0" applyFill="0" applyBorder="0" applyAlignment="0" applyProtection="0"/>
    <xf numFmtId="2" fontId="9" fillId="0" borderId="0" applyProtection="0"/>
    <xf numFmtId="4" fontId="9" fillId="0" borderId="0" applyProtection="0"/>
    <xf numFmtId="167" fontId="8" fillId="0" borderId="0">
      <protection locked="0"/>
    </xf>
    <xf numFmtId="167" fontId="13" fillId="0" borderId="0">
      <protection locked="0"/>
    </xf>
    <xf numFmtId="167" fontId="13" fillId="0" borderId="0">
      <protection locked="0"/>
    </xf>
    <xf numFmtId="43" fontId="26" fillId="0" borderId="0" applyFont="0" applyFill="0" applyBorder="0" applyAlignment="0" applyProtection="0"/>
    <xf numFmtId="41" fontId="26" fillId="0" borderId="0" applyFont="0" applyFill="0" applyBorder="0" applyAlignment="0" applyProtection="0"/>
    <xf numFmtId="43" fontId="1" fillId="0" borderId="0" applyFont="0" applyFill="0" applyBorder="0" applyAlignment="0" applyProtection="0"/>
    <xf numFmtId="40" fontId="14"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169" fontId="9" fillId="0" borderId="0" applyProtection="0"/>
    <xf numFmtId="0" fontId="12" fillId="0" borderId="0"/>
    <xf numFmtId="0" fontId="14" fillId="0" borderId="0"/>
    <xf numFmtId="0" fontId="5" fillId="0" borderId="0"/>
    <xf numFmtId="0" fontId="12" fillId="0" borderId="0"/>
    <xf numFmtId="167" fontId="8" fillId="0" borderId="0">
      <protection locked="0"/>
    </xf>
    <xf numFmtId="9" fontId="26"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0" fontId="12" fillId="0" borderId="0"/>
    <xf numFmtId="9" fontId="1" fillId="0" borderId="0" applyFont="0" applyFill="0" applyBorder="0" applyAlignment="0" applyProtection="0"/>
    <xf numFmtId="0" fontId="26" fillId="0" borderId="0"/>
    <xf numFmtId="43" fontId="1" fillId="0" borderId="0" applyFont="0" applyFill="0" applyBorder="0" applyAlignment="0" applyProtection="0"/>
    <xf numFmtId="44" fontId="45"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0" fontId="1" fillId="0" borderId="0"/>
  </cellStyleXfs>
  <cellXfs count="788">
    <xf numFmtId="0" fontId="0" fillId="0" borderId="0" xfId="0"/>
    <xf numFmtId="0" fontId="2" fillId="0" borderId="0" xfId="0" applyFont="1"/>
    <xf numFmtId="0" fontId="3" fillId="0" borderId="0" xfId="0" applyFont="1" applyAlignment="1">
      <alignment horizontal="center" vertical="center" wrapText="1"/>
    </xf>
    <xf numFmtId="0" fontId="3" fillId="0" borderId="0" xfId="0" applyFont="1" applyAlignment="1">
      <alignmen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wrapText="1"/>
    </xf>
    <xf numFmtId="0" fontId="2" fillId="3" borderId="4" xfId="0" applyFont="1" applyFill="1" applyBorder="1"/>
    <xf numFmtId="0" fontId="3" fillId="3" borderId="5" xfId="0" applyFont="1" applyFill="1" applyBorder="1" applyAlignment="1">
      <alignment horizontal="center" vertical="center"/>
    </xf>
    <xf numFmtId="0" fontId="3" fillId="3" borderId="4" xfId="0" applyFont="1" applyFill="1" applyBorder="1"/>
    <xf numFmtId="166" fontId="3" fillId="3" borderId="6" xfId="0" applyNumberFormat="1" applyFont="1" applyFill="1" applyBorder="1"/>
    <xf numFmtId="0" fontId="2" fillId="0" borderId="7" xfId="0" applyFont="1" applyBorder="1" applyAlignment="1">
      <alignment horizontal="center" vertical="center"/>
    </xf>
    <xf numFmtId="0" fontId="2" fillId="0" borderId="8" xfId="0" applyFont="1" applyBorder="1"/>
    <xf numFmtId="0" fontId="2" fillId="0" borderId="8" xfId="0" applyFont="1" applyBorder="1" applyAlignment="1">
      <alignment horizontal="center" vertical="center"/>
    </xf>
    <xf numFmtId="4" fontId="2" fillId="0" borderId="8" xfId="0" applyNumberFormat="1" applyFont="1" applyBorder="1" applyAlignment="1">
      <alignment horizontal="center" vertical="center"/>
    </xf>
    <xf numFmtId="166" fontId="2" fillId="0" borderId="8" xfId="0" applyNumberFormat="1" applyFont="1" applyBorder="1" applyAlignment="1">
      <alignment horizontal="right" vertical="center"/>
    </xf>
    <xf numFmtId="166" fontId="2" fillId="0" borderId="9" xfId="0" applyNumberFormat="1" applyFont="1" applyBorder="1" applyAlignment="1">
      <alignment horizontal="right" vertical="center"/>
    </xf>
    <xf numFmtId="0" fontId="3" fillId="3" borderId="7" xfId="0" applyFont="1" applyFill="1" applyBorder="1" applyAlignment="1">
      <alignment horizontal="center" vertical="center"/>
    </xf>
    <xf numFmtId="0" fontId="3" fillId="3" borderId="8" xfId="0" applyFont="1" applyFill="1" applyBorder="1"/>
    <xf numFmtId="0" fontId="2" fillId="3" borderId="8" xfId="0" applyFont="1" applyFill="1" applyBorder="1" applyAlignment="1">
      <alignment horizontal="center" vertical="center"/>
    </xf>
    <xf numFmtId="166" fontId="2" fillId="3" borderId="8" xfId="0" applyNumberFormat="1" applyFont="1" applyFill="1" applyBorder="1" applyAlignment="1">
      <alignment horizontal="right" vertical="center"/>
    </xf>
    <xf numFmtId="166" fontId="3" fillId="3" borderId="9" xfId="0" applyNumberFormat="1" applyFont="1" applyFill="1" applyBorder="1" applyAlignment="1">
      <alignment horizontal="right" vertical="center"/>
    </xf>
    <xf numFmtId="2" fontId="2" fillId="0" borderId="8" xfId="0" applyNumberFormat="1" applyFont="1" applyBorder="1" applyAlignment="1">
      <alignment horizontal="right" vertical="center"/>
    </xf>
    <xf numFmtId="166" fontId="2" fillId="0" borderId="8" xfId="0" applyNumberFormat="1" applyFont="1" applyFill="1" applyBorder="1" applyAlignment="1">
      <alignment horizontal="right" vertical="center"/>
    </xf>
    <xf numFmtId="0" fontId="2" fillId="0" borderId="8" xfId="0" applyFont="1" applyBorder="1" applyAlignment="1">
      <alignment wrapText="1"/>
    </xf>
    <xf numFmtId="0" fontId="2" fillId="5" borderId="8"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xf numFmtId="166" fontId="2" fillId="5" borderId="8" xfId="0" applyNumberFormat="1" applyFont="1" applyFill="1" applyBorder="1" applyAlignment="1">
      <alignment horizontal="right" vertical="center"/>
    </xf>
    <xf numFmtId="166" fontId="3" fillId="5" borderId="9" xfId="0" applyNumberFormat="1" applyFont="1" applyFill="1" applyBorder="1" applyAlignment="1">
      <alignment horizontal="right" vertical="center"/>
    </xf>
    <xf numFmtId="2" fontId="2" fillId="0" borderId="8" xfId="0" applyNumberFormat="1" applyFont="1" applyBorder="1" applyAlignment="1">
      <alignment horizontal="center" vertical="center"/>
    </xf>
    <xf numFmtId="0" fontId="2" fillId="0" borderId="8" xfId="0" applyFont="1" applyFill="1" applyBorder="1" applyAlignment="1">
      <alignment wrapText="1"/>
    </xf>
    <xf numFmtId="0" fontId="3" fillId="3" borderId="8" xfId="0" applyFont="1" applyFill="1" applyBorder="1" applyAlignment="1">
      <alignment wrapText="1"/>
    </xf>
    <xf numFmtId="0" fontId="2" fillId="0" borderId="7" xfId="0" applyFont="1" applyFill="1" applyBorder="1" applyAlignment="1">
      <alignment horizontal="center" vertical="center"/>
    </xf>
    <xf numFmtId="0" fontId="2" fillId="0" borderId="8" xfId="0" applyFont="1" applyFill="1" applyBorder="1" applyAlignment="1">
      <alignment vertical="top" wrapText="1"/>
    </xf>
    <xf numFmtId="166" fontId="2" fillId="0" borderId="9" xfId="0" applyNumberFormat="1" applyFont="1" applyFill="1" applyBorder="1" applyAlignment="1">
      <alignment horizontal="right" vertical="center"/>
    </xf>
    <xf numFmtId="0" fontId="2" fillId="0" borderId="0" xfId="0" applyFont="1" applyBorder="1" applyAlignment="1">
      <alignment horizontal="center" vertical="center"/>
    </xf>
    <xf numFmtId="0" fontId="3" fillId="5" borderId="8" xfId="0" applyFont="1" applyFill="1" applyBorder="1" applyAlignment="1">
      <alignment wrapText="1"/>
    </xf>
    <xf numFmtId="0" fontId="2" fillId="0" borderId="8" xfId="0" applyFont="1" applyFill="1" applyBorder="1" applyAlignment="1">
      <alignment horizontal="center" vertical="center"/>
    </xf>
    <xf numFmtId="0" fontId="2" fillId="0" borderId="0" xfId="0" applyFont="1" applyAlignment="1">
      <alignment horizontal="center" vertical="center"/>
    </xf>
    <xf numFmtId="166" fontId="2" fillId="0" borderId="0" xfId="0" applyNumberFormat="1" applyFont="1"/>
    <xf numFmtId="0" fontId="2" fillId="0" borderId="10" xfId="0" applyFont="1" applyFill="1" applyBorder="1" applyAlignment="1">
      <alignment horizontal="center"/>
    </xf>
    <xf numFmtId="0" fontId="3" fillId="0" borderId="8" xfId="0" applyFont="1" applyFill="1" applyBorder="1" applyAlignment="1">
      <alignment horizontal="center"/>
    </xf>
    <xf numFmtId="0" fontId="2" fillId="0" borderId="8" xfId="0" applyFont="1" applyFill="1" applyBorder="1"/>
    <xf numFmtId="9" fontId="2" fillId="0" borderId="0" xfId="0" applyNumberFormat="1" applyFont="1"/>
    <xf numFmtId="9" fontId="7" fillId="0" borderId="0" xfId="22" applyNumberFormat="1" applyFont="1" applyFill="1" applyBorder="1" applyAlignment="1">
      <alignment horizontal="center" vertical="center" wrapText="1"/>
    </xf>
    <xf numFmtId="166" fontId="2" fillId="0" borderId="0" xfId="0" applyNumberFormat="1" applyFont="1" applyBorder="1"/>
    <xf numFmtId="9" fontId="6" fillId="0" borderId="0" xfId="0" applyNumberFormat="1" applyFont="1" applyFill="1" applyBorder="1" applyAlignment="1">
      <alignment horizontal="center" vertical="center"/>
    </xf>
    <xf numFmtId="10" fontId="7" fillId="0" borderId="20" xfId="22" applyNumberFormat="1" applyFont="1" applyFill="1" applyBorder="1" applyAlignment="1">
      <alignment horizontal="center" vertical="center" wrapText="1"/>
    </xf>
    <xf numFmtId="10" fontId="7" fillId="0" borderId="21" xfId="22" applyNumberFormat="1" applyFont="1" applyFill="1" applyBorder="1" applyAlignment="1">
      <alignment horizontal="center" vertical="center" wrapText="1"/>
    </xf>
    <xf numFmtId="9" fontId="7" fillId="0" borderId="20" xfId="22" applyNumberFormat="1" applyFont="1" applyFill="1" applyBorder="1" applyAlignment="1">
      <alignment horizontal="center" vertical="center" wrapText="1"/>
    </xf>
    <xf numFmtId="0" fontId="2" fillId="0" borderId="22" xfId="0" applyFont="1" applyBorder="1"/>
    <xf numFmtId="3" fontId="7" fillId="0" borderId="23" xfId="18" applyNumberFormat="1" applyFont="1" applyFill="1" applyBorder="1" applyAlignment="1">
      <alignment horizontal="right" vertical="center"/>
    </xf>
    <xf numFmtId="166" fontId="3" fillId="0" borderId="24" xfId="0" applyNumberFormat="1" applyFont="1" applyBorder="1" applyAlignment="1">
      <alignment horizontal="right"/>
    </xf>
    <xf numFmtId="0" fontId="2" fillId="0" borderId="25" xfId="0" applyFont="1" applyBorder="1"/>
    <xf numFmtId="166" fontId="2" fillId="0" borderId="26" xfId="18" applyNumberFormat="1" applyFont="1" applyBorder="1"/>
    <xf numFmtId="166" fontId="2" fillId="0" borderId="27" xfId="18" applyNumberFormat="1" applyFont="1" applyBorder="1"/>
    <xf numFmtId="166" fontId="3" fillId="0" borderId="28" xfId="0" applyNumberFormat="1" applyFont="1" applyBorder="1"/>
    <xf numFmtId="166" fontId="2" fillId="0" borderId="26" xfId="0" applyNumberFormat="1" applyFont="1" applyBorder="1"/>
    <xf numFmtId="166" fontId="2" fillId="0" borderId="27" xfId="0" applyNumberFormat="1" applyFont="1" applyBorder="1"/>
    <xf numFmtId="0" fontId="2" fillId="0" borderId="29" xfId="0" applyFont="1" applyBorder="1"/>
    <xf numFmtId="166" fontId="3" fillId="0" borderId="30" xfId="0" applyNumberFormat="1" applyFont="1" applyBorder="1"/>
    <xf numFmtId="0" fontId="2" fillId="0" borderId="31" xfId="0" applyFont="1" applyBorder="1"/>
    <xf numFmtId="0" fontId="2" fillId="0" borderId="32" xfId="0" applyFont="1" applyBorder="1"/>
    <xf numFmtId="0" fontId="2" fillId="0" borderId="33" xfId="0" applyFont="1" applyBorder="1"/>
    <xf numFmtId="0" fontId="2" fillId="0" borderId="34" xfId="0" applyFont="1" applyBorder="1"/>
    <xf numFmtId="166" fontId="3" fillId="0" borderId="27" xfId="0" applyNumberFormat="1" applyFont="1" applyFill="1" applyBorder="1"/>
    <xf numFmtId="9" fontId="2" fillId="0" borderId="35" xfId="0" applyNumberFormat="1" applyFont="1" applyBorder="1" applyAlignment="1">
      <alignment horizontal="center"/>
    </xf>
    <xf numFmtId="9" fontId="2" fillId="0" borderId="36" xfId="0" applyNumberFormat="1" applyFont="1" applyBorder="1" applyAlignment="1">
      <alignment horizontal="center"/>
    </xf>
    <xf numFmtId="166" fontId="3" fillId="0" borderId="27" xfId="0" applyNumberFormat="1" applyFont="1" applyBorder="1" applyAlignment="1">
      <alignment horizontal="right"/>
    </xf>
    <xf numFmtId="0" fontId="6" fillId="0" borderId="0" xfId="0" applyFont="1" applyFill="1" applyBorder="1" applyAlignment="1">
      <alignment horizontal="center" vertical="center"/>
    </xf>
    <xf numFmtId="3" fontId="7" fillId="0" borderId="23" xfId="18" applyNumberFormat="1" applyFont="1" applyFill="1" applyBorder="1" applyAlignment="1">
      <alignment horizontal="center" vertical="center"/>
    </xf>
    <xf numFmtId="9" fontId="2" fillId="0" borderId="0" xfId="0" applyNumberFormat="1" applyFont="1" applyBorder="1" applyAlignment="1">
      <alignment horizontal="center"/>
    </xf>
    <xf numFmtId="9" fontId="2" fillId="0" borderId="37" xfId="0" applyNumberFormat="1" applyFont="1" applyBorder="1" applyAlignment="1">
      <alignment horizontal="center"/>
    </xf>
    <xf numFmtId="166" fontId="3" fillId="0" borderId="27" xfId="0" applyNumberFormat="1" applyFont="1" applyBorder="1"/>
    <xf numFmtId="166" fontId="7" fillId="0" borderId="8" xfId="0" applyNumberFormat="1" applyFont="1" applyBorder="1" applyAlignment="1">
      <alignment horizontal="right" vertical="center"/>
    </xf>
    <xf numFmtId="166" fontId="7" fillId="0" borderId="8" xfId="0" applyNumberFormat="1" applyFont="1" applyFill="1" applyBorder="1" applyAlignment="1">
      <alignment horizontal="right" vertical="center"/>
    </xf>
    <xf numFmtId="0" fontId="4" fillId="2" borderId="8" xfId="0" applyFont="1" applyFill="1" applyBorder="1" applyAlignment="1">
      <alignment horizontal="center" vertical="center" wrapText="1"/>
    </xf>
    <xf numFmtId="166" fontId="2" fillId="0" borderId="38" xfId="0" applyNumberFormat="1" applyFont="1" applyBorder="1" applyAlignment="1">
      <alignment horizontal="right" vertical="center"/>
    </xf>
    <xf numFmtId="166" fontId="2" fillId="4" borderId="8" xfId="0" applyNumberFormat="1" applyFont="1" applyFill="1" applyBorder="1" applyAlignment="1">
      <alignment horizontal="right" vertical="center"/>
    </xf>
    <xf numFmtId="0" fontId="2" fillId="0" borderId="7" xfId="0" applyFont="1" applyFill="1" applyBorder="1" applyAlignment="1">
      <alignment horizontal="center" vertical="top"/>
    </xf>
    <xf numFmtId="0" fontId="2" fillId="0" borderId="12" xfId="0" applyFont="1" applyFill="1" applyBorder="1" applyAlignment="1">
      <alignment horizontal="center" vertical="center"/>
    </xf>
    <xf numFmtId="0" fontId="2" fillId="0" borderId="8" xfId="0" applyFont="1" applyFill="1" applyBorder="1" applyAlignment="1">
      <alignment vertical="center" wrapText="1"/>
    </xf>
    <xf numFmtId="0" fontId="7" fillId="0" borderId="8" xfId="0" applyFont="1" applyFill="1" applyBorder="1" applyAlignment="1">
      <alignment vertical="center" wrapText="1"/>
    </xf>
    <xf numFmtId="0" fontId="2" fillId="0" borderId="8" xfId="0" applyFont="1" applyBorder="1" applyAlignment="1">
      <alignment vertical="top"/>
    </xf>
    <xf numFmtId="0" fontId="2" fillId="0" borderId="8" xfId="0" applyFont="1" applyBorder="1" applyAlignment="1">
      <alignment vertical="center"/>
    </xf>
    <xf numFmtId="0" fontId="2" fillId="0" borderId="39" xfId="0" applyFont="1" applyBorder="1"/>
    <xf numFmtId="166" fontId="2" fillId="0" borderId="9" xfId="0" applyNumberFormat="1" applyFont="1" applyBorder="1" applyAlignment="1">
      <alignment horizontal="justify" vertical="center" wrapText="1"/>
    </xf>
    <xf numFmtId="166" fontId="2" fillId="3" borderId="9" xfId="0" applyNumberFormat="1" applyFont="1" applyFill="1" applyBorder="1" applyAlignment="1">
      <alignment horizontal="right" vertical="center"/>
    </xf>
    <xf numFmtId="166" fontId="2" fillId="5" borderId="9" xfId="0" applyNumberFormat="1" applyFont="1" applyFill="1" applyBorder="1" applyAlignment="1">
      <alignment horizontal="right" vertical="center"/>
    </xf>
    <xf numFmtId="0" fontId="2" fillId="0" borderId="40" xfId="0" applyFont="1" applyBorder="1" applyAlignment="1">
      <alignment horizontal="center" vertical="center"/>
    </xf>
    <xf numFmtId="0" fontId="2" fillId="0" borderId="41" xfId="0" applyFont="1" applyFill="1" applyBorder="1" applyAlignment="1">
      <alignment wrapText="1"/>
    </xf>
    <xf numFmtId="0" fontId="2" fillId="0" borderId="41" xfId="0" applyFont="1" applyBorder="1" applyAlignment="1">
      <alignment horizontal="center" vertical="center"/>
    </xf>
    <xf numFmtId="2" fontId="2" fillId="0" borderId="41" xfId="0" applyNumberFormat="1" applyFont="1" applyBorder="1" applyAlignment="1">
      <alignment horizontal="right" vertical="center"/>
    </xf>
    <xf numFmtId="0" fontId="2" fillId="3" borderId="42" xfId="0" applyFont="1" applyFill="1" applyBorder="1"/>
    <xf numFmtId="0" fontId="2" fillId="0" borderId="43" xfId="0" applyFont="1" applyBorder="1" applyAlignment="1">
      <alignment horizontal="center" vertical="center"/>
    </xf>
    <xf numFmtId="0" fontId="2" fillId="3" borderId="44" xfId="0" applyFont="1" applyFill="1" applyBorder="1"/>
    <xf numFmtId="0" fontId="2" fillId="0" borderId="43" xfId="0" applyFont="1" applyBorder="1" applyAlignment="1">
      <alignment horizontal="center"/>
    </xf>
    <xf numFmtId="0" fontId="2" fillId="0" borderId="43" xfId="0" applyFont="1" applyBorder="1"/>
    <xf numFmtId="0" fontId="2" fillId="5" borderId="43" xfId="0" applyFont="1" applyFill="1" applyBorder="1" applyAlignment="1">
      <alignment horizontal="center" vertical="center"/>
    </xf>
    <xf numFmtId="166" fontId="2" fillId="5" borderId="43" xfId="0" applyNumberFormat="1" applyFont="1" applyFill="1" applyBorder="1" applyAlignment="1">
      <alignment horizontal="right" vertical="center"/>
    </xf>
    <xf numFmtId="0" fontId="2" fillId="0" borderId="44" xfId="0" applyFont="1" applyBorder="1" applyAlignment="1">
      <alignment horizontal="center" vertical="center" wrapText="1"/>
    </xf>
    <xf numFmtId="0" fontId="2" fillId="0" borderId="43" xfId="0" applyFont="1" applyBorder="1" applyAlignment="1">
      <alignment horizontal="center" wrapText="1"/>
    </xf>
    <xf numFmtId="0" fontId="2" fillId="0" borderId="39" xfId="0" applyFont="1" applyBorder="1" applyAlignment="1">
      <alignment horizontal="center" vertical="center" wrapText="1"/>
    </xf>
    <xf numFmtId="0" fontId="2" fillId="0" borderId="45" xfId="0" applyFont="1" applyBorder="1" applyAlignment="1">
      <alignment horizontal="center"/>
    </xf>
    <xf numFmtId="0" fontId="2" fillId="0" borderId="8" xfId="0" applyFont="1" applyBorder="1" applyAlignment="1">
      <alignment vertical="top" wrapText="1"/>
    </xf>
    <xf numFmtId="166" fontId="2" fillId="0" borderId="46" xfId="0" applyNumberFormat="1" applyFont="1" applyFill="1" applyBorder="1" applyAlignment="1">
      <alignment horizontal="right"/>
    </xf>
    <xf numFmtId="166" fontId="2" fillId="0" borderId="47" xfId="0" applyNumberFormat="1" applyFont="1" applyFill="1" applyBorder="1" applyAlignment="1">
      <alignment horizontal="justify" wrapText="1"/>
    </xf>
    <xf numFmtId="0" fontId="2" fillId="0" borderId="41" xfId="0" applyFont="1" applyFill="1" applyBorder="1" applyAlignment="1">
      <alignment vertical="top" wrapText="1"/>
    </xf>
    <xf numFmtId="0" fontId="2" fillId="0" borderId="8" xfId="0" applyFont="1" applyFill="1" applyBorder="1" applyAlignment="1">
      <alignment vertical="top"/>
    </xf>
    <xf numFmtId="0" fontId="4" fillId="2" borderId="2" xfId="0" applyFont="1" applyFill="1" applyBorder="1" applyAlignment="1">
      <alignment horizontal="center" vertical="center" wrapText="1"/>
    </xf>
    <xf numFmtId="0" fontId="2" fillId="0" borderId="48" xfId="0" applyFont="1" applyFill="1" applyBorder="1" applyAlignment="1">
      <alignment horizontal="center" vertical="center"/>
    </xf>
    <xf numFmtId="166" fontId="2" fillId="0" borderId="41" xfId="0" applyNumberFormat="1" applyFont="1" applyBorder="1" applyAlignment="1">
      <alignment horizontal="right" vertical="center"/>
    </xf>
    <xf numFmtId="0" fontId="3" fillId="5" borderId="12" xfId="0" applyFont="1" applyFill="1" applyBorder="1" applyAlignment="1">
      <alignment horizontal="center" vertical="center"/>
    </xf>
    <xf numFmtId="2" fontId="2" fillId="0" borderId="12" xfId="0" applyNumberFormat="1" applyFont="1" applyFill="1" applyBorder="1" applyAlignment="1">
      <alignment horizontal="center" vertical="center"/>
    </xf>
    <xf numFmtId="2" fontId="2" fillId="0" borderId="13" xfId="0" applyNumberFormat="1" applyFont="1" applyFill="1" applyBorder="1" applyAlignment="1">
      <alignment horizontal="center" vertical="center"/>
    </xf>
    <xf numFmtId="0" fontId="2" fillId="0" borderId="49" xfId="0" applyFont="1" applyBorder="1"/>
    <xf numFmtId="0" fontId="2" fillId="0" borderId="50" xfId="0" applyFont="1" applyBorder="1" applyAlignment="1">
      <alignment horizontal="center" vertical="center" wrapText="1"/>
    </xf>
    <xf numFmtId="0" fontId="2" fillId="0" borderId="8" xfId="0" applyFont="1" applyBorder="1" applyAlignment="1">
      <alignment horizontal="right" vertical="center"/>
    </xf>
    <xf numFmtId="166" fontId="3" fillId="0" borderId="8" xfId="0" applyNumberFormat="1" applyFont="1" applyBorder="1" applyAlignment="1">
      <alignment horizontal="right"/>
    </xf>
    <xf numFmtId="0" fontId="3" fillId="0" borderId="0" xfId="0" applyFont="1" applyFill="1" applyAlignment="1">
      <alignment horizontal="center" vertical="center" wrapText="1"/>
    </xf>
    <xf numFmtId="0" fontId="2" fillId="0" borderId="0" xfId="0" applyFont="1" applyFill="1"/>
    <xf numFmtId="0" fontId="3" fillId="0" borderId="0" xfId="0" applyFont="1" applyFill="1" applyAlignment="1">
      <alignment vertical="center" wrapText="1"/>
    </xf>
    <xf numFmtId="0" fontId="4" fillId="0" borderId="1" xfId="0" applyFont="1" applyFill="1" applyBorder="1" applyAlignment="1">
      <alignment horizontal="center" vertical="center"/>
    </xf>
    <xf numFmtId="0" fontId="2" fillId="0" borderId="44" xfId="0" applyFont="1" applyFill="1" applyBorder="1" applyAlignment="1">
      <alignment horizontal="center" vertical="center" wrapText="1"/>
    </xf>
    <xf numFmtId="0" fontId="2" fillId="0" borderId="0" xfId="0" applyFont="1" applyFill="1" applyAlignment="1">
      <alignment horizontal="center" vertical="center"/>
    </xf>
    <xf numFmtId="0" fontId="2" fillId="0" borderId="8" xfId="0" applyFont="1" applyBorder="1" applyAlignment="1">
      <alignment vertical="center" wrapText="1"/>
    </xf>
    <xf numFmtId="171" fontId="2" fillId="0" borderId="8" xfId="0" applyNumberFormat="1" applyFont="1" applyBorder="1" applyAlignment="1">
      <alignment horizontal="center" vertical="center"/>
    </xf>
    <xf numFmtId="49" fontId="16" fillId="0" borderId="0" xfId="21" applyNumberFormat="1" applyFont="1" applyFill="1" applyAlignment="1">
      <alignment horizontal="center" vertical="center"/>
    </xf>
    <xf numFmtId="49" fontId="16" fillId="0" borderId="0" xfId="21" applyNumberFormat="1" applyFont="1" applyFill="1"/>
    <xf numFmtId="49" fontId="16" fillId="0" borderId="0" xfId="21" applyNumberFormat="1" applyFont="1" applyFill="1" applyAlignment="1">
      <alignment horizontal="center"/>
    </xf>
    <xf numFmtId="1" fontId="16" fillId="0" borderId="0" xfId="21" applyNumberFormat="1" applyFont="1" applyFill="1"/>
    <xf numFmtId="0" fontId="16" fillId="0" borderId="0" xfId="21" applyFont="1" applyFill="1" applyAlignment="1">
      <alignment horizontal="center"/>
    </xf>
    <xf numFmtId="172" fontId="16" fillId="0" borderId="0" xfId="16" applyNumberFormat="1" applyFont="1" applyFill="1"/>
    <xf numFmtId="0" fontId="16" fillId="0" borderId="0" xfId="21" applyFont="1" applyFill="1"/>
    <xf numFmtId="4" fontId="16" fillId="0" borderId="0" xfId="21" applyNumberFormat="1" applyFont="1" applyFill="1"/>
    <xf numFmtId="40" fontId="16" fillId="0" borderId="0" xfId="16" applyFont="1" applyFill="1"/>
    <xf numFmtId="173" fontId="16" fillId="0" borderId="0" xfId="16" applyNumberFormat="1" applyFont="1" applyFill="1" applyAlignment="1">
      <alignment horizontal="center"/>
    </xf>
    <xf numFmtId="49" fontId="19" fillId="0" borderId="18" xfId="21" applyNumberFormat="1" applyFont="1" applyFill="1" applyBorder="1" applyAlignment="1">
      <alignment horizontal="center" vertical="center"/>
    </xf>
    <xf numFmtId="49" fontId="19" fillId="0" borderId="51" xfId="21" applyNumberFormat="1" applyFont="1" applyFill="1" applyBorder="1"/>
    <xf numFmtId="49" fontId="16" fillId="0" borderId="52" xfId="21" applyNumberFormat="1" applyFont="1" applyFill="1" applyBorder="1" applyAlignment="1">
      <alignment horizontal="center"/>
    </xf>
    <xf numFmtId="1" fontId="16" fillId="0" borderId="52" xfId="21" applyNumberFormat="1" applyFont="1" applyFill="1" applyBorder="1"/>
    <xf numFmtId="0" fontId="16" fillId="0" borderId="52" xfId="21" applyFont="1" applyFill="1" applyBorder="1" applyAlignment="1">
      <alignment horizontal="center"/>
    </xf>
    <xf numFmtId="172" fontId="16" fillId="0" borderId="52" xfId="16" applyNumberFormat="1" applyFont="1" applyFill="1" applyBorder="1"/>
    <xf numFmtId="10" fontId="19" fillId="0" borderId="52" xfId="27" applyNumberFormat="1" applyFont="1" applyFill="1" applyBorder="1" applyAlignment="1">
      <alignment horizontal="center"/>
    </xf>
    <xf numFmtId="4" fontId="19" fillId="0" borderId="12" xfId="21" applyNumberFormat="1" applyFont="1" applyFill="1" applyBorder="1"/>
    <xf numFmtId="49" fontId="16" fillId="0" borderId="8" xfId="21" applyNumberFormat="1" applyFont="1" applyFill="1" applyBorder="1" applyAlignment="1">
      <alignment horizontal="center" vertical="center"/>
    </xf>
    <xf numFmtId="49" fontId="16" fillId="0" borderId="17" xfId="21" applyNumberFormat="1" applyFont="1" applyFill="1" applyBorder="1"/>
    <xf numFmtId="49" fontId="16" fillId="0" borderId="17" xfId="21" applyNumberFormat="1" applyFont="1" applyFill="1" applyBorder="1" applyAlignment="1">
      <alignment horizontal="center" vertical="center" wrapText="1"/>
    </xf>
    <xf numFmtId="1" fontId="16" fillId="0" borderId="17" xfId="21" applyNumberFormat="1" applyFont="1" applyFill="1" applyBorder="1" applyAlignment="1">
      <alignment horizontal="center" vertical="center" wrapText="1"/>
    </xf>
    <xf numFmtId="0" fontId="16" fillId="0" borderId="17" xfId="21" applyFont="1" applyFill="1" applyBorder="1" applyAlignment="1">
      <alignment horizontal="center" vertical="center" wrapText="1"/>
    </xf>
    <xf numFmtId="174" fontId="16" fillId="0" borderId="17" xfId="16" applyNumberFormat="1" applyFont="1" applyFill="1" applyBorder="1" applyAlignment="1">
      <alignment horizontal="center" vertical="center" wrapText="1"/>
    </xf>
    <xf numFmtId="10" fontId="16" fillId="0" borderId="17" xfId="27" applyNumberFormat="1" applyFont="1" applyFill="1" applyBorder="1" applyAlignment="1">
      <alignment horizontal="center" vertical="center" wrapText="1"/>
    </xf>
    <xf numFmtId="172" fontId="16" fillId="0" borderId="0" xfId="16" applyNumberFormat="1" applyFont="1" applyFill="1" applyBorder="1"/>
    <xf numFmtId="49" fontId="16" fillId="0" borderId="8" xfId="21" applyNumberFormat="1" applyFont="1" applyFill="1" applyBorder="1"/>
    <xf numFmtId="49" fontId="16" fillId="0" borderId="8" xfId="21" applyNumberFormat="1" applyFont="1" applyFill="1" applyBorder="1" applyAlignment="1">
      <alignment horizontal="center" vertical="center" wrapText="1"/>
    </xf>
    <xf numFmtId="1" fontId="16" fillId="0" borderId="8" xfId="21" applyNumberFormat="1" applyFont="1" applyFill="1" applyBorder="1" applyAlignment="1">
      <alignment horizontal="center" vertical="center" wrapText="1"/>
    </xf>
    <xf numFmtId="0" fontId="16" fillId="0" borderId="8" xfId="21" applyFont="1" applyFill="1" applyBorder="1" applyAlignment="1">
      <alignment horizontal="center" vertical="center" wrapText="1"/>
    </xf>
    <xf numFmtId="174" fontId="16" fillId="0" borderId="8" xfId="16" applyNumberFormat="1" applyFont="1" applyFill="1" applyBorder="1" applyAlignment="1">
      <alignment horizontal="center" vertical="center" wrapText="1"/>
    </xf>
    <xf numFmtId="10" fontId="16" fillId="0" borderId="8" xfId="27" applyNumberFormat="1" applyFont="1" applyFill="1" applyBorder="1" applyAlignment="1">
      <alignment horizontal="center" vertical="center" wrapText="1"/>
    </xf>
    <xf numFmtId="49" fontId="16" fillId="0" borderId="10" xfId="21" applyNumberFormat="1" applyFont="1" applyFill="1" applyBorder="1"/>
    <xf numFmtId="49" fontId="16" fillId="0" borderId="10" xfId="21" applyNumberFormat="1" applyFont="1" applyFill="1" applyBorder="1" applyAlignment="1">
      <alignment horizontal="center" vertical="center" wrapText="1"/>
    </xf>
    <xf numFmtId="1" fontId="16" fillId="0" borderId="10" xfId="21" applyNumberFormat="1" applyFont="1" applyFill="1" applyBorder="1" applyAlignment="1">
      <alignment horizontal="center" vertical="center" wrapText="1"/>
    </xf>
    <xf numFmtId="0" fontId="16" fillId="0" borderId="10" xfId="21" applyFont="1" applyFill="1" applyBorder="1" applyAlignment="1">
      <alignment horizontal="center" vertical="center" wrapText="1"/>
    </xf>
    <xf numFmtId="174" fontId="16" fillId="0" borderId="10" xfId="16" applyNumberFormat="1" applyFont="1" applyFill="1" applyBorder="1" applyAlignment="1">
      <alignment horizontal="center" vertical="center" wrapText="1"/>
    </xf>
    <xf numFmtId="10" fontId="16" fillId="0" borderId="10" xfId="27" applyNumberFormat="1" applyFont="1" applyFill="1" applyBorder="1" applyAlignment="1">
      <alignment horizontal="center" vertical="center" wrapText="1"/>
    </xf>
    <xf numFmtId="49" fontId="19" fillId="0" borderId="51" xfId="21" applyNumberFormat="1" applyFont="1" applyFill="1" applyBorder="1" applyAlignment="1">
      <alignment horizontal="center" vertical="center"/>
    </xf>
    <xf numFmtId="49" fontId="16" fillId="0" borderId="52" xfId="21" applyNumberFormat="1" applyFont="1" applyFill="1" applyBorder="1" applyAlignment="1">
      <alignment horizontal="center" vertical="center" wrapText="1"/>
    </xf>
    <xf numFmtId="1" fontId="16" fillId="0" borderId="52" xfId="21" applyNumberFormat="1" applyFont="1" applyFill="1" applyBorder="1" applyAlignment="1">
      <alignment horizontal="center" vertical="center" wrapText="1"/>
    </xf>
    <xf numFmtId="0" fontId="16" fillId="0" borderId="52" xfId="21" applyFont="1" applyFill="1" applyBorder="1" applyAlignment="1">
      <alignment horizontal="center" vertical="center" wrapText="1"/>
    </xf>
    <xf numFmtId="174" fontId="16" fillId="0" borderId="52" xfId="16" applyNumberFormat="1" applyFont="1" applyFill="1" applyBorder="1" applyAlignment="1">
      <alignment horizontal="center" vertical="center" wrapText="1"/>
    </xf>
    <xf numFmtId="10" fontId="16" fillId="0" borderId="52" xfId="27" applyNumberFormat="1" applyFont="1" applyFill="1" applyBorder="1" applyAlignment="1">
      <alignment horizontal="center" vertical="center" wrapText="1"/>
    </xf>
    <xf numFmtId="174" fontId="16" fillId="0" borderId="12" xfId="16" applyNumberFormat="1" applyFont="1" applyFill="1" applyBorder="1" applyAlignment="1">
      <alignment horizontal="center" vertical="center" wrapText="1"/>
    </xf>
    <xf numFmtId="10" fontId="16" fillId="0" borderId="0" xfId="21" applyNumberFormat="1" applyFont="1" applyFill="1"/>
    <xf numFmtId="0" fontId="16" fillId="0" borderId="0" xfId="21" applyFont="1" applyFill="1" applyBorder="1"/>
    <xf numFmtId="49" fontId="19" fillId="0" borderId="8" xfId="21" applyNumberFormat="1" applyFont="1" applyFill="1" applyBorder="1" applyAlignment="1">
      <alignment horizontal="center" vertical="center"/>
    </xf>
    <xf numFmtId="49" fontId="19" fillId="0" borderId="10" xfId="21" applyNumberFormat="1" applyFont="1" applyFill="1" applyBorder="1"/>
    <xf numFmtId="172" fontId="16" fillId="0" borderId="0" xfId="21" applyNumberFormat="1" applyFont="1" applyFill="1"/>
    <xf numFmtId="1" fontId="16" fillId="0" borderId="17" xfId="16" applyNumberFormat="1" applyFont="1" applyFill="1" applyBorder="1" applyAlignment="1">
      <alignment horizontal="center" vertical="center" wrapText="1"/>
    </xf>
    <xf numFmtId="1" fontId="16" fillId="0" borderId="8" xfId="16" applyNumberFormat="1" applyFont="1" applyFill="1" applyBorder="1" applyAlignment="1">
      <alignment horizontal="center" vertical="center" wrapText="1"/>
    </xf>
    <xf numFmtId="0" fontId="16" fillId="0" borderId="0" xfId="21" applyFont="1" applyFill="1" applyAlignment="1">
      <alignment horizontal="right"/>
    </xf>
    <xf numFmtId="0" fontId="16" fillId="0" borderId="0" xfId="21" applyFont="1" applyFill="1" applyAlignment="1">
      <alignment horizontal="left"/>
    </xf>
    <xf numFmtId="10" fontId="16" fillId="0" borderId="0" xfId="27" applyNumberFormat="1" applyFont="1" applyFill="1"/>
    <xf numFmtId="1" fontId="16" fillId="0" borderId="10" xfId="16" applyNumberFormat="1" applyFont="1" applyFill="1" applyBorder="1" applyAlignment="1">
      <alignment horizontal="center" vertical="center" wrapText="1"/>
    </xf>
    <xf numFmtId="172" fontId="19" fillId="0" borderId="0" xfId="16" applyNumberFormat="1" applyFont="1" applyFill="1"/>
    <xf numFmtId="3" fontId="16" fillId="0" borderId="17" xfId="21" applyNumberFormat="1" applyFont="1" applyFill="1" applyBorder="1" applyAlignment="1">
      <alignment horizontal="center" vertical="center" wrapText="1"/>
    </xf>
    <xf numFmtId="175" fontId="16" fillId="0" borderId="0" xfId="27" applyNumberFormat="1" applyFont="1" applyFill="1"/>
    <xf numFmtId="3" fontId="16" fillId="0" borderId="8" xfId="21" applyNumberFormat="1" applyFont="1" applyFill="1" applyBorder="1" applyAlignment="1">
      <alignment horizontal="center" vertical="center" wrapText="1"/>
    </xf>
    <xf numFmtId="3" fontId="16" fillId="0" borderId="10" xfId="21" applyNumberFormat="1" applyFont="1" applyFill="1" applyBorder="1" applyAlignment="1">
      <alignment horizontal="center" vertical="center" wrapText="1"/>
    </xf>
    <xf numFmtId="49" fontId="16" fillId="0" borderId="11" xfId="21" applyNumberFormat="1" applyFont="1" applyFill="1" applyBorder="1" applyAlignment="1">
      <alignment horizontal="center" vertical="center"/>
    </xf>
    <xf numFmtId="9" fontId="16" fillId="0" borderId="0" xfId="21" applyNumberFormat="1" applyFont="1" applyFill="1"/>
    <xf numFmtId="49" fontId="16" fillId="0" borderId="15" xfId="21" applyNumberFormat="1" applyFont="1" applyFill="1" applyBorder="1" applyAlignment="1">
      <alignment horizontal="center" vertical="center"/>
    </xf>
    <xf numFmtId="49" fontId="16" fillId="0" borderId="17" xfId="21" applyNumberFormat="1" applyFont="1" applyFill="1" applyBorder="1" applyAlignment="1">
      <alignment horizontal="center" vertical="center"/>
    </xf>
    <xf numFmtId="0" fontId="16" fillId="0" borderId="18" xfId="21" applyFont="1" applyFill="1" applyBorder="1" applyAlignment="1">
      <alignment wrapText="1"/>
    </xf>
    <xf numFmtId="1" fontId="16" fillId="0" borderId="16" xfId="21" applyNumberFormat="1" applyFont="1" applyFill="1" applyBorder="1" applyAlignment="1">
      <alignment horizontal="center" vertical="center" wrapText="1"/>
    </xf>
    <xf numFmtId="0" fontId="16" fillId="0" borderId="51" xfId="21" applyFont="1" applyFill="1" applyBorder="1" applyAlignment="1">
      <alignment wrapText="1"/>
    </xf>
    <xf numFmtId="1" fontId="16" fillId="0" borderId="12" xfId="21" applyNumberFormat="1" applyFont="1" applyFill="1" applyBorder="1" applyAlignment="1">
      <alignment horizontal="center" vertical="center" wrapText="1"/>
    </xf>
    <xf numFmtId="49" fontId="16" fillId="0" borderId="8" xfId="21" applyNumberFormat="1" applyFont="1" applyFill="1" applyBorder="1" applyAlignment="1">
      <alignment horizontal="left" vertical="center"/>
    </xf>
    <xf numFmtId="0" fontId="16" fillId="0" borderId="51" xfId="21" applyFont="1" applyFill="1" applyBorder="1" applyAlignment="1">
      <alignment horizontal="justify" wrapText="1"/>
    </xf>
    <xf numFmtId="49" fontId="16" fillId="0" borderId="10" xfId="21" applyNumberFormat="1" applyFont="1" applyFill="1" applyBorder="1" applyAlignment="1">
      <alignment horizontal="center" vertical="center"/>
    </xf>
    <xf numFmtId="0" fontId="16" fillId="0" borderId="14" xfId="21" applyFont="1" applyFill="1" applyBorder="1" applyAlignment="1">
      <alignment wrapText="1"/>
    </xf>
    <xf numFmtId="1" fontId="16" fillId="0" borderId="13" xfId="21" applyNumberFormat="1" applyFont="1" applyFill="1" applyBorder="1" applyAlignment="1">
      <alignment horizontal="center" vertical="center" wrapText="1"/>
    </xf>
    <xf numFmtId="176" fontId="16" fillId="0" borderId="0" xfId="21" applyNumberFormat="1" applyFont="1" applyFill="1" applyAlignment="1">
      <alignment horizontal="center"/>
    </xf>
    <xf numFmtId="177" fontId="16" fillId="0" borderId="0" xfId="21" applyNumberFormat="1" applyFont="1" applyFill="1"/>
    <xf numFmtId="0" fontId="2" fillId="0" borderId="7" xfId="0" applyFont="1" applyFill="1" applyBorder="1" applyAlignment="1">
      <alignment horizontal="left" vertical="center"/>
    </xf>
    <xf numFmtId="166" fontId="2" fillId="0" borderId="53" xfId="0" applyNumberFormat="1" applyFont="1" applyBorder="1" applyAlignment="1">
      <alignment horizontal="justify" vertical="top" wrapText="1"/>
    </xf>
    <xf numFmtId="0" fontId="2" fillId="6" borderId="8" xfId="0" applyFont="1" applyFill="1" applyBorder="1" applyAlignment="1">
      <alignment horizontal="center" vertical="center"/>
    </xf>
    <xf numFmtId="0" fontId="2" fillId="0" borderId="8" xfId="0" applyFont="1" applyFill="1" applyBorder="1" applyAlignment="1">
      <alignment horizontal="center" vertical="center" wrapText="1"/>
    </xf>
    <xf numFmtId="38" fontId="19" fillId="0" borderId="12" xfId="16" applyNumberFormat="1" applyFont="1" applyFill="1" applyBorder="1" applyAlignment="1">
      <alignment horizontal="center" vertical="center"/>
    </xf>
    <xf numFmtId="3" fontId="18" fillId="0" borderId="12" xfId="21" applyNumberFormat="1" applyFont="1" applyFill="1" applyBorder="1" applyAlignment="1">
      <alignment horizontal="center" vertical="center" wrapText="1"/>
    </xf>
    <xf numFmtId="49" fontId="19" fillId="0" borderId="10" xfId="21" applyNumberFormat="1" applyFont="1" applyFill="1" applyBorder="1" applyAlignment="1">
      <alignment horizontal="center" vertical="center"/>
    </xf>
    <xf numFmtId="49" fontId="19" fillId="0" borderId="10" xfId="21" applyNumberFormat="1" applyFont="1" applyFill="1" applyBorder="1" applyAlignment="1">
      <alignment horizontal="center"/>
    </xf>
    <xf numFmtId="1" fontId="19" fillId="0" borderId="10" xfId="21" applyNumberFormat="1" applyFont="1" applyFill="1" applyBorder="1" applyAlignment="1">
      <alignment horizontal="center"/>
    </xf>
    <xf numFmtId="0" fontId="19" fillId="0" borderId="10" xfId="21" applyFont="1" applyFill="1" applyBorder="1" applyAlignment="1">
      <alignment horizontal="left"/>
    </xf>
    <xf numFmtId="172" fontId="19" fillId="0" borderId="10" xfId="16" applyNumberFormat="1" applyFont="1" applyFill="1" applyBorder="1" applyAlignment="1">
      <alignment horizontal="center"/>
    </xf>
    <xf numFmtId="0" fontId="19" fillId="0" borderId="10" xfId="21" applyFont="1" applyFill="1" applyBorder="1" applyAlignment="1">
      <alignment horizontal="center"/>
    </xf>
    <xf numFmtId="4" fontId="19" fillId="0" borderId="10" xfId="21" applyNumberFormat="1" applyFont="1" applyFill="1" applyBorder="1" applyAlignment="1">
      <alignment horizontal="center"/>
    </xf>
    <xf numFmtId="49" fontId="19" fillId="0" borderId="54" xfId="21" applyNumberFormat="1" applyFont="1" applyFill="1" applyBorder="1" applyAlignment="1">
      <alignment horizontal="center" vertical="center"/>
    </xf>
    <xf numFmtId="49" fontId="19" fillId="0" borderId="22" xfId="21" applyNumberFormat="1" applyFont="1" applyFill="1" applyBorder="1"/>
    <xf numFmtId="49" fontId="16" fillId="0" borderId="23" xfId="21" applyNumberFormat="1" applyFont="1" applyFill="1" applyBorder="1" applyAlignment="1">
      <alignment horizontal="center"/>
    </xf>
    <xf numFmtId="1" fontId="16" fillId="0" borderId="23" xfId="21" applyNumberFormat="1" applyFont="1" applyFill="1" applyBorder="1"/>
    <xf numFmtId="0" fontId="16" fillId="0" borderId="23" xfId="21" applyFont="1" applyFill="1" applyBorder="1" applyAlignment="1">
      <alignment horizontal="center"/>
    </xf>
    <xf numFmtId="172" fontId="16" fillId="0" borderId="23" xfId="16" applyNumberFormat="1" applyFont="1" applyFill="1" applyBorder="1"/>
    <xf numFmtId="10" fontId="19" fillId="0" borderId="23" xfId="27" applyNumberFormat="1" applyFont="1" applyFill="1" applyBorder="1" applyAlignment="1">
      <alignment horizontal="center"/>
    </xf>
    <xf numFmtId="40" fontId="19" fillId="0" borderId="24" xfId="16" applyFont="1" applyFill="1" applyBorder="1"/>
    <xf numFmtId="49" fontId="16" fillId="0" borderId="23" xfId="21" applyNumberFormat="1" applyFont="1" applyFill="1" applyBorder="1" applyAlignment="1">
      <alignment horizontal="center" vertical="center" wrapText="1"/>
    </xf>
    <xf numFmtId="1" fontId="16" fillId="0" borderId="23" xfId="21" applyNumberFormat="1" applyFont="1" applyFill="1" applyBorder="1" applyAlignment="1">
      <alignment horizontal="center" vertical="center" wrapText="1"/>
    </xf>
    <xf numFmtId="0" fontId="16" fillId="0" borderId="23" xfId="21" applyFont="1" applyFill="1" applyBorder="1" applyAlignment="1">
      <alignment horizontal="center" vertical="center" wrapText="1"/>
    </xf>
    <xf numFmtId="174" fontId="16" fillId="0" borderId="23" xfId="16" applyNumberFormat="1" applyFont="1" applyFill="1" applyBorder="1" applyAlignment="1">
      <alignment horizontal="center" vertical="center" wrapText="1"/>
    </xf>
    <xf numFmtId="10" fontId="16" fillId="0" borderId="23" xfId="27" applyNumberFormat="1" applyFont="1" applyFill="1" applyBorder="1" applyAlignment="1">
      <alignment horizontal="center" vertical="center" wrapText="1"/>
    </xf>
    <xf numFmtId="174" fontId="16" fillId="0" borderId="24" xfId="16" applyNumberFormat="1" applyFont="1" applyFill="1" applyBorder="1" applyAlignment="1">
      <alignment horizontal="center" vertical="center" wrapText="1"/>
    </xf>
    <xf numFmtId="49" fontId="19" fillId="0" borderId="25" xfId="21" applyNumberFormat="1" applyFont="1" applyFill="1" applyBorder="1"/>
    <xf numFmtId="49" fontId="16" fillId="0" borderId="0" xfId="21" applyNumberFormat="1" applyFont="1" applyFill="1" applyBorder="1" applyAlignment="1">
      <alignment horizontal="center" vertical="center" wrapText="1"/>
    </xf>
    <xf numFmtId="1" fontId="16" fillId="0" borderId="0" xfId="21" applyNumberFormat="1" applyFont="1" applyFill="1" applyBorder="1" applyAlignment="1">
      <alignment horizontal="center" vertical="center" wrapText="1"/>
    </xf>
    <xf numFmtId="0" fontId="16" fillId="0" borderId="0" xfId="21" applyFont="1" applyFill="1" applyBorder="1" applyAlignment="1">
      <alignment horizontal="center" vertical="center" wrapText="1"/>
    </xf>
    <xf numFmtId="174" fontId="16" fillId="0" borderId="0" xfId="16" applyNumberFormat="1" applyFont="1" applyFill="1" applyBorder="1" applyAlignment="1">
      <alignment horizontal="center" vertical="center" wrapText="1"/>
    </xf>
    <xf numFmtId="10" fontId="16" fillId="0" borderId="0" xfId="27" applyNumberFormat="1" applyFont="1" applyFill="1" applyBorder="1" applyAlignment="1">
      <alignment horizontal="center" vertical="center" wrapText="1"/>
    </xf>
    <xf numFmtId="174" fontId="16" fillId="0" borderId="27" xfId="16" applyNumberFormat="1" applyFont="1" applyFill="1" applyBorder="1" applyAlignment="1">
      <alignment horizontal="center" vertical="center" wrapText="1"/>
    </xf>
    <xf numFmtId="49" fontId="19" fillId="0" borderId="29" xfId="21" applyNumberFormat="1" applyFont="1" applyFill="1" applyBorder="1"/>
    <xf numFmtId="49" fontId="16" fillId="0" borderId="37" xfId="21" applyNumberFormat="1" applyFont="1" applyFill="1" applyBorder="1" applyAlignment="1">
      <alignment horizontal="center" vertical="center" wrapText="1"/>
    </xf>
    <xf numFmtId="1" fontId="16" fillId="0" borderId="37" xfId="21" applyNumberFormat="1" applyFont="1" applyFill="1" applyBorder="1" applyAlignment="1">
      <alignment horizontal="center" vertical="center" wrapText="1"/>
    </xf>
    <xf numFmtId="0" fontId="16" fillId="0" borderId="37" xfId="21" applyFont="1" applyFill="1" applyBorder="1" applyAlignment="1">
      <alignment horizontal="center" vertical="center" wrapText="1"/>
    </xf>
    <xf numFmtId="174" fontId="16" fillId="0" borderId="37" xfId="16" applyNumberFormat="1" applyFont="1" applyFill="1" applyBorder="1" applyAlignment="1">
      <alignment horizontal="center" vertical="center" wrapText="1"/>
    </xf>
    <xf numFmtId="10" fontId="16" fillId="0" borderId="37" xfId="27" applyNumberFormat="1" applyFont="1" applyFill="1" applyBorder="1" applyAlignment="1">
      <alignment horizontal="center" vertical="center" wrapText="1"/>
    </xf>
    <xf numFmtId="174" fontId="16" fillId="0" borderId="30" xfId="16" applyNumberFormat="1" applyFont="1" applyFill="1" applyBorder="1" applyAlignment="1">
      <alignment horizontal="center" vertical="center" wrapText="1"/>
    </xf>
    <xf numFmtId="10" fontId="19" fillId="0" borderId="12" xfId="27" applyNumberFormat="1" applyFont="1" applyFill="1" applyBorder="1" applyAlignment="1">
      <alignment horizontal="center"/>
    </xf>
    <xf numFmtId="4" fontId="18" fillId="0" borderId="8" xfId="21" applyNumberFormat="1" applyFont="1" applyFill="1" applyBorder="1"/>
    <xf numFmtId="0" fontId="3" fillId="6" borderId="8" xfId="0" applyFont="1" applyFill="1" applyBorder="1" applyAlignment="1">
      <alignment wrapText="1"/>
    </xf>
    <xf numFmtId="0" fontId="3" fillId="6" borderId="8" xfId="0" applyFont="1" applyFill="1" applyBorder="1"/>
    <xf numFmtId="0" fontId="3" fillId="7" borderId="7" xfId="0" applyFont="1" applyFill="1" applyBorder="1" applyAlignment="1">
      <alignment horizontal="center" vertical="center"/>
    </xf>
    <xf numFmtId="0" fontId="3" fillId="7" borderId="8" xfId="0" applyFont="1" applyFill="1" applyBorder="1"/>
    <xf numFmtId="0" fontId="2" fillId="7" borderId="8" xfId="0" applyFont="1" applyFill="1" applyBorder="1" applyAlignment="1">
      <alignment horizontal="center" vertical="center"/>
    </xf>
    <xf numFmtId="166" fontId="2" fillId="7" borderId="8" xfId="0" applyNumberFormat="1" applyFont="1" applyFill="1" applyBorder="1" applyAlignment="1">
      <alignment horizontal="right" vertical="center"/>
    </xf>
    <xf numFmtId="0" fontId="3" fillId="6" borderId="8" xfId="0" applyFont="1" applyFill="1" applyBorder="1" applyAlignment="1">
      <alignment horizontal="center"/>
    </xf>
    <xf numFmtId="0" fontId="2" fillId="0" borderId="0" xfId="0" applyFont="1" applyAlignment="1">
      <alignment horizontal="center"/>
    </xf>
    <xf numFmtId="0" fontId="2" fillId="0" borderId="12" xfId="0" applyFont="1" applyFill="1" applyBorder="1" applyAlignment="1">
      <alignment wrapText="1"/>
    </xf>
    <xf numFmtId="0" fontId="2" fillId="0" borderId="12" xfId="0" applyFont="1" applyFill="1" applyBorder="1" applyAlignment="1">
      <alignment horizontal="left" vertical="center"/>
    </xf>
    <xf numFmtId="0" fontId="2" fillId="0" borderId="12" xfId="0" applyFont="1" applyFill="1" applyBorder="1" applyAlignment="1">
      <alignment horizontal="center" vertical="top"/>
    </xf>
    <xf numFmtId="0" fontId="3" fillId="6" borderId="17" xfId="0" applyFont="1" applyFill="1" applyBorder="1"/>
    <xf numFmtId="0" fontId="2" fillId="6" borderId="17" xfId="0" applyFont="1" applyFill="1" applyBorder="1" applyAlignment="1">
      <alignment horizontal="center" vertical="center"/>
    </xf>
    <xf numFmtId="0" fontId="2" fillId="0" borderId="8" xfId="0" applyFont="1" applyFill="1" applyBorder="1" applyAlignment="1">
      <alignment horizontal="left" wrapText="1"/>
    </xf>
    <xf numFmtId="0" fontId="2" fillId="6" borderId="18" xfId="0" applyFont="1" applyFill="1" applyBorder="1" applyAlignment="1">
      <alignment horizontal="center" vertical="center"/>
    </xf>
    <xf numFmtId="171" fontId="2" fillId="0" borderId="51" xfId="0" applyNumberFormat="1" applyFont="1" applyBorder="1" applyAlignment="1">
      <alignment horizontal="right" vertical="center"/>
    </xf>
    <xf numFmtId="171" fontId="2" fillId="0" borderId="51" xfId="0" applyNumberFormat="1" applyFont="1" applyFill="1" applyBorder="1" applyAlignment="1">
      <alignment horizontal="right" vertical="center"/>
    </xf>
    <xf numFmtId="0" fontId="2" fillId="6" borderId="51" xfId="0" applyFont="1" applyFill="1" applyBorder="1" applyAlignment="1">
      <alignment horizontal="center" vertical="center"/>
    </xf>
    <xf numFmtId="0" fontId="2" fillId="7" borderId="51" xfId="0" applyFont="1" applyFill="1" applyBorder="1" applyAlignment="1">
      <alignment horizontal="center" vertical="center"/>
    </xf>
    <xf numFmtId="2" fontId="2" fillId="0" borderId="51" xfId="0" applyNumberFormat="1" applyFont="1" applyFill="1" applyBorder="1" applyAlignment="1">
      <alignment horizontal="right" vertical="center"/>
    </xf>
    <xf numFmtId="0" fontId="2" fillId="0" borderId="51" xfId="0" applyFont="1" applyFill="1" applyBorder="1" applyAlignment="1">
      <alignment horizontal="right" vertical="center"/>
    </xf>
    <xf numFmtId="0" fontId="2" fillId="6" borderId="8" xfId="0" applyFont="1" applyFill="1" applyBorder="1" applyAlignment="1">
      <alignment horizontal="center"/>
    </xf>
    <xf numFmtId="0" fontId="2" fillId="6" borderId="8" xfId="0" applyFont="1" applyFill="1" applyBorder="1"/>
    <xf numFmtId="0" fontId="2" fillId="7" borderId="8" xfId="0" applyFont="1" applyFill="1" applyBorder="1"/>
    <xf numFmtId="0" fontId="3" fillId="0" borderId="8" xfId="0" applyFont="1" applyBorder="1" applyAlignment="1">
      <alignment horizontal="center"/>
    </xf>
    <xf numFmtId="0" fontId="3" fillId="7" borderId="8" xfId="0" applyFont="1" applyFill="1" applyBorder="1" applyAlignment="1">
      <alignment horizontal="center"/>
    </xf>
    <xf numFmtId="0" fontId="3" fillId="6" borderId="16" xfId="0" applyFont="1" applyFill="1" applyBorder="1" applyAlignment="1">
      <alignment horizontal="center" vertical="center"/>
    </xf>
    <xf numFmtId="0" fontId="2" fillId="0" borderId="12" xfId="0" applyFont="1" applyBorder="1" applyAlignment="1">
      <alignment horizontal="center" vertical="center"/>
    </xf>
    <xf numFmtId="0" fontId="3" fillId="6" borderId="12" xfId="0" applyFont="1" applyFill="1" applyBorder="1" applyAlignment="1">
      <alignment horizontal="center" vertical="center"/>
    </xf>
    <xf numFmtId="0" fontId="3" fillId="7" borderId="12" xfId="0" applyFont="1" applyFill="1" applyBorder="1" applyAlignment="1">
      <alignment horizontal="center" vertical="center"/>
    </xf>
    <xf numFmtId="0" fontId="2" fillId="0" borderId="8" xfId="0" applyFont="1" applyFill="1" applyBorder="1" applyAlignment="1">
      <alignment horizontal="center" wrapText="1"/>
    </xf>
    <xf numFmtId="0" fontId="2" fillId="0" borderId="8" xfId="0" applyFont="1" applyFill="1" applyBorder="1" applyAlignment="1">
      <alignment horizontal="center"/>
    </xf>
    <xf numFmtId="0" fontId="29" fillId="0" borderId="8" xfId="0" applyFont="1" applyFill="1" applyBorder="1" applyAlignment="1">
      <alignment horizontal="center" vertical="center" wrapText="1"/>
    </xf>
    <xf numFmtId="178" fontId="2" fillId="0" borderId="8" xfId="14" applyNumberFormat="1" applyFont="1" applyFill="1" applyBorder="1" applyAlignment="1">
      <alignment horizontal="right" vertical="center"/>
    </xf>
    <xf numFmtId="41" fontId="2" fillId="0" borderId="8" xfId="14" applyNumberFormat="1" applyFont="1" applyFill="1" applyBorder="1" applyAlignment="1">
      <alignment horizontal="right" vertical="center"/>
    </xf>
    <xf numFmtId="178" fontId="3" fillId="0" borderId="0" xfId="14" applyNumberFormat="1" applyFont="1" applyFill="1" applyAlignment="1">
      <alignment vertical="center" wrapText="1"/>
    </xf>
    <xf numFmtId="178" fontId="4" fillId="0" borderId="1" xfId="14" applyNumberFormat="1" applyFont="1" applyFill="1" applyBorder="1" applyAlignment="1">
      <alignment horizontal="center" vertical="center"/>
    </xf>
    <xf numFmtId="178" fontId="2" fillId="6" borderId="8" xfId="14" applyNumberFormat="1" applyFont="1" applyFill="1" applyBorder="1" applyAlignment="1">
      <alignment horizontal="center" vertical="center"/>
    </xf>
    <xf numFmtId="178" fontId="2" fillId="0" borderId="8" xfId="14" applyNumberFormat="1" applyFont="1" applyBorder="1" applyAlignment="1">
      <alignment horizontal="right" vertical="center"/>
    </xf>
    <xf numFmtId="178" fontId="2" fillId="7" borderId="8" xfId="14" applyNumberFormat="1" applyFont="1" applyFill="1" applyBorder="1" applyAlignment="1">
      <alignment horizontal="center" vertical="center"/>
    </xf>
    <xf numFmtId="178" fontId="7" fillId="0" borderId="8" xfId="14" applyNumberFormat="1" applyFont="1" applyFill="1" applyBorder="1" applyAlignment="1">
      <alignment horizontal="right" vertical="center"/>
    </xf>
    <xf numFmtId="178" fontId="2" fillId="0" borderId="0" xfId="14" applyNumberFormat="1" applyFont="1" applyFill="1"/>
    <xf numFmtId="178" fontId="7" fillId="7" borderId="8" xfId="14" applyNumberFormat="1" applyFont="1" applyFill="1" applyBorder="1" applyAlignment="1">
      <alignment horizontal="center" vertical="center"/>
    </xf>
    <xf numFmtId="0" fontId="7" fillId="0" borderId="7" xfId="0" applyFont="1" applyFill="1" applyBorder="1" applyAlignment="1">
      <alignment horizontal="center" vertical="center"/>
    </xf>
    <xf numFmtId="9" fontId="7" fillId="0" borderId="20" xfId="25" applyFont="1" applyFill="1" applyBorder="1" applyAlignment="1">
      <alignment horizontal="center" vertical="center" wrapText="1"/>
    </xf>
    <xf numFmtId="179" fontId="7" fillId="0" borderId="55" xfId="14" applyNumberFormat="1" applyFont="1" applyFill="1" applyBorder="1" applyAlignment="1">
      <alignment horizontal="right" vertical="center"/>
    </xf>
    <xf numFmtId="9" fontId="2" fillId="0" borderId="0" xfId="25" applyFont="1" applyFill="1" applyBorder="1"/>
    <xf numFmtId="9" fontId="2" fillId="0" borderId="0" xfId="25" applyFont="1" applyFill="1" applyBorder="1" applyAlignment="1">
      <alignment horizontal="center"/>
    </xf>
    <xf numFmtId="0" fontId="2" fillId="0" borderId="11" xfId="0" applyFont="1" applyBorder="1"/>
    <xf numFmtId="0" fontId="2" fillId="0" borderId="18" xfId="0" applyFont="1" applyBorder="1"/>
    <xf numFmtId="180" fontId="3" fillId="0" borderId="0" xfId="14" applyNumberFormat="1" applyFont="1" applyFill="1" applyAlignment="1">
      <alignment vertical="center" wrapText="1"/>
    </xf>
    <xf numFmtId="180" fontId="4" fillId="0" borderId="1" xfId="14" applyNumberFormat="1" applyFont="1" applyFill="1" applyBorder="1" applyAlignment="1">
      <alignment horizontal="center" vertical="center" wrapText="1"/>
    </xf>
    <xf numFmtId="180" fontId="4" fillId="0" borderId="3" xfId="14" applyNumberFormat="1" applyFont="1" applyFill="1" applyBorder="1" applyAlignment="1">
      <alignment horizontal="center" vertical="center" wrapText="1"/>
    </xf>
    <xf numFmtId="180" fontId="2" fillId="6" borderId="8" xfId="14" applyNumberFormat="1" applyFont="1" applyFill="1" applyBorder="1" applyAlignment="1">
      <alignment horizontal="right" vertical="center"/>
    </xf>
    <xf numFmtId="180" fontId="3" fillId="6" borderId="9" xfId="14" applyNumberFormat="1" applyFont="1" applyFill="1" applyBorder="1" applyAlignment="1">
      <alignment horizontal="right" vertical="center"/>
    </xf>
    <xf numFmtId="180" fontId="2" fillId="0" borderId="8" xfId="14" applyNumberFormat="1" applyFont="1" applyFill="1" applyBorder="1" applyAlignment="1">
      <alignment horizontal="right" vertical="center"/>
    </xf>
    <xf numFmtId="180" fontId="2" fillId="0" borderId="9" xfId="14" applyNumberFormat="1" applyFont="1" applyFill="1" applyBorder="1" applyAlignment="1">
      <alignment horizontal="right" vertical="center"/>
    </xf>
    <xf numFmtId="180" fontId="2" fillId="7" borderId="8" xfId="14" applyNumberFormat="1" applyFont="1" applyFill="1" applyBorder="1" applyAlignment="1">
      <alignment horizontal="right" vertical="center"/>
    </xf>
    <xf numFmtId="180" fontId="3" fillId="7" borderId="9" xfId="14" applyNumberFormat="1" applyFont="1" applyFill="1" applyBorder="1" applyAlignment="1">
      <alignment horizontal="right" vertical="center"/>
    </xf>
    <xf numFmtId="180" fontId="2" fillId="0" borderId="0" xfId="14" applyNumberFormat="1" applyFont="1" applyFill="1"/>
    <xf numFmtId="180" fontId="28" fillId="0" borderId="0" xfId="14" applyNumberFormat="1" applyFont="1" applyFill="1" applyAlignment="1">
      <alignment horizontal="right"/>
    </xf>
    <xf numFmtId="180" fontId="2" fillId="0" borderId="0" xfId="14" applyNumberFormat="1" applyFont="1" applyFill="1" applyAlignment="1">
      <alignment horizontal="right"/>
    </xf>
    <xf numFmtId="166" fontId="3" fillId="0" borderId="8" xfId="0" applyNumberFormat="1" applyFont="1" applyBorder="1" applyAlignment="1">
      <alignment horizontal="right" vertical="center"/>
    </xf>
    <xf numFmtId="9" fontId="2" fillId="0" borderId="19" xfId="25" applyFont="1" applyFill="1" applyBorder="1" applyAlignment="1">
      <alignment horizontal="center"/>
    </xf>
    <xf numFmtId="178" fontId="3" fillId="0" borderId="0" xfId="14" applyNumberFormat="1" applyFont="1" applyAlignment="1">
      <alignment vertical="center" wrapText="1"/>
    </xf>
    <xf numFmtId="178" fontId="4" fillId="2" borderId="1" xfId="14" applyNumberFormat="1" applyFont="1" applyFill="1" applyBorder="1" applyAlignment="1">
      <alignment horizontal="center" vertical="center"/>
    </xf>
    <xf numFmtId="178" fontId="2" fillId="3" borderId="8" xfId="14" applyNumberFormat="1" applyFont="1" applyFill="1" applyBorder="1" applyAlignment="1">
      <alignment horizontal="center" vertical="center"/>
    </xf>
    <xf numFmtId="178" fontId="2" fillId="5" borderId="8" xfId="14" applyNumberFormat="1" applyFont="1" applyFill="1" applyBorder="1" applyAlignment="1">
      <alignment horizontal="center" vertical="center"/>
    </xf>
    <xf numFmtId="178" fontId="2" fillId="0" borderId="41" xfId="14" applyNumberFormat="1" applyFont="1" applyBorder="1" applyAlignment="1">
      <alignment horizontal="right" vertical="center"/>
    </xf>
    <xf numFmtId="178" fontId="2" fillId="0" borderId="0" xfId="14" applyNumberFormat="1" applyFont="1"/>
    <xf numFmtId="0" fontId="4" fillId="2" borderId="0" xfId="0" applyFont="1" applyFill="1" applyBorder="1" applyAlignment="1">
      <alignment horizontal="center" vertical="center" wrapText="1"/>
    </xf>
    <xf numFmtId="0" fontId="2" fillId="0" borderId="51" xfId="0" applyFont="1" applyFill="1" applyBorder="1" applyAlignment="1">
      <alignment horizontal="center" vertical="center"/>
    </xf>
    <xf numFmtId="1" fontId="2" fillId="0" borderId="51" xfId="0" applyNumberFormat="1" applyFont="1" applyFill="1" applyBorder="1" applyAlignment="1">
      <alignment horizontal="center" vertical="center"/>
    </xf>
    <xf numFmtId="171" fontId="7" fillId="0" borderId="51" xfId="0" applyNumberFormat="1" applyFont="1" applyBorder="1" applyAlignment="1">
      <alignment horizontal="right" vertical="center"/>
    </xf>
    <xf numFmtId="0" fontId="2" fillId="0" borderId="0" xfId="0" applyFont="1" applyFill="1" applyAlignment="1">
      <alignment horizontal="center"/>
    </xf>
    <xf numFmtId="43" fontId="2" fillId="0" borderId="51" xfId="0" applyNumberFormat="1" applyFont="1" applyFill="1" applyBorder="1" applyAlignment="1">
      <alignment horizontal="center" vertical="center"/>
    </xf>
    <xf numFmtId="0" fontId="3" fillId="8" borderId="7" xfId="0" applyFont="1" applyFill="1" applyBorder="1" applyAlignment="1">
      <alignment horizontal="center" vertical="center"/>
    </xf>
    <xf numFmtId="49" fontId="27" fillId="0" borderId="0" xfId="0" applyNumberFormat="1" applyFont="1" applyFill="1" applyAlignment="1">
      <alignment horizontal="center" vertical="center"/>
    </xf>
    <xf numFmtId="0" fontId="4" fillId="2" borderId="56" xfId="0" applyFont="1" applyFill="1" applyBorder="1" applyAlignment="1">
      <alignment horizontal="center" vertical="center" wrapText="1"/>
    </xf>
    <xf numFmtId="0" fontId="0" fillId="0" borderId="12" xfId="0" applyFill="1" applyBorder="1" applyAlignment="1">
      <alignment horizontal="center"/>
    </xf>
    <xf numFmtId="166" fontId="3" fillId="0" borderId="9" xfId="0" applyNumberFormat="1" applyFont="1" applyFill="1" applyBorder="1" applyAlignment="1">
      <alignment horizontal="right" vertical="center"/>
    </xf>
    <xf numFmtId="171" fontId="24" fillId="0" borderId="8" xfId="0" applyNumberFormat="1" applyFont="1" applyFill="1" applyBorder="1" applyAlignment="1">
      <alignment horizontal="center" vertical="center"/>
    </xf>
    <xf numFmtId="166" fontId="24" fillId="0" borderId="8" xfId="0" applyNumberFormat="1" applyFont="1" applyBorder="1" applyAlignment="1">
      <alignment horizontal="right" vertical="center"/>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0" fillId="0" borderId="8" xfId="0" applyFill="1" applyBorder="1" applyAlignment="1">
      <alignment horizontal="center"/>
    </xf>
    <xf numFmtId="166" fontId="3" fillId="0" borderId="8" xfId="0" applyNumberFormat="1" applyFont="1" applyFill="1" applyBorder="1" applyAlignment="1">
      <alignment horizontal="right" vertical="center"/>
    </xf>
    <xf numFmtId="2" fontId="24" fillId="0" borderId="8" xfId="0" applyNumberFormat="1" applyFont="1" applyFill="1" applyBorder="1" applyAlignment="1">
      <alignment horizontal="center" vertical="center"/>
    </xf>
    <xf numFmtId="166" fontId="24" fillId="0" borderId="8" xfId="0" applyNumberFormat="1" applyFont="1" applyBorder="1" applyAlignment="1">
      <alignment vertical="justify" wrapText="1"/>
    </xf>
    <xf numFmtId="166" fontId="24" fillId="0" borderId="8" xfId="0" applyNumberFormat="1" applyFont="1" applyBorder="1" applyAlignment="1">
      <alignment vertical="justify"/>
    </xf>
    <xf numFmtId="0" fontId="0" fillId="0" borderId="8" xfId="0" applyBorder="1" applyAlignment="1">
      <alignment horizontal="center"/>
    </xf>
    <xf numFmtId="0" fontId="0" fillId="0" borderId="8" xfId="0" applyBorder="1" applyAlignment="1"/>
    <xf numFmtId="0" fontId="2" fillId="0" borderId="8" xfId="0" applyFont="1" applyBorder="1" applyAlignment="1">
      <alignment horizontal="center"/>
    </xf>
    <xf numFmtId="0" fontId="2" fillId="0" borderId="13" xfId="0" applyFont="1" applyFill="1" applyBorder="1" applyAlignment="1">
      <alignment horizontal="center" vertical="center"/>
    </xf>
    <xf numFmtId="0" fontId="2" fillId="0" borderId="10" xfId="0" applyFont="1" applyFill="1" applyBorder="1" applyAlignment="1">
      <alignment wrapText="1"/>
    </xf>
    <xf numFmtId="0" fontId="2" fillId="0" borderId="10" xfId="0" applyFont="1" applyFill="1" applyBorder="1" applyAlignment="1">
      <alignment horizontal="center" vertical="center"/>
    </xf>
    <xf numFmtId="2" fontId="2" fillId="0" borderId="14" xfId="0" applyNumberFormat="1" applyFont="1" applyFill="1" applyBorder="1" applyAlignment="1">
      <alignment horizontal="right" vertical="center"/>
    </xf>
    <xf numFmtId="2" fontId="2" fillId="0" borderId="8" xfId="0" applyNumberFormat="1" applyFont="1" applyFill="1" applyBorder="1" applyAlignment="1">
      <alignment horizontal="right" vertical="center"/>
    </xf>
    <xf numFmtId="181" fontId="2" fillId="0" borderId="0" xfId="0" applyNumberFormat="1" applyFont="1" applyFill="1"/>
    <xf numFmtId="182" fontId="33" fillId="0" borderId="0" xfId="13" applyNumberFormat="1" applyFont="1"/>
    <xf numFmtId="0" fontId="36" fillId="0" borderId="8" xfId="0" applyFont="1" applyFill="1" applyBorder="1" applyAlignment="1">
      <alignment horizontal="center" vertical="center"/>
    </xf>
    <xf numFmtId="2" fontId="36" fillId="0" borderId="8" xfId="0" applyNumberFormat="1" applyFont="1" applyFill="1" applyBorder="1" applyAlignment="1">
      <alignment horizontal="center" vertical="center"/>
    </xf>
    <xf numFmtId="49" fontId="18" fillId="0" borderId="51" xfId="0" applyNumberFormat="1" applyFont="1" applyFill="1" applyBorder="1" applyAlignment="1">
      <alignment horizontal="center" vertical="center" wrapText="1"/>
    </xf>
    <xf numFmtId="49" fontId="36" fillId="0" borderId="52" xfId="0" applyNumberFormat="1" applyFont="1" applyFill="1" applyBorder="1" applyAlignment="1">
      <alignment horizontal="center" vertical="center" wrapText="1"/>
    </xf>
    <xf numFmtId="0" fontId="36" fillId="0" borderId="52" xfId="0" applyNumberFormat="1" applyFont="1" applyFill="1" applyBorder="1" applyAlignment="1">
      <alignment horizontal="center" vertical="center" wrapText="1"/>
    </xf>
    <xf numFmtId="0" fontId="36" fillId="0" borderId="52" xfId="0" applyFont="1" applyFill="1" applyBorder="1" applyAlignment="1">
      <alignment horizontal="center" vertical="center" wrapText="1"/>
    </xf>
    <xf numFmtId="0" fontId="36" fillId="0" borderId="0" xfId="0" applyFont="1" applyFill="1" applyAlignment="1">
      <alignment horizontal="center" vertical="center"/>
    </xf>
    <xf numFmtId="0" fontId="36" fillId="0" borderId="14" xfId="0" applyFont="1" applyFill="1" applyBorder="1" applyAlignment="1">
      <alignment horizontal="center" vertical="center"/>
    </xf>
    <xf numFmtId="2" fontId="36" fillId="0" borderId="8" xfId="13" applyNumberFormat="1" applyFont="1" applyFill="1" applyBorder="1" applyAlignment="1">
      <alignment horizontal="center" vertical="center"/>
    </xf>
    <xf numFmtId="0" fontId="36" fillId="0" borderId="10" xfId="0" applyFont="1" applyFill="1" applyBorder="1" applyAlignment="1">
      <alignment horizontal="center" vertical="center"/>
    </xf>
    <xf numFmtId="0" fontId="27" fillId="0" borderId="0" xfId="0" applyFont="1" applyFill="1" applyAlignment="1">
      <alignment horizontal="center" vertical="center"/>
    </xf>
    <xf numFmtId="41" fontId="27" fillId="0" borderId="8" xfId="14" applyFont="1" applyFill="1" applyBorder="1" applyAlignment="1">
      <alignment horizontal="center" vertical="center"/>
    </xf>
    <xf numFmtId="0" fontId="30" fillId="0" borderId="0" xfId="0" applyFont="1" applyFill="1" applyAlignment="1">
      <alignment horizontal="center" vertical="center"/>
    </xf>
    <xf numFmtId="49" fontId="27" fillId="0" borderId="0" xfId="13" applyNumberFormat="1" applyFont="1" applyFill="1" applyAlignment="1">
      <alignment horizontal="center" vertical="center"/>
    </xf>
    <xf numFmtId="0" fontId="12" fillId="0" borderId="0" xfId="13" applyNumberFormat="1" applyFont="1" applyFill="1" applyAlignment="1">
      <alignment horizontal="center" vertical="center"/>
    </xf>
    <xf numFmtId="0" fontId="27" fillId="0" borderId="0" xfId="0" applyFont="1" applyAlignment="1">
      <alignment horizontal="center" vertical="center"/>
    </xf>
    <xf numFmtId="0" fontId="30" fillId="0" borderId="0" xfId="0" applyFont="1" applyAlignment="1">
      <alignment horizontal="center" vertical="center"/>
    </xf>
    <xf numFmtId="2" fontId="36" fillId="0" borderId="52" xfId="13" applyNumberFormat="1" applyFont="1" applyFill="1" applyBorder="1" applyAlignment="1">
      <alignment horizontal="center" vertical="center"/>
    </xf>
    <xf numFmtId="2" fontId="36" fillId="0" borderId="52" xfId="0" applyNumberFormat="1" applyFont="1" applyFill="1" applyBorder="1" applyAlignment="1">
      <alignment horizontal="center" vertical="center"/>
    </xf>
    <xf numFmtId="0" fontId="36" fillId="0" borderId="52" xfId="0" applyFont="1" applyFill="1" applyBorder="1" applyAlignment="1">
      <alignment horizontal="center" vertical="center"/>
    </xf>
    <xf numFmtId="2" fontId="36" fillId="0" borderId="52" xfId="0" applyNumberFormat="1" applyFont="1" applyFill="1" applyBorder="1" applyAlignment="1">
      <alignment horizontal="center" vertical="center" wrapText="1"/>
    </xf>
    <xf numFmtId="2" fontId="27" fillId="0" borderId="0" xfId="13" applyNumberFormat="1" applyFont="1" applyFill="1" applyAlignment="1">
      <alignment horizontal="center" vertical="center"/>
    </xf>
    <xf numFmtId="2" fontId="12" fillId="0" borderId="8" xfId="0" applyNumberFormat="1" applyFont="1" applyFill="1" applyBorder="1" applyAlignment="1">
      <alignment horizontal="center" vertical="center"/>
    </xf>
    <xf numFmtId="2" fontId="12" fillId="0" borderId="0" xfId="13" applyNumberFormat="1" applyFont="1" applyFill="1" applyAlignment="1">
      <alignment horizontal="center" vertical="center"/>
    </xf>
    <xf numFmtId="49" fontId="36" fillId="0" borderId="51" xfId="0" applyNumberFormat="1" applyFont="1" applyFill="1" applyBorder="1" applyAlignment="1">
      <alignment horizontal="center" vertical="center"/>
    </xf>
    <xf numFmtId="49" fontId="36" fillId="0" borderId="52" xfId="0" applyNumberFormat="1" applyFont="1" applyFill="1" applyBorder="1" applyAlignment="1">
      <alignment horizontal="center" vertical="center"/>
    </xf>
    <xf numFmtId="171" fontId="36" fillId="0" borderId="8" xfId="0" applyNumberFormat="1" applyFont="1" applyFill="1" applyBorder="1" applyAlignment="1">
      <alignment horizontal="center" vertical="center"/>
    </xf>
    <xf numFmtId="171" fontId="36" fillId="0" borderId="52" xfId="0" applyNumberFormat="1" applyFont="1" applyFill="1" applyBorder="1" applyAlignment="1">
      <alignment horizontal="center" vertical="center"/>
    </xf>
    <xf numFmtId="41" fontId="27" fillId="0" borderId="8" xfId="14" applyNumberFormat="1" applyFont="1" applyFill="1" applyBorder="1" applyAlignment="1">
      <alignment horizontal="center" vertical="center"/>
    </xf>
    <xf numFmtId="0" fontId="36" fillId="0" borderId="55" xfId="0" applyFont="1" applyFill="1" applyBorder="1" applyAlignment="1">
      <alignment horizontal="center" vertical="center"/>
    </xf>
    <xf numFmtId="0" fontId="3" fillId="6" borderId="8" xfId="0" applyFont="1" applyFill="1" applyBorder="1" applyAlignment="1">
      <alignment vertical="center"/>
    </xf>
    <xf numFmtId="0" fontId="2" fillId="0" borderId="8" xfId="0" applyFont="1" applyFill="1" applyBorder="1" applyAlignment="1">
      <alignment vertical="center"/>
    </xf>
    <xf numFmtId="0" fontId="3" fillId="7" borderId="8" xfId="0" applyFont="1" applyFill="1" applyBorder="1" applyAlignment="1">
      <alignment vertical="center"/>
    </xf>
    <xf numFmtId="0" fontId="3" fillId="6" borderId="8" xfId="0" applyFont="1" applyFill="1" applyBorder="1" applyAlignment="1">
      <alignment vertical="center" wrapText="1"/>
    </xf>
    <xf numFmtId="0" fontId="4"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4" fillId="0" borderId="84" xfId="0" applyFont="1" applyFill="1" applyBorder="1" applyAlignment="1">
      <alignment horizontal="center" vertical="center"/>
    </xf>
    <xf numFmtId="0" fontId="7" fillId="0" borderId="12" xfId="0" applyFont="1" applyFill="1" applyBorder="1" applyAlignment="1">
      <alignment horizontal="center" vertical="center"/>
    </xf>
    <xf numFmtId="0" fontId="2" fillId="6" borderId="79" xfId="0" applyFont="1" applyFill="1" applyBorder="1" applyAlignment="1">
      <alignment vertical="center"/>
    </xf>
    <xf numFmtId="0" fontId="2" fillId="0" borderId="79" xfId="0" applyFont="1" applyFill="1" applyBorder="1" applyAlignment="1">
      <alignment horizontal="center" vertical="center"/>
    </xf>
    <xf numFmtId="0" fontId="2" fillId="7" borderId="7" xfId="0" applyFont="1" applyFill="1" applyBorder="1" applyAlignment="1">
      <alignment horizontal="center" vertical="center"/>
    </xf>
    <xf numFmtId="166" fontId="2" fillId="7" borderId="7" xfId="0" applyNumberFormat="1" applyFont="1" applyFill="1" applyBorder="1" applyAlignment="1">
      <alignment horizontal="right" vertical="center"/>
    </xf>
    <xf numFmtId="0" fontId="2" fillId="6" borderId="78" xfId="0" applyFont="1" applyFill="1" applyBorder="1" applyAlignment="1">
      <alignment vertical="center"/>
    </xf>
    <xf numFmtId="0" fontId="2" fillId="6" borderId="7" xfId="0" applyFont="1" applyFill="1" applyBorder="1" applyAlignment="1">
      <alignment vertical="center"/>
    </xf>
    <xf numFmtId="0" fontId="4" fillId="2" borderId="84"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7" xfId="0" applyFont="1" applyFill="1" applyBorder="1" applyAlignment="1">
      <alignment wrapText="1"/>
    </xf>
    <xf numFmtId="0" fontId="2" fillId="5" borderId="17" xfId="0" applyFont="1" applyFill="1" applyBorder="1" applyAlignment="1">
      <alignment horizontal="center" vertical="center"/>
    </xf>
    <xf numFmtId="166" fontId="2" fillId="5" borderId="17" xfId="0" applyNumberFormat="1" applyFont="1" applyFill="1" applyBorder="1" applyAlignment="1">
      <alignment horizontal="right" vertical="center"/>
    </xf>
    <xf numFmtId="166" fontId="3" fillId="5" borderId="62" xfId="0" applyNumberFormat="1" applyFont="1" applyFill="1" applyBorder="1" applyAlignment="1">
      <alignment horizontal="right" vertical="center"/>
    </xf>
    <xf numFmtId="0" fontId="3" fillId="5" borderId="79" xfId="0" applyFont="1" applyFill="1" applyBorder="1" applyAlignment="1">
      <alignment horizontal="center" vertical="center"/>
    </xf>
    <xf numFmtId="0" fontId="36" fillId="0" borderId="51" xfId="0" applyFont="1" applyFill="1" applyBorder="1" applyAlignment="1">
      <alignment horizontal="center" vertical="center"/>
    </xf>
    <xf numFmtId="44" fontId="2" fillId="0" borderId="0" xfId="17" applyFont="1" applyFill="1"/>
    <xf numFmtId="44" fontId="2" fillId="0" borderId="0" xfId="0" applyNumberFormat="1" applyFont="1" applyFill="1"/>
    <xf numFmtId="0" fontId="35" fillId="0" borderId="0" xfId="0" applyFont="1" applyFill="1"/>
    <xf numFmtId="0" fontId="0" fillId="0" borderId="0" xfId="0" applyAlignment="1">
      <alignment horizontal="center"/>
    </xf>
    <xf numFmtId="0" fontId="38" fillId="0" borderId="0" xfId="0" applyFont="1" applyAlignment="1">
      <alignment horizontal="center"/>
    </xf>
    <xf numFmtId="0" fontId="12" fillId="0" borderId="51" xfId="0" applyNumberFormat="1" applyFont="1" applyFill="1" applyBorder="1" applyAlignment="1">
      <alignment horizontal="center" vertical="center"/>
    </xf>
    <xf numFmtId="0" fontId="12" fillId="0" borderId="0" xfId="0" applyFont="1" applyAlignment="1">
      <alignment horizontal="center" vertical="center"/>
    </xf>
    <xf numFmtId="0" fontId="12" fillId="0" borderId="0" xfId="0" applyFont="1" applyFill="1" applyAlignment="1">
      <alignment horizontal="center" vertical="center"/>
    </xf>
    <xf numFmtId="0" fontId="12" fillId="0" borderId="52" xfId="0" applyFont="1" applyFill="1" applyBorder="1" applyAlignment="1">
      <alignment horizontal="center" vertical="center" wrapText="1"/>
    </xf>
    <xf numFmtId="0" fontId="12" fillId="0" borderId="51" xfId="0" applyFont="1" applyFill="1" applyBorder="1" applyAlignment="1">
      <alignment horizontal="center" vertical="center"/>
    </xf>
    <xf numFmtId="0" fontId="12" fillId="0" borderId="8" xfId="0" applyFont="1" applyBorder="1" applyAlignment="1">
      <alignment horizontal="center" vertical="center"/>
    </xf>
    <xf numFmtId="0" fontId="12" fillId="0" borderId="8" xfId="0" applyFont="1" applyFill="1" applyBorder="1" applyAlignment="1">
      <alignment horizontal="center" vertical="center" wrapText="1"/>
    </xf>
    <xf numFmtId="0" fontId="12" fillId="0" borderId="52" xfId="0" applyFont="1" applyFill="1" applyBorder="1" applyAlignment="1">
      <alignment horizontal="center" vertical="center"/>
    </xf>
    <xf numFmtId="0" fontId="12" fillId="0" borderId="8" xfId="0" applyFont="1" applyFill="1" applyBorder="1" applyAlignment="1">
      <alignment horizontal="center" vertical="center"/>
    </xf>
    <xf numFmtId="41" fontId="12" fillId="0" borderId="8" xfId="14" applyFont="1" applyFill="1" applyBorder="1" applyAlignment="1">
      <alignment horizontal="center" vertical="center"/>
    </xf>
    <xf numFmtId="0" fontId="12" fillId="0" borderId="0" xfId="0" applyFont="1" applyFill="1" applyBorder="1" applyAlignment="1">
      <alignment horizontal="center" vertical="center" textRotation="90" wrapText="1"/>
    </xf>
    <xf numFmtId="0" fontId="27" fillId="0" borderId="0" xfId="0" applyFont="1" applyBorder="1" applyAlignment="1">
      <alignment horizontal="center" vertical="center"/>
    </xf>
    <xf numFmtId="2" fontId="12" fillId="0" borderId="8" xfId="13" applyNumberFormat="1" applyFont="1" applyFill="1" applyBorder="1" applyAlignment="1">
      <alignment horizontal="center" vertical="center"/>
    </xf>
    <xf numFmtId="49" fontId="32" fillId="0" borderId="8" xfId="13" applyNumberFormat="1" applyFont="1" applyFill="1" applyBorder="1" applyAlignment="1">
      <alignment horizontal="center" vertical="center"/>
    </xf>
    <xf numFmtId="2" fontId="27" fillId="0" borderId="8" xfId="13" applyNumberFormat="1" applyFont="1" applyFill="1" applyBorder="1" applyAlignment="1">
      <alignment horizontal="center" vertical="center"/>
    </xf>
    <xf numFmtId="43" fontId="27" fillId="0" borderId="0" xfId="13" applyFont="1" applyFill="1" applyAlignment="1">
      <alignment horizontal="center" vertical="center"/>
    </xf>
    <xf numFmtId="1" fontId="27" fillId="0" borderId="8" xfId="13" applyNumberFormat="1" applyFont="1" applyFill="1" applyBorder="1" applyAlignment="1">
      <alignment horizontal="center" vertical="center"/>
    </xf>
    <xf numFmtId="49" fontId="32" fillId="0" borderId="0" xfId="0" applyNumberFormat="1" applyFont="1" applyFill="1" applyBorder="1" applyAlignment="1">
      <alignment vertical="center"/>
    </xf>
    <xf numFmtId="0" fontId="27" fillId="0" borderId="0" xfId="0" applyFont="1" applyFill="1" applyBorder="1" applyAlignment="1">
      <alignment horizontal="center" vertical="center"/>
    </xf>
    <xf numFmtId="0" fontId="38" fillId="0" borderId="8" xfId="0" applyFont="1" applyBorder="1" applyAlignment="1">
      <alignment horizontal="center"/>
    </xf>
    <xf numFmtId="0" fontId="0" fillId="7" borderId="8" xfId="0" applyFill="1" applyBorder="1" applyAlignment="1">
      <alignment horizontal="center"/>
    </xf>
    <xf numFmtId="0" fontId="24" fillId="0" borderId="8" xfId="30" applyFont="1" applyFill="1" applyBorder="1" applyAlignment="1">
      <alignment vertical="center" wrapText="1"/>
    </xf>
    <xf numFmtId="0" fontId="24" fillId="0" borderId="8" xfId="30" applyFont="1" applyFill="1" applyBorder="1" applyAlignment="1">
      <alignment horizontal="center" vertical="center"/>
    </xf>
    <xf numFmtId="0" fontId="2" fillId="0" borderId="15" xfId="0" applyFont="1" applyFill="1" applyBorder="1" applyAlignment="1">
      <alignment horizontal="center" vertical="center"/>
    </xf>
    <xf numFmtId="41" fontId="27" fillId="0" borderId="0" xfId="0" applyNumberFormat="1" applyFont="1" applyFill="1" applyAlignment="1">
      <alignment horizontal="center" vertical="center"/>
    </xf>
    <xf numFmtId="183" fontId="2" fillId="0" borderId="0" xfId="0" applyNumberFormat="1" applyFont="1" applyFill="1"/>
    <xf numFmtId="0" fontId="0" fillId="0" borderId="0" xfId="0" applyAlignment="1">
      <alignment horizontal="center"/>
    </xf>
    <xf numFmtId="0" fontId="0" fillId="0" borderId="8" xfId="0" applyFill="1" applyBorder="1" applyAlignment="1">
      <alignment horizontal="center"/>
    </xf>
    <xf numFmtId="0" fontId="0" fillId="0" borderId="0" xfId="0" applyBorder="1" applyAlignment="1">
      <alignment horizontal="center"/>
    </xf>
    <xf numFmtId="2" fontId="0" fillId="0" borderId="8" xfId="0" applyNumberFormat="1" applyFill="1" applyBorder="1" applyAlignment="1">
      <alignment horizontal="center" vertical="center"/>
    </xf>
    <xf numFmtId="2" fontId="40" fillId="0" borderId="8" xfId="0" applyNumberFormat="1" applyFont="1" applyFill="1" applyBorder="1" applyAlignment="1">
      <alignment horizontal="center" vertical="center"/>
    </xf>
    <xf numFmtId="0" fontId="0" fillId="0" borderId="8" xfId="0" applyFill="1" applyBorder="1" applyAlignment="1">
      <alignment horizontal="center" vertical="center"/>
    </xf>
    <xf numFmtId="2" fontId="0" fillId="0" borderId="8" xfId="0" applyNumberFormat="1" applyFill="1" applyBorder="1" applyAlignment="1">
      <alignment horizontal="center"/>
    </xf>
    <xf numFmtId="2" fontId="0" fillId="0" borderId="0" xfId="0" applyNumberFormat="1" applyAlignment="1">
      <alignment horizontal="center"/>
    </xf>
    <xf numFmtId="0" fontId="12" fillId="0" borderId="52"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12" fillId="0" borderId="14" xfId="0" applyFont="1" applyFill="1" applyBorder="1" applyAlignment="1">
      <alignment horizontal="center" vertical="center"/>
    </xf>
    <xf numFmtId="4" fontId="12" fillId="0" borderId="8"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180" fontId="7" fillId="0" borderId="8" xfId="14" applyNumberFormat="1" applyFont="1" applyFill="1" applyBorder="1" applyAlignment="1">
      <alignment horizontal="right" vertical="center"/>
    </xf>
    <xf numFmtId="41" fontId="7" fillId="0" borderId="8" xfId="14" applyNumberFormat="1" applyFont="1" applyFill="1" applyBorder="1" applyAlignment="1">
      <alignment horizontal="right" vertical="center"/>
    </xf>
    <xf numFmtId="178" fontId="2" fillId="0" borderId="0" xfId="14" applyNumberFormat="1" applyFont="1" applyFill="1" applyBorder="1" applyAlignment="1">
      <alignment vertical="center"/>
    </xf>
    <xf numFmtId="44" fontId="3" fillId="0" borderId="0" xfId="17" applyFont="1" applyFill="1"/>
    <xf numFmtId="164" fontId="2" fillId="0" borderId="0" xfId="0" applyNumberFormat="1" applyFont="1" applyFill="1"/>
    <xf numFmtId="44" fontId="3" fillId="0" borderId="0" xfId="17" applyFont="1" applyFill="1" applyAlignment="1">
      <alignment horizontal="right"/>
    </xf>
    <xf numFmtId="0" fontId="12" fillId="0" borderId="0" xfId="0" applyFont="1" applyBorder="1" applyAlignment="1">
      <alignment horizontal="center" vertical="center"/>
    </xf>
    <xf numFmtId="0" fontId="36" fillId="0" borderId="8" xfId="0" applyFont="1" applyFill="1" applyBorder="1" applyAlignment="1">
      <alignment horizontal="center" vertical="center" textRotation="90" wrapText="1"/>
    </xf>
    <xf numFmtId="43" fontId="36" fillId="0" borderId="8" xfId="13" applyFont="1" applyFill="1" applyBorder="1" applyAlignment="1">
      <alignment horizontal="center" vertical="center" textRotation="90" wrapText="1"/>
    </xf>
    <xf numFmtId="43" fontId="36" fillId="0" borderId="8" xfId="13" applyFont="1" applyFill="1" applyBorder="1" applyAlignment="1">
      <alignment horizontal="center" vertical="center"/>
    </xf>
    <xf numFmtId="43" fontId="36" fillId="0" borderId="52" xfId="13" applyFont="1" applyFill="1" applyBorder="1" applyAlignment="1">
      <alignment horizontal="center" vertical="center"/>
    </xf>
    <xf numFmtId="49" fontId="36" fillId="0" borderId="8" xfId="0" applyNumberFormat="1" applyFont="1" applyFill="1" applyBorder="1" applyAlignment="1">
      <alignment horizontal="center" vertical="center" textRotation="90" wrapText="1"/>
    </xf>
    <xf numFmtId="49" fontId="12" fillId="0" borderId="8" xfId="0" applyNumberFormat="1" applyFont="1" applyFill="1" applyBorder="1" applyAlignment="1">
      <alignment horizontal="center" vertical="center" textRotation="90" wrapText="1"/>
    </xf>
    <xf numFmtId="2" fontId="36" fillId="0" borderId="8" xfId="13" applyNumberFormat="1" applyFont="1" applyFill="1" applyBorder="1" applyAlignment="1">
      <alignment horizontal="center" vertical="center" textRotation="90" wrapText="1"/>
    </xf>
    <xf numFmtId="0" fontId="36" fillId="0" borderId="8" xfId="13" applyNumberFormat="1" applyFont="1" applyFill="1" applyBorder="1" applyAlignment="1">
      <alignment horizontal="center" vertical="center" textRotation="90" wrapText="1"/>
    </xf>
    <xf numFmtId="49" fontId="36" fillId="0" borderId="8" xfId="13" applyNumberFormat="1" applyFont="1" applyFill="1" applyBorder="1" applyAlignment="1">
      <alignment horizontal="center" vertical="center" textRotation="90" wrapText="1"/>
    </xf>
    <xf numFmtId="0" fontId="12" fillId="0" borderId="8" xfId="0" applyFont="1" applyFill="1" applyBorder="1" applyAlignment="1">
      <alignment horizontal="center" vertical="center" textRotation="90" wrapText="1"/>
    </xf>
    <xf numFmtId="0" fontId="16" fillId="0" borderId="8" xfId="0" applyFont="1" applyFill="1" applyBorder="1" applyAlignment="1">
      <alignment horizontal="center" vertical="center" textRotation="90" wrapText="1"/>
    </xf>
    <xf numFmtId="0" fontId="3" fillId="0" borderId="0" xfId="0" applyFont="1" applyAlignment="1">
      <alignment horizontal="center" vertical="center" wrapText="1"/>
    </xf>
    <xf numFmtId="0" fontId="38" fillId="0" borderId="0" xfId="0" applyFont="1" applyAlignment="1">
      <alignment horizontal="left"/>
    </xf>
    <xf numFmtId="0" fontId="3" fillId="0" borderId="0" xfId="0" applyFont="1" applyFill="1" applyAlignment="1">
      <alignment horizontal="center" vertical="center" wrapText="1"/>
    </xf>
    <xf numFmtId="0" fontId="2" fillId="0" borderId="76" xfId="0" applyFont="1" applyFill="1" applyBorder="1" applyAlignment="1">
      <alignment horizontal="center" vertical="center"/>
    </xf>
    <xf numFmtId="0" fontId="2" fillId="0" borderId="79" xfId="0" applyFont="1" applyFill="1" applyBorder="1" applyAlignment="1">
      <alignment horizontal="center" vertical="center"/>
    </xf>
    <xf numFmtId="0" fontId="0" fillId="0" borderId="0" xfId="0" applyAlignment="1">
      <alignment horizontal="center"/>
    </xf>
    <xf numFmtId="2" fontId="12" fillId="0" borderId="8" xfId="13" applyNumberFormat="1" applyFont="1" applyFill="1" applyBorder="1" applyAlignment="1">
      <alignment horizontal="center" vertical="center" textRotation="90" wrapText="1"/>
    </xf>
    <xf numFmtId="0" fontId="12" fillId="0" borderId="8" xfId="13" applyNumberFormat="1" applyFont="1" applyFill="1" applyBorder="1" applyAlignment="1">
      <alignment horizontal="center" vertical="center" textRotation="90" wrapText="1"/>
    </xf>
    <xf numFmtId="49" fontId="12" fillId="0" borderId="8" xfId="13" applyNumberFormat="1" applyFont="1" applyFill="1" applyBorder="1" applyAlignment="1">
      <alignment horizontal="center" vertical="center" textRotation="90" wrapText="1"/>
    </xf>
    <xf numFmtId="43" fontId="12" fillId="0" borderId="8" xfId="13" applyFont="1" applyFill="1" applyBorder="1" applyAlignment="1">
      <alignment horizontal="center" vertical="center" textRotation="90" wrapText="1"/>
    </xf>
    <xf numFmtId="0" fontId="43" fillId="0" borderId="8" xfId="0" applyFont="1" applyFill="1" applyBorder="1" applyAlignment="1">
      <alignment horizontal="center" vertical="center" textRotation="90" wrapText="1"/>
    </xf>
    <xf numFmtId="0" fontId="12" fillId="0" borderId="10" xfId="0" applyFont="1" applyFill="1" applyBorder="1" applyAlignment="1">
      <alignment horizontal="center" vertical="center"/>
    </xf>
    <xf numFmtId="2" fontId="12" fillId="0" borderId="52" xfId="0" applyNumberFormat="1" applyFont="1" applyFill="1" applyBorder="1" applyAlignment="1">
      <alignment horizontal="center" vertical="center" wrapText="1"/>
    </xf>
    <xf numFmtId="0" fontId="12" fillId="0" borderId="52" xfId="0" applyNumberFormat="1" applyFont="1" applyFill="1" applyBorder="1" applyAlignment="1">
      <alignment horizontal="center" vertical="center" wrapText="1"/>
    </xf>
    <xf numFmtId="49" fontId="12" fillId="0" borderId="52" xfId="0" applyNumberFormat="1" applyFont="1" applyFill="1" applyBorder="1" applyAlignment="1">
      <alignment horizontal="center" vertical="center" wrapText="1"/>
    </xf>
    <xf numFmtId="0" fontId="12" fillId="0" borderId="8" xfId="0" applyFont="1" applyFill="1" applyBorder="1" applyAlignment="1">
      <alignment horizontal="left" vertical="center"/>
    </xf>
    <xf numFmtId="1" fontId="12" fillId="0" borderId="8" xfId="0" applyNumberFormat="1" applyFont="1" applyFill="1" applyBorder="1" applyAlignment="1">
      <alignment horizontal="center" vertical="center"/>
    </xf>
    <xf numFmtId="43" fontId="12" fillId="0" borderId="8" xfId="13" applyFont="1" applyFill="1" applyBorder="1" applyAlignment="1">
      <alignment horizontal="center" vertical="center"/>
    </xf>
    <xf numFmtId="171" fontId="12" fillId="0" borderId="8" xfId="0" applyNumberFormat="1" applyFont="1" applyFill="1" applyBorder="1" applyAlignment="1">
      <alignment horizontal="center" vertical="center"/>
    </xf>
    <xf numFmtId="0" fontId="12" fillId="9" borderId="10" xfId="0" applyFont="1" applyFill="1" applyBorder="1" applyAlignment="1">
      <alignment horizontal="center" vertical="center"/>
    </xf>
    <xf numFmtId="0" fontId="12" fillId="9" borderId="14" xfId="0" applyFont="1" applyFill="1" applyBorder="1" applyAlignment="1">
      <alignment horizontal="center" vertical="center"/>
    </xf>
    <xf numFmtId="0" fontId="12" fillId="9" borderId="8" xfId="0" applyFont="1" applyFill="1" applyBorder="1" applyAlignment="1">
      <alignment horizontal="left" vertical="center"/>
    </xf>
    <xf numFmtId="2" fontId="12" fillId="9" borderId="8" xfId="13" applyNumberFormat="1" applyFont="1" applyFill="1" applyBorder="1" applyAlignment="1">
      <alignment horizontal="center" vertical="center"/>
    </xf>
    <xf numFmtId="0" fontId="12" fillId="9" borderId="51" xfId="0" applyNumberFormat="1" applyFont="1" applyFill="1" applyBorder="1" applyAlignment="1">
      <alignment horizontal="center" vertical="center"/>
    </xf>
    <xf numFmtId="2" fontId="12" fillId="9" borderId="8" xfId="0" applyNumberFormat="1" applyFont="1" applyFill="1" applyBorder="1" applyAlignment="1">
      <alignment horizontal="center" vertical="center"/>
    </xf>
    <xf numFmtId="0" fontId="12" fillId="9" borderId="8" xfId="0" applyFont="1" applyFill="1" applyBorder="1" applyAlignment="1">
      <alignment horizontal="center" vertical="center"/>
    </xf>
    <xf numFmtId="43" fontId="12" fillId="9" borderId="8" xfId="13" applyFont="1" applyFill="1" applyBorder="1" applyAlignment="1">
      <alignment horizontal="center" vertical="center"/>
    </xf>
    <xf numFmtId="171" fontId="12" fillId="9" borderId="8" xfId="0" applyNumberFormat="1" applyFont="1" applyFill="1" applyBorder="1" applyAlignment="1">
      <alignment horizontal="center" vertical="center"/>
    </xf>
    <xf numFmtId="0" fontId="12" fillId="9" borderId="52" xfId="0" applyFont="1" applyFill="1" applyBorder="1" applyAlignment="1">
      <alignment horizontal="center" vertical="center" wrapText="1"/>
    </xf>
    <xf numFmtId="0" fontId="12" fillId="9" borderId="8" xfId="0" applyFont="1" applyFill="1" applyBorder="1" applyAlignment="1">
      <alignment horizontal="center" vertical="center" wrapText="1"/>
    </xf>
    <xf numFmtId="0" fontId="27" fillId="9" borderId="0" xfId="0" applyFont="1" applyFill="1" applyAlignment="1">
      <alignment horizontal="center" vertical="center"/>
    </xf>
    <xf numFmtId="0" fontId="12" fillId="0" borderId="55" xfId="0" applyFont="1" applyFill="1" applyBorder="1" applyAlignment="1">
      <alignment horizontal="center" vertical="center"/>
    </xf>
    <xf numFmtId="49" fontId="12" fillId="0" borderId="51" xfId="0" applyNumberFormat="1" applyFont="1" applyFill="1" applyBorder="1" applyAlignment="1">
      <alignment horizontal="center" vertical="center"/>
    </xf>
    <xf numFmtId="2" fontId="12" fillId="0" borderId="52" xfId="13" applyNumberFormat="1" applyFont="1" applyFill="1" applyBorder="1" applyAlignment="1">
      <alignment horizontal="center" vertical="center"/>
    </xf>
    <xf numFmtId="49" fontId="12" fillId="0" borderId="52" xfId="0" applyNumberFormat="1" applyFont="1" applyFill="1" applyBorder="1" applyAlignment="1">
      <alignment horizontal="center" vertical="center"/>
    </xf>
    <xf numFmtId="2" fontId="12" fillId="0" borderId="52" xfId="0" applyNumberFormat="1" applyFont="1" applyFill="1" applyBorder="1" applyAlignment="1">
      <alignment horizontal="center" vertical="center"/>
    </xf>
    <xf numFmtId="43" fontId="12" fillId="0" borderId="52" xfId="13" applyFont="1" applyFill="1" applyBorder="1" applyAlignment="1">
      <alignment horizontal="center" vertical="center"/>
    </xf>
    <xf numFmtId="171" fontId="12" fillId="0" borderId="52" xfId="0" applyNumberFormat="1" applyFont="1" applyFill="1" applyBorder="1" applyAlignment="1">
      <alignment horizontal="center" vertical="center"/>
    </xf>
    <xf numFmtId="0" fontId="38" fillId="0" borderId="0" xfId="0" applyFont="1" applyAlignment="1"/>
    <xf numFmtId="0" fontId="0" fillId="0" borderId="0" xfId="0" applyAlignment="1">
      <alignment horizontal="left"/>
    </xf>
    <xf numFmtId="0" fontId="0" fillId="10" borderId="0" xfId="0" applyFill="1" applyAlignment="1">
      <alignment horizontal="center"/>
    </xf>
    <xf numFmtId="0" fontId="0" fillId="10" borderId="0" xfId="0" applyFill="1" applyAlignment="1">
      <alignment horizontal="left"/>
    </xf>
    <xf numFmtId="2" fontId="0" fillId="10" borderId="0" xfId="0" applyNumberFormat="1" applyFill="1" applyAlignment="1">
      <alignment horizontal="center"/>
    </xf>
    <xf numFmtId="180" fontId="2" fillId="0" borderId="10" xfId="14" applyNumberFormat="1" applyFont="1" applyFill="1" applyBorder="1" applyAlignment="1">
      <alignment horizontal="right" vertical="center"/>
    </xf>
    <xf numFmtId="180" fontId="2" fillId="0" borderId="53" xfId="14" applyNumberFormat="1" applyFont="1" applyFill="1" applyBorder="1" applyAlignment="1">
      <alignment horizontal="right" vertical="center"/>
    </xf>
    <xf numFmtId="0" fontId="2" fillId="0" borderId="2" xfId="0" applyFont="1" applyFill="1" applyBorder="1" applyAlignment="1">
      <alignment vertical="center"/>
    </xf>
    <xf numFmtId="180" fontId="7" fillId="0" borderId="1" xfId="14" applyNumberFormat="1" applyFont="1" applyFill="1" applyBorder="1" applyAlignment="1">
      <alignment horizontal="right" vertical="center"/>
    </xf>
    <xf numFmtId="180" fontId="3" fillId="0" borderId="3" xfId="14" applyNumberFormat="1" applyFont="1" applyFill="1" applyBorder="1" applyAlignment="1">
      <alignment horizontal="right" vertical="center"/>
    </xf>
    <xf numFmtId="41" fontId="2" fillId="0" borderId="10" xfId="14" applyNumberFormat="1" applyFont="1" applyFill="1" applyBorder="1" applyAlignment="1">
      <alignment horizontal="right" vertical="center"/>
    </xf>
    <xf numFmtId="2" fontId="12" fillId="0" borderId="8" xfId="13" applyNumberFormat="1" applyFont="1" applyFill="1" applyBorder="1" applyAlignment="1">
      <alignment horizontal="center" vertical="center"/>
    </xf>
    <xf numFmtId="0" fontId="12" fillId="0" borderId="8" xfId="0" applyFont="1" applyFill="1" applyBorder="1" applyAlignment="1">
      <alignment horizontal="left" vertical="center"/>
    </xf>
    <xf numFmtId="171" fontId="27" fillId="0" borderId="8" xfId="0" applyNumberFormat="1" applyFont="1" applyFill="1" applyBorder="1" applyAlignment="1">
      <alignment horizontal="center" vertical="center"/>
    </xf>
    <xf numFmtId="2" fontId="12" fillId="0" borderId="52" xfId="0" applyNumberFormat="1" applyFont="1" applyBorder="1" applyAlignment="1">
      <alignment horizontal="center" vertical="center"/>
    </xf>
    <xf numFmtId="0" fontId="12" fillId="0" borderId="52" xfId="0" applyFont="1" applyBorder="1" applyAlignment="1">
      <alignment horizontal="center" vertical="center"/>
    </xf>
    <xf numFmtId="0" fontId="12" fillId="0" borderId="12" xfId="0" applyFont="1" applyFill="1" applyBorder="1" applyAlignment="1">
      <alignment horizontal="center" vertical="center"/>
    </xf>
    <xf numFmtId="0" fontId="27" fillId="0" borderId="11" xfId="0" applyFont="1" applyFill="1" applyBorder="1" applyAlignment="1">
      <alignment horizontal="center" vertical="center"/>
    </xf>
    <xf numFmtId="41" fontId="27" fillId="0" borderId="0" xfId="0" applyNumberFormat="1" applyFont="1" applyFill="1" applyBorder="1" applyAlignment="1">
      <alignment horizontal="center" vertical="center"/>
    </xf>
    <xf numFmtId="49" fontId="32" fillId="0" borderId="0" xfId="13" applyNumberFormat="1" applyFont="1" applyFill="1" applyBorder="1" applyAlignment="1">
      <alignment vertical="center"/>
    </xf>
    <xf numFmtId="184" fontId="2" fillId="0" borderId="8" xfId="14" applyNumberFormat="1" applyFont="1" applyFill="1" applyBorder="1" applyAlignment="1">
      <alignment horizontal="right" vertical="center"/>
    </xf>
    <xf numFmtId="179" fontId="7" fillId="0" borderId="41" xfId="14" applyNumberFormat="1" applyFont="1" applyFill="1" applyBorder="1" applyAlignment="1">
      <alignment horizontal="right" vertical="center"/>
    </xf>
    <xf numFmtId="166" fontId="3" fillId="0" borderId="38" xfId="0" applyNumberFormat="1" applyFont="1" applyBorder="1" applyAlignment="1">
      <alignment horizontal="right"/>
    </xf>
    <xf numFmtId="1" fontId="2" fillId="0" borderId="8" xfId="0" applyNumberFormat="1" applyFont="1" applyBorder="1" applyAlignment="1">
      <alignment horizontal="center" vertical="center"/>
    </xf>
    <xf numFmtId="0" fontId="2" fillId="0" borderId="79" xfId="0" applyFont="1" applyFill="1" applyBorder="1" applyAlignment="1">
      <alignment horizontal="center" vertical="center" wrapText="1"/>
    </xf>
    <xf numFmtId="3" fontId="2" fillId="0" borderId="7" xfId="0" applyNumberFormat="1" applyFont="1" applyFill="1" applyBorder="1" applyAlignment="1">
      <alignment horizontal="center" vertical="center"/>
    </xf>
    <xf numFmtId="165" fontId="27" fillId="0" borderId="0" xfId="0" applyNumberFormat="1" applyFont="1" applyFill="1" applyAlignment="1">
      <alignment horizontal="center" vertical="center"/>
    </xf>
    <xf numFmtId="1" fontId="27" fillId="0" borderId="8" xfId="0" applyNumberFormat="1" applyFont="1" applyFill="1" applyBorder="1" applyAlignment="1">
      <alignment horizontal="center" vertical="center"/>
    </xf>
    <xf numFmtId="0" fontId="38" fillId="0" borderId="8" xfId="0" applyFont="1" applyBorder="1" applyAlignment="1">
      <alignment horizontal="center"/>
    </xf>
    <xf numFmtId="0" fontId="0" fillId="0" borderId="8" xfId="0" applyFill="1" applyBorder="1" applyAlignment="1">
      <alignment horizontal="center"/>
    </xf>
    <xf numFmtId="0" fontId="0" fillId="0" borderId="0" xfId="0" applyFill="1" applyAlignment="1">
      <alignment horizontal="center"/>
    </xf>
    <xf numFmtId="0" fontId="38" fillId="0" borderId="8" xfId="0" applyFont="1" applyFill="1" applyBorder="1" applyAlignment="1">
      <alignment horizontal="center"/>
    </xf>
    <xf numFmtId="0" fontId="0" fillId="0" borderId="0" xfId="0" applyFill="1" applyBorder="1" applyAlignment="1">
      <alignment horizontal="center"/>
    </xf>
    <xf numFmtId="0" fontId="44" fillId="0" borderId="8" xfId="0" applyFont="1" applyBorder="1" applyAlignment="1">
      <alignment horizontal="center"/>
    </xf>
    <xf numFmtId="0" fontId="44" fillId="0" borderId="8" xfId="0" applyFont="1" applyFill="1" applyBorder="1" applyAlignment="1">
      <alignment horizontal="center"/>
    </xf>
    <xf numFmtId="0" fontId="44" fillId="0" borderId="0" xfId="0" applyFont="1" applyAlignment="1">
      <alignment horizontal="center"/>
    </xf>
    <xf numFmtId="0" fontId="44" fillId="0" borderId="8" xfId="0" applyFont="1" applyBorder="1" applyAlignment="1">
      <alignment horizontal="center" wrapText="1"/>
    </xf>
    <xf numFmtId="0" fontId="38" fillId="0" borderId="8" xfId="0" applyFont="1" applyBorder="1" applyAlignment="1">
      <alignment horizontal="center" vertical="center"/>
    </xf>
    <xf numFmtId="0" fontId="38" fillId="0" borderId="0" xfId="0" applyFont="1" applyAlignment="1">
      <alignment horizontal="center" vertical="center"/>
    </xf>
    <xf numFmtId="166" fontId="2" fillId="11" borderId="8" xfId="0" applyNumberFormat="1" applyFont="1" applyFill="1" applyBorder="1" applyAlignment="1">
      <alignment horizontal="right" vertical="center"/>
    </xf>
    <xf numFmtId="166" fontId="7" fillId="11" borderId="8" xfId="0" applyNumberFormat="1" applyFont="1" applyFill="1" applyBorder="1" applyAlignment="1">
      <alignment horizontal="right" vertical="center"/>
    </xf>
    <xf numFmtId="6" fontId="2" fillId="0" borderId="0" xfId="0" applyNumberFormat="1" applyFont="1" applyFill="1"/>
    <xf numFmtId="0" fontId="2" fillId="0" borderId="0" xfId="0" applyFont="1" applyFill="1"/>
    <xf numFmtId="44" fontId="3" fillId="0" borderId="0" xfId="17" applyFont="1" applyFill="1"/>
    <xf numFmtId="183" fontId="2" fillId="0" borderId="0" xfId="14" applyNumberFormat="1" applyFont="1" applyFill="1"/>
    <xf numFmtId="0" fontId="2" fillId="0" borderId="8" xfId="0" applyFont="1" applyFill="1" applyBorder="1" applyAlignment="1">
      <alignment vertical="center" wrapText="1"/>
    </xf>
    <xf numFmtId="41" fontId="27" fillId="12" borderId="8" xfId="14" applyFont="1" applyFill="1" applyBorder="1" applyAlignment="1">
      <alignment horizontal="center" vertical="center"/>
    </xf>
    <xf numFmtId="43" fontId="2" fillId="0" borderId="0" xfId="0" applyNumberFormat="1" applyFont="1" applyFill="1"/>
    <xf numFmtId="178" fontId="7" fillId="0" borderId="8" xfId="14" applyNumberFormat="1" applyFont="1" applyFill="1" applyBorder="1" applyAlignment="1">
      <alignment horizontal="right" vertical="center"/>
    </xf>
    <xf numFmtId="0" fontId="12" fillId="0" borderId="8" xfId="0" applyFont="1" applyFill="1" applyBorder="1" applyAlignment="1">
      <alignment horizontal="center" vertical="center"/>
    </xf>
    <xf numFmtId="2" fontId="12" fillId="0" borderId="8" xfId="0" applyNumberFormat="1" applyFont="1" applyFill="1" applyBorder="1" applyAlignment="1">
      <alignment horizontal="center" vertical="center"/>
    </xf>
    <xf numFmtId="171" fontId="12" fillId="0" borderId="8" xfId="0" applyNumberFormat="1" applyFont="1" applyFill="1" applyBorder="1" applyAlignment="1">
      <alignment horizontal="center" vertical="center"/>
    </xf>
    <xf numFmtId="4" fontId="12" fillId="0" borderId="8" xfId="0" applyNumberFormat="1" applyFont="1" applyFill="1" applyBorder="1" applyAlignment="1">
      <alignment horizontal="center" vertical="center"/>
    </xf>
    <xf numFmtId="43" fontId="12" fillId="0" borderId="8" xfId="13" applyFont="1" applyFill="1" applyBorder="1" applyAlignment="1">
      <alignment horizontal="center" vertical="center"/>
    </xf>
    <xf numFmtId="0" fontId="46" fillId="5" borderId="79" xfId="20" applyNumberFormat="1" applyFont="1" applyFill="1" applyBorder="1" applyAlignment="1" applyProtection="1">
      <alignment horizontal="center" vertical="center"/>
    </xf>
    <xf numFmtId="0" fontId="46" fillId="5" borderId="17" xfId="20" applyNumberFormat="1" applyFont="1" applyFill="1" applyBorder="1" applyAlignment="1" applyProtection="1">
      <alignment horizontal="center" vertical="center" wrapText="1"/>
    </xf>
    <xf numFmtId="0" fontId="46" fillId="5" borderId="17" xfId="20" applyNumberFormat="1" applyFont="1" applyFill="1" applyBorder="1" applyAlignment="1" applyProtection="1">
      <alignment horizontal="center" vertical="center"/>
    </xf>
    <xf numFmtId="0" fontId="2" fillId="0" borderId="0" xfId="0" applyFont="1" applyFill="1"/>
    <xf numFmtId="0" fontId="46" fillId="0" borderId="63" xfId="20" applyNumberFormat="1" applyFont="1" applyFill="1" applyBorder="1" applyAlignment="1" applyProtection="1">
      <alignment horizontal="center" vertical="center"/>
    </xf>
    <xf numFmtId="0" fontId="46" fillId="0" borderId="64" xfId="20" applyNumberFormat="1" applyFont="1" applyFill="1" applyBorder="1" applyAlignment="1" applyProtection="1">
      <alignment horizontal="center" vertical="center"/>
    </xf>
    <xf numFmtId="40" fontId="46" fillId="5" borderId="18" xfId="16" applyFont="1" applyFill="1" applyBorder="1" applyAlignment="1" applyProtection="1">
      <alignment horizontal="center" vertical="center" wrapText="1"/>
    </xf>
    <xf numFmtId="0" fontId="46" fillId="13" borderId="64" xfId="20" applyNumberFormat="1" applyFont="1" applyFill="1" applyBorder="1" applyAlignment="1" applyProtection="1">
      <alignment vertical="center"/>
    </xf>
    <xf numFmtId="0" fontId="2" fillId="0" borderId="0" xfId="0" applyFont="1" applyFill="1" applyAlignment="1">
      <alignment horizontal="center" wrapText="1"/>
    </xf>
    <xf numFmtId="0" fontId="46" fillId="5" borderId="63" xfId="35" applyFont="1" applyFill="1" applyBorder="1" applyAlignment="1" applyProtection="1">
      <alignment vertical="center" wrapText="1"/>
    </xf>
    <xf numFmtId="0" fontId="46" fillId="5" borderId="64" xfId="35" applyFont="1" applyFill="1" applyBorder="1" applyAlignment="1" applyProtection="1">
      <alignment vertical="center" wrapText="1"/>
    </xf>
    <xf numFmtId="166" fontId="2" fillId="0" borderId="0" xfId="0" applyNumberFormat="1" applyFont="1" applyFill="1"/>
    <xf numFmtId="0" fontId="37" fillId="11" borderId="63" xfId="0" applyFont="1" applyFill="1" applyBorder="1" applyAlignment="1" applyProtection="1">
      <alignment vertical="center"/>
      <protection locked="0"/>
    </xf>
    <xf numFmtId="0" fontId="37" fillId="11" borderId="63" xfId="0" applyFont="1" applyFill="1" applyBorder="1" applyAlignment="1" applyProtection="1">
      <alignment horizontal="center" vertical="center" wrapText="1"/>
      <protection locked="0"/>
    </xf>
    <xf numFmtId="0" fontId="46" fillId="13" borderId="63" xfId="20" applyNumberFormat="1" applyFont="1" applyFill="1" applyBorder="1" applyAlignment="1" applyProtection="1">
      <alignment vertical="center"/>
      <protection locked="0"/>
    </xf>
    <xf numFmtId="0" fontId="3" fillId="0" borderId="63" xfId="0" applyFont="1" applyFill="1" applyBorder="1" applyAlignment="1" applyProtection="1">
      <alignment vertical="center" wrapText="1"/>
      <protection locked="0"/>
    </xf>
    <xf numFmtId="0" fontId="37" fillId="5" borderId="63" xfId="0" applyFont="1" applyFill="1" applyBorder="1" applyAlignment="1" applyProtection="1">
      <alignment vertical="center"/>
      <protection locked="0"/>
    </xf>
    <xf numFmtId="0" fontId="2" fillId="0" borderId="63" xfId="0" applyFont="1" applyFill="1" applyBorder="1" applyAlignment="1" applyProtection="1">
      <protection locked="0"/>
    </xf>
    <xf numFmtId="0" fontId="4" fillId="5" borderId="91" xfId="0" applyFont="1" applyFill="1" applyBorder="1" applyAlignment="1" applyProtection="1">
      <alignment horizontal="center" vertical="center" wrapText="1"/>
      <protection locked="0"/>
    </xf>
    <xf numFmtId="0" fontId="2" fillId="0" borderId="79" xfId="0" applyFont="1" applyFill="1" applyBorder="1" applyAlignment="1" applyProtection="1">
      <alignment vertical="center"/>
      <protection locked="0"/>
    </xf>
    <xf numFmtId="183" fontId="2" fillId="5" borderId="8" xfId="14" applyNumberFormat="1" applyFont="1" applyFill="1" applyBorder="1" applyAlignment="1" applyProtection="1">
      <alignment horizontal="right" vertical="center"/>
      <protection locked="0"/>
    </xf>
    <xf numFmtId="183" fontId="3" fillId="5" borderId="51" xfId="14" applyNumberFormat="1" applyFont="1" applyFill="1" applyBorder="1" applyAlignment="1" applyProtection="1">
      <alignment horizontal="right" vertical="center"/>
      <protection locked="0"/>
    </xf>
    <xf numFmtId="0" fontId="2" fillId="0" borderId="7" xfId="0" applyFont="1" applyFill="1" applyBorder="1" applyAlignment="1" applyProtection="1">
      <alignment horizontal="center" vertical="center"/>
      <protection locked="0"/>
    </xf>
    <xf numFmtId="183" fontId="2" fillId="0" borderId="8" xfId="14" applyNumberFormat="1" applyFont="1" applyFill="1" applyBorder="1" applyAlignment="1" applyProtection="1">
      <alignment horizontal="right" vertical="center"/>
      <protection locked="0"/>
    </xf>
    <xf numFmtId="183" fontId="2" fillId="0" borderId="51" xfId="14" applyNumberFormat="1" applyFont="1" applyFill="1" applyBorder="1" applyAlignment="1" applyProtection="1">
      <alignment horizontal="right" vertical="center"/>
      <protection locked="0"/>
    </xf>
    <xf numFmtId="0" fontId="2" fillId="0" borderId="79" xfId="0" applyFont="1" applyFill="1" applyBorder="1" applyAlignment="1" applyProtection="1">
      <alignment horizontal="center" vertical="center"/>
      <protection locked="0"/>
    </xf>
    <xf numFmtId="183" fontId="3" fillId="0" borderId="51" xfId="14" applyNumberFormat="1" applyFont="1" applyFill="1" applyBorder="1" applyAlignment="1" applyProtection="1">
      <alignment horizontal="right" vertical="center"/>
      <protection locked="0"/>
    </xf>
    <xf numFmtId="166"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pplyProtection="1">
      <alignment horizontal="center" vertical="center" wrapText="1"/>
      <protection locked="0"/>
    </xf>
    <xf numFmtId="0" fontId="2" fillId="0" borderId="78" xfId="0" applyFont="1" applyFill="1" applyBorder="1" applyAlignment="1" applyProtection="1">
      <alignment horizontal="center" vertical="center"/>
      <protection locked="0"/>
    </xf>
    <xf numFmtId="0" fontId="2" fillId="0" borderId="78" xfId="0" applyFont="1" applyFill="1" applyBorder="1" applyAlignment="1" applyProtection="1">
      <alignment vertical="center"/>
      <protection locked="0"/>
    </xf>
    <xf numFmtId="3" fontId="2" fillId="0" borderId="7" xfId="0" applyNumberFormat="1" applyFont="1" applyFill="1" applyBorder="1" applyAlignment="1" applyProtection="1">
      <alignment horizontal="center" vertical="center"/>
      <protection locked="0"/>
    </xf>
    <xf numFmtId="3" fontId="28" fillId="0" borderId="7" xfId="0" applyNumberFormat="1" applyFont="1" applyFill="1" applyBorder="1" applyAlignment="1" applyProtection="1">
      <alignment horizontal="center" vertical="center"/>
      <protection locked="0"/>
    </xf>
    <xf numFmtId="0" fontId="2" fillId="0" borderId="7" xfId="0" applyFont="1" applyFill="1" applyBorder="1" applyAlignment="1" applyProtection="1">
      <alignment vertical="center"/>
      <protection locked="0"/>
    </xf>
    <xf numFmtId="0" fontId="2" fillId="0" borderId="79" xfId="0" applyFont="1" applyFill="1" applyBorder="1" applyAlignment="1" applyProtection="1">
      <alignment horizontal="center" vertical="center" wrapText="1"/>
      <protection locked="0"/>
    </xf>
    <xf numFmtId="183" fontId="7" fillId="0" borderId="8" xfId="14" applyNumberFormat="1" applyFont="1" applyFill="1" applyBorder="1" applyAlignment="1" applyProtection="1">
      <alignment horizontal="right" vertical="center"/>
      <protection locked="0"/>
    </xf>
    <xf numFmtId="0" fontId="2" fillId="0" borderId="76" xfId="0" applyFont="1" applyFill="1" applyBorder="1" applyAlignment="1" applyProtection="1">
      <alignment horizontal="center" vertical="center" wrapText="1"/>
      <protection locked="0"/>
    </xf>
    <xf numFmtId="183" fontId="2" fillId="0" borderId="10" xfId="14" applyNumberFormat="1" applyFont="1" applyFill="1" applyBorder="1" applyAlignment="1" applyProtection="1">
      <alignment horizontal="right" vertical="center"/>
      <protection locked="0"/>
    </xf>
    <xf numFmtId="183" fontId="2" fillId="0" borderId="14" xfId="14" applyNumberFormat="1" applyFont="1" applyFill="1" applyBorder="1" applyAlignment="1" applyProtection="1">
      <alignment horizontal="right" vertical="center"/>
      <protection locked="0"/>
    </xf>
    <xf numFmtId="180" fontId="3" fillId="13" borderId="65" xfId="14" applyNumberFormat="1" applyFont="1" applyFill="1" applyBorder="1" applyAlignment="1" applyProtection="1">
      <alignment horizontal="right" vertical="center"/>
      <protection locked="0"/>
    </xf>
    <xf numFmtId="180" fontId="3" fillId="0" borderId="65" xfId="14" applyNumberFormat="1" applyFont="1" applyFill="1" applyBorder="1" applyAlignment="1" applyProtection="1">
      <alignment horizontal="right" vertical="center"/>
      <protection locked="0"/>
    </xf>
    <xf numFmtId="183" fontId="2" fillId="0" borderId="82" xfId="14" applyNumberFormat="1" applyFont="1" applyFill="1" applyBorder="1" applyAlignment="1" applyProtection="1">
      <alignment vertical="center"/>
      <protection locked="0"/>
    </xf>
    <xf numFmtId="183" fontId="7" fillId="11" borderId="26" xfId="14" applyNumberFormat="1" applyFont="1" applyFill="1" applyBorder="1" applyAlignment="1" applyProtection="1">
      <alignment vertical="center"/>
      <protection locked="0"/>
    </xf>
    <xf numFmtId="183" fontId="6" fillId="0" borderId="83" xfId="14" applyNumberFormat="1" applyFont="1" applyFill="1" applyBorder="1" applyAlignment="1" applyProtection="1">
      <alignment vertical="center"/>
      <protection locked="0"/>
    </xf>
    <xf numFmtId="0" fontId="2" fillId="0" borderId="0" xfId="0" applyFont="1" applyFill="1" applyProtection="1">
      <protection locked="0"/>
    </xf>
    <xf numFmtId="183" fontId="28" fillId="0" borderId="0" xfId="14" applyNumberFormat="1" applyFont="1" applyFill="1" applyAlignment="1" applyProtection="1">
      <alignment horizontal="right"/>
      <protection locked="0"/>
    </xf>
    <xf numFmtId="0" fontId="2" fillId="0" borderId="0" xfId="0" applyFont="1" applyProtection="1">
      <protection locked="0"/>
    </xf>
    <xf numFmtId="0" fontId="4" fillId="8" borderId="2" xfId="0" applyFont="1" applyFill="1" applyBorder="1" applyAlignment="1" applyProtection="1">
      <alignment horizontal="center" vertical="center" wrapText="1"/>
      <protection locked="0"/>
    </xf>
    <xf numFmtId="0" fontId="3" fillId="0" borderId="79" xfId="0" applyFont="1" applyFill="1" applyBorder="1" applyAlignment="1" applyProtection="1">
      <alignment horizontal="center" vertical="center"/>
      <protection locked="0"/>
    </xf>
    <xf numFmtId="166" fontId="2" fillId="0" borderId="14" xfId="0" applyNumberFormat="1" applyFont="1" applyBorder="1" applyAlignment="1" applyProtection="1">
      <alignment horizontal="right" vertical="center"/>
      <protection locked="0"/>
    </xf>
    <xf numFmtId="166" fontId="3" fillId="0" borderId="51" xfId="0" applyNumberFormat="1" applyFont="1" applyBorder="1" applyAlignment="1" applyProtection="1">
      <alignment horizontal="right"/>
      <protection locked="0"/>
    </xf>
    <xf numFmtId="166" fontId="3" fillId="0" borderId="0" xfId="0" applyNumberFormat="1" applyFont="1" applyBorder="1" applyAlignment="1" applyProtection="1">
      <alignment horizontal="right"/>
      <protection locked="0"/>
    </xf>
    <xf numFmtId="166" fontId="2" fillId="0" borderId="25" xfId="0" applyNumberFormat="1" applyFont="1" applyFill="1" applyBorder="1" applyProtection="1">
      <protection locked="0"/>
    </xf>
    <xf numFmtId="166" fontId="3" fillId="0" borderId="80" xfId="0" applyNumberFormat="1" applyFont="1" applyBorder="1" applyAlignment="1" applyProtection="1">
      <alignment horizontal="right" vertical="center"/>
      <protection locked="0"/>
    </xf>
    <xf numFmtId="166" fontId="3" fillId="0" borderId="0" xfId="0" applyNumberFormat="1" applyFont="1" applyBorder="1" applyAlignment="1" applyProtection="1">
      <alignment horizontal="right" vertical="center"/>
      <protection locked="0"/>
    </xf>
    <xf numFmtId="166" fontId="3" fillId="0" borderId="54" xfId="0" applyNumberFormat="1" applyFont="1" applyBorder="1" applyAlignment="1" applyProtection="1">
      <alignment horizontal="right" vertical="center"/>
      <protection locked="0"/>
    </xf>
    <xf numFmtId="0" fontId="37" fillId="11" borderId="64" xfId="0" applyFont="1" applyFill="1" applyBorder="1" applyAlignment="1" applyProtection="1">
      <alignment vertical="center"/>
    </xf>
    <xf numFmtId="0" fontId="37" fillId="11" borderId="64" xfId="0" applyFont="1" applyFill="1" applyBorder="1" applyAlignment="1" applyProtection="1">
      <alignment horizontal="center" vertical="center" wrapText="1"/>
    </xf>
    <xf numFmtId="0" fontId="37" fillId="11" borderId="64" xfId="0" applyFont="1" applyFill="1" applyBorder="1" applyAlignment="1" applyProtection="1">
      <alignment vertical="center" wrapText="1"/>
    </xf>
    <xf numFmtId="0" fontId="3" fillId="0" borderId="64" xfId="0" applyFont="1" applyFill="1" applyBorder="1" applyAlignment="1" applyProtection="1">
      <alignment vertical="center" wrapText="1"/>
    </xf>
    <xf numFmtId="0" fontId="37" fillId="5" borderId="64" xfId="0" applyFont="1" applyFill="1" applyBorder="1" applyAlignment="1" applyProtection="1">
      <alignment vertical="center"/>
    </xf>
    <xf numFmtId="0" fontId="2" fillId="0" borderId="64" xfId="0" applyFont="1" applyFill="1" applyBorder="1" applyAlignment="1" applyProtection="1"/>
    <xf numFmtId="0" fontId="3" fillId="5" borderId="12" xfId="0" applyFont="1" applyFill="1" applyBorder="1" applyAlignment="1" applyProtection="1">
      <alignment horizontal="center" vertical="center"/>
    </xf>
    <xf numFmtId="0" fontId="3" fillId="5" borderId="8" xfId="0" applyFont="1" applyFill="1" applyBorder="1" applyAlignment="1" applyProtection="1">
      <alignment vertical="center"/>
    </xf>
    <xf numFmtId="0" fontId="2" fillId="5" borderId="8" xfId="0" applyFont="1" applyFill="1" applyBorder="1" applyAlignment="1" applyProtection="1">
      <alignment horizontal="center" vertical="center"/>
    </xf>
    <xf numFmtId="178" fontId="2" fillId="5" borderId="8" xfId="14" applyNumberFormat="1"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8" xfId="0" applyFont="1" applyFill="1" applyBorder="1" applyAlignment="1" applyProtection="1">
      <alignment vertical="center" wrapText="1"/>
    </xf>
    <xf numFmtId="0" fontId="2" fillId="0" borderId="8" xfId="0" applyFont="1" applyFill="1" applyBorder="1" applyAlignment="1" applyProtection="1">
      <alignment horizontal="center" vertical="center"/>
    </xf>
    <xf numFmtId="178" fontId="7" fillId="0" borderId="8" xfId="14" applyNumberFormat="1" applyFont="1" applyFill="1" applyBorder="1" applyAlignment="1" applyProtection="1">
      <alignment horizontal="right" vertical="center"/>
    </xf>
    <xf numFmtId="0" fontId="3" fillId="0" borderId="12" xfId="0" applyFont="1" applyFill="1" applyBorder="1" applyAlignment="1" applyProtection="1">
      <alignment horizontal="center" vertical="center"/>
    </xf>
    <xf numFmtId="0" fontId="3" fillId="0" borderId="8" xfId="0" applyFont="1" applyFill="1" applyBorder="1" applyAlignment="1" applyProtection="1">
      <alignment vertical="center"/>
    </xf>
    <xf numFmtId="178" fontId="2" fillId="0" borderId="8" xfId="14" applyNumberFormat="1" applyFont="1" applyFill="1" applyBorder="1" applyAlignment="1" applyProtection="1">
      <alignment horizontal="center" vertical="center"/>
    </xf>
    <xf numFmtId="0" fontId="2" fillId="0" borderId="8" xfId="0" applyFont="1" applyFill="1" applyBorder="1" applyAlignment="1" applyProtection="1">
      <alignment vertical="center"/>
    </xf>
    <xf numFmtId="178" fontId="2" fillId="0" borderId="8" xfId="14" applyNumberFormat="1" applyFont="1" applyFill="1" applyBorder="1" applyAlignment="1" applyProtection="1">
      <alignment horizontal="right" vertical="center"/>
    </xf>
    <xf numFmtId="0" fontId="7" fillId="0" borderId="12" xfId="0" applyFont="1" applyFill="1" applyBorder="1" applyAlignment="1" applyProtection="1">
      <alignment horizontal="center" vertical="center"/>
    </xf>
    <xf numFmtId="178" fontId="2" fillId="0" borderId="0" xfId="14" applyNumberFormat="1" applyFont="1" applyFill="1" applyBorder="1" applyAlignment="1" applyProtection="1">
      <alignment vertical="center"/>
    </xf>
    <xf numFmtId="0" fontId="2" fillId="0" borderId="8" xfId="0" applyFont="1" applyFill="1" applyBorder="1" applyAlignment="1" applyProtection="1">
      <alignment horizontal="justify" vertical="center" wrapText="1"/>
    </xf>
    <xf numFmtId="178" fontId="7" fillId="0" borderId="8" xfId="14" applyNumberFormat="1" applyFont="1" applyFill="1" applyBorder="1" applyAlignment="1" applyProtection="1">
      <alignment horizontal="center" vertical="center"/>
    </xf>
    <xf numFmtId="0" fontId="7" fillId="0" borderId="8" xfId="0" applyFont="1" applyFill="1" applyBorder="1" applyAlignment="1" applyProtection="1">
      <alignment vertical="center" wrapText="1"/>
    </xf>
    <xf numFmtId="0" fontId="3" fillId="5" borderId="8" xfId="0" applyFont="1" applyFill="1" applyBorder="1" applyAlignment="1" applyProtection="1">
      <alignment vertical="center" wrapText="1"/>
    </xf>
    <xf numFmtId="2" fontId="2" fillId="0" borderId="12" xfId="0" applyNumberFormat="1" applyFont="1" applyFill="1" applyBorder="1" applyAlignment="1" applyProtection="1">
      <alignment horizontal="center" vertical="center"/>
    </xf>
    <xf numFmtId="0" fontId="24" fillId="0" borderId="8" xfId="30" applyFont="1" applyFill="1" applyBorder="1" applyAlignment="1" applyProtection="1">
      <alignment vertical="center" wrapText="1"/>
    </xf>
    <xf numFmtId="0" fontId="7" fillId="0" borderId="8" xfId="0" applyFont="1" applyFill="1" applyBorder="1" applyAlignment="1" applyProtection="1">
      <alignment horizontal="center" vertical="center"/>
    </xf>
    <xf numFmtId="0" fontId="24" fillId="0" borderId="8" xfId="30" applyFont="1" applyFill="1" applyBorder="1" applyAlignment="1" applyProtection="1">
      <alignment horizontal="center" vertical="center"/>
    </xf>
    <xf numFmtId="49" fontId="2" fillId="0" borderId="12" xfId="0" applyNumberFormat="1" applyFont="1" applyFill="1" applyBorder="1" applyAlignment="1" applyProtection="1">
      <alignment horizontal="center" vertical="center"/>
    </xf>
    <xf numFmtId="0" fontId="2" fillId="0" borderId="8" xfId="0" applyFont="1" applyFill="1" applyBorder="1" applyAlignment="1" applyProtection="1">
      <alignment wrapText="1"/>
    </xf>
    <xf numFmtId="0" fontId="2" fillId="0" borderId="10" xfId="0" applyFont="1" applyFill="1" applyBorder="1" applyAlignment="1" applyProtection="1">
      <alignment wrapText="1"/>
    </xf>
    <xf numFmtId="0" fontId="2" fillId="0" borderId="15"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178" fontId="2" fillId="0" borderId="10" xfId="14" applyNumberFormat="1" applyFont="1" applyFill="1" applyBorder="1" applyAlignment="1" applyProtection="1">
      <alignment horizontal="right" vertical="center"/>
    </xf>
    <xf numFmtId="9" fontId="6" fillId="0" borderId="85" xfId="25" applyNumberFormat="1" applyFont="1" applyFill="1" applyBorder="1" applyAlignment="1" applyProtection="1">
      <alignment horizontal="right" vertical="center" wrapText="1"/>
    </xf>
    <xf numFmtId="0" fontId="2" fillId="0" borderId="0" xfId="0" applyFont="1" applyFill="1" applyProtection="1"/>
    <xf numFmtId="0" fontId="2" fillId="0" borderId="0" xfId="0" applyFont="1" applyFill="1" applyAlignment="1" applyProtection="1">
      <alignment horizontal="center" vertical="center"/>
    </xf>
    <xf numFmtId="178" fontId="2" fillId="0" borderId="0" xfId="14" applyNumberFormat="1" applyFont="1" applyFill="1" applyProtection="1"/>
    <xf numFmtId="183" fontId="2" fillId="0" borderId="0" xfId="14" applyNumberFormat="1" applyFont="1" applyFill="1" applyProtection="1"/>
    <xf numFmtId="183" fontId="2" fillId="0" borderId="0" xfId="14" applyNumberFormat="1" applyFont="1" applyFill="1" applyAlignment="1" applyProtection="1">
      <alignment horizontal="right"/>
    </xf>
    <xf numFmtId="0" fontId="3" fillId="0" borderId="0" xfId="0" applyFont="1" applyAlignment="1" applyProtection="1">
      <alignment horizontal="center" vertical="center" wrapText="1"/>
    </xf>
    <xf numFmtId="0" fontId="3" fillId="0" borderId="0" xfId="0" applyFont="1" applyAlignment="1" applyProtection="1">
      <alignment vertical="center" wrapText="1"/>
    </xf>
    <xf numFmtId="0" fontId="4" fillId="8" borderId="84" xfId="0" applyFont="1" applyFill="1" applyBorder="1" applyAlignment="1" applyProtection="1">
      <alignment horizontal="center" vertical="center"/>
    </xf>
    <xf numFmtId="0" fontId="4" fillId="8" borderId="1" xfId="0" applyFont="1" applyFill="1" applyBorder="1" applyAlignment="1" applyProtection="1">
      <alignment horizontal="center" vertical="center"/>
    </xf>
    <xf numFmtId="0" fontId="4" fillId="8" borderId="1" xfId="0" applyFont="1" applyFill="1" applyBorder="1" applyAlignment="1" applyProtection="1">
      <alignment horizontal="center" vertical="center" wrapText="1"/>
    </xf>
    <xf numFmtId="0" fontId="4" fillId="8" borderId="95" xfId="0" applyFont="1" applyFill="1" applyBorder="1" applyAlignment="1" applyProtection="1">
      <alignment horizontal="center" vertical="center" wrapText="1"/>
    </xf>
    <xf numFmtId="0" fontId="2" fillId="0" borderId="8" xfId="0" applyFont="1" applyBorder="1" applyAlignment="1" applyProtection="1">
      <alignment horizontal="center" vertical="center"/>
    </xf>
    <xf numFmtId="2" fontId="2" fillId="0" borderId="8" xfId="0" applyNumberFormat="1" applyFont="1" applyBorder="1" applyAlignment="1" applyProtection="1">
      <alignment horizontal="right" vertical="center"/>
    </xf>
    <xf numFmtId="2" fontId="7" fillId="0" borderId="8" xfId="0" applyNumberFormat="1" applyFont="1" applyBorder="1" applyAlignment="1" applyProtection="1">
      <alignment horizontal="right" vertical="center"/>
    </xf>
    <xf numFmtId="0" fontId="2" fillId="0" borderId="25" xfId="0" applyFont="1" applyBorder="1" applyProtection="1"/>
    <xf numFmtId="0" fontId="15" fillId="0" borderId="0" xfId="23" applyFont="1" applyFill="1" applyBorder="1" applyAlignment="1" applyProtection="1">
      <alignment horizontal="justify" vertical="center" wrapText="1"/>
    </xf>
    <xf numFmtId="179" fontId="7" fillId="0" borderId="0" xfId="14" applyNumberFormat="1" applyFont="1" applyFill="1" applyBorder="1" applyAlignment="1" applyProtection="1">
      <alignment horizontal="right" vertical="center"/>
    </xf>
    <xf numFmtId="0" fontId="15" fillId="0" borderId="0" xfId="23" applyFont="1" applyFill="1" applyBorder="1" applyAlignment="1" applyProtection="1">
      <alignment horizontal="right" vertical="center" wrapText="1"/>
    </xf>
    <xf numFmtId="0" fontId="29" fillId="0" borderId="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2" borderId="57"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57" xfId="0" applyFont="1" applyFill="1" applyBorder="1" applyAlignment="1">
      <alignment horizontal="center" vertical="center" textRotation="90"/>
    </xf>
    <xf numFmtId="0" fontId="4" fillId="2" borderId="17" xfId="0" applyFont="1" applyFill="1" applyBorder="1" applyAlignment="1">
      <alignment horizontal="center" vertical="center" textRotation="90"/>
    </xf>
    <xf numFmtId="0" fontId="4" fillId="2" borderId="5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3" fillId="0" borderId="0" xfId="0" applyFont="1" applyAlignment="1">
      <alignment horizontal="center" vertical="center" wrapText="1"/>
    </xf>
    <xf numFmtId="0" fontId="34" fillId="0" borderId="0" xfId="0" applyFont="1" applyAlignment="1">
      <alignment horizontal="center"/>
    </xf>
    <xf numFmtId="0" fontId="2" fillId="0" borderId="60" xfId="0" applyFont="1" applyBorder="1" applyAlignment="1">
      <alignment horizontal="center" vertical="center" wrapText="1"/>
    </xf>
    <xf numFmtId="0" fontId="2" fillId="0" borderId="39" xfId="0" applyFont="1" applyBorder="1" applyAlignment="1">
      <alignment horizontal="center" vertical="center" wrapText="1"/>
    </xf>
    <xf numFmtId="0" fontId="15" fillId="0" borderId="69" xfId="23" applyFont="1" applyFill="1" applyBorder="1" applyAlignment="1">
      <alignment horizontal="justify" vertical="center" wrapText="1"/>
    </xf>
    <xf numFmtId="0" fontId="15" fillId="0" borderId="70" xfId="23" applyFont="1" applyFill="1" applyBorder="1" applyAlignment="1">
      <alignment horizontal="justify" vertical="center" wrapText="1"/>
    </xf>
    <xf numFmtId="0" fontId="15" fillId="0" borderId="71" xfId="23" applyFont="1" applyFill="1" applyBorder="1" applyAlignment="1">
      <alignment horizontal="justify" vertical="center" wrapText="1"/>
    </xf>
    <xf numFmtId="0" fontId="15" fillId="0" borderId="66" xfId="23" applyFont="1" applyFill="1" applyBorder="1" applyAlignment="1">
      <alignment horizontal="justify" vertical="center" wrapText="1"/>
    </xf>
    <xf numFmtId="0" fontId="2" fillId="0" borderId="60" xfId="0" applyFont="1" applyBorder="1" applyAlignment="1">
      <alignment horizontal="center" vertical="center"/>
    </xf>
    <xf numFmtId="0" fontId="2" fillId="0" borderId="39" xfId="0" applyFont="1" applyBorder="1" applyAlignment="1">
      <alignment horizontal="center" vertical="center"/>
    </xf>
    <xf numFmtId="0" fontId="29" fillId="0" borderId="60" xfId="0" applyFont="1" applyBorder="1" applyAlignment="1">
      <alignment horizontal="center" vertical="center" wrapText="1"/>
    </xf>
    <xf numFmtId="0" fontId="29" fillId="0" borderId="39" xfId="0" applyFont="1" applyBorder="1" applyAlignment="1">
      <alignment horizontal="center" vertical="center" wrapText="1"/>
    </xf>
    <xf numFmtId="0" fontId="2" fillId="0" borderId="44" xfId="0" applyFont="1" applyBorder="1" applyAlignment="1">
      <alignment horizontal="center" vertical="center" wrapText="1"/>
    </xf>
    <xf numFmtId="0" fontId="15" fillId="0" borderId="67" xfId="23" applyFont="1" applyFill="1" applyBorder="1" applyAlignment="1">
      <alignment horizontal="justify" vertical="center" wrapText="1"/>
    </xf>
    <xf numFmtId="0" fontId="15" fillId="0" borderId="68" xfId="23" applyFont="1" applyFill="1" applyBorder="1" applyAlignment="1">
      <alignment horizontal="justify" vertical="center" wrapText="1"/>
    </xf>
    <xf numFmtId="0" fontId="38" fillId="0" borderId="0" xfId="0" applyFont="1" applyAlignment="1">
      <alignment horizontal="center"/>
    </xf>
    <xf numFmtId="0" fontId="38" fillId="0" borderId="0" xfId="0" applyFont="1" applyAlignment="1">
      <alignment horizontal="left"/>
    </xf>
    <xf numFmtId="0" fontId="38" fillId="0" borderId="8" xfId="0" applyFont="1" applyFill="1" applyBorder="1" applyAlignment="1">
      <alignment horizontal="center" vertical="center"/>
    </xf>
    <xf numFmtId="0" fontId="38" fillId="0" borderId="51"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8" xfId="0" applyFont="1" applyBorder="1" applyAlignment="1">
      <alignment horizontal="center" vertical="center"/>
    </xf>
    <xf numFmtId="0" fontId="44" fillId="0" borderId="51" xfId="0" applyFont="1" applyBorder="1" applyAlignment="1">
      <alignment horizontal="center" vertical="center"/>
    </xf>
    <xf numFmtId="0" fontId="44" fillId="0" borderId="12" xfId="0" applyFont="1" applyBorder="1" applyAlignment="1">
      <alignment horizontal="center" vertical="center"/>
    </xf>
    <xf numFmtId="49" fontId="32" fillId="0" borderId="8" xfId="0" applyNumberFormat="1" applyFont="1" applyFill="1" applyBorder="1" applyAlignment="1">
      <alignment horizontal="center" vertical="center"/>
    </xf>
    <xf numFmtId="49" fontId="32" fillId="0" borderId="8" xfId="13" applyNumberFormat="1" applyFont="1" applyFill="1" applyBorder="1" applyAlignment="1">
      <alignment horizontal="left" vertical="center"/>
    </xf>
    <xf numFmtId="49" fontId="22" fillId="0" borderId="19" xfId="0" applyNumberFormat="1" applyFont="1" applyFill="1" applyBorder="1" applyAlignment="1">
      <alignment horizontal="center" vertical="center"/>
    </xf>
    <xf numFmtId="49" fontId="39" fillId="0" borderId="8" xfId="0" applyNumberFormat="1" applyFont="1" applyFill="1" applyBorder="1" applyAlignment="1">
      <alignment horizontal="center" vertical="center"/>
    </xf>
    <xf numFmtId="2" fontId="31" fillId="0" borderId="8" xfId="13" applyNumberFormat="1" applyFont="1" applyFill="1" applyBorder="1" applyAlignment="1">
      <alignment horizontal="left" vertical="center"/>
    </xf>
    <xf numFmtId="49" fontId="32" fillId="0" borderId="8" xfId="0" applyNumberFormat="1" applyFont="1" applyFill="1" applyBorder="1" applyAlignment="1">
      <alignment horizontal="left" vertical="center"/>
    </xf>
    <xf numFmtId="0" fontId="32" fillId="0" borderId="8" xfId="0" applyFont="1" applyFill="1" applyBorder="1" applyAlignment="1">
      <alignment horizontal="left" vertical="center"/>
    </xf>
    <xf numFmtId="0" fontId="29" fillId="0" borderId="76" xfId="0" applyFont="1" applyFill="1" applyBorder="1" applyAlignment="1">
      <alignment horizontal="center" vertical="center" wrapText="1"/>
    </xf>
    <xf numFmtId="0" fontId="29" fillId="0" borderId="79" xfId="0" applyFont="1" applyFill="1" applyBorder="1" applyAlignment="1">
      <alignment horizontal="center" vertical="center" wrapText="1"/>
    </xf>
    <xf numFmtId="0" fontId="2" fillId="0" borderId="76" xfId="0" applyFont="1" applyFill="1" applyBorder="1" applyAlignment="1">
      <alignment horizontal="center" vertical="center" wrapText="1"/>
    </xf>
    <xf numFmtId="0" fontId="2" fillId="0" borderId="79" xfId="0" applyFont="1" applyFill="1" applyBorder="1" applyAlignment="1">
      <alignment horizontal="center" vertical="center" wrapText="1"/>
    </xf>
    <xf numFmtId="0" fontId="15" fillId="0" borderId="1" xfId="23" applyFont="1" applyFill="1" applyBorder="1" applyAlignment="1">
      <alignment horizontal="justify" vertical="center" wrapText="1"/>
    </xf>
    <xf numFmtId="0" fontId="37" fillId="0" borderId="0" xfId="0" applyFont="1" applyFill="1" applyAlignment="1">
      <alignment horizontal="center" vertical="center" wrapText="1"/>
    </xf>
    <xf numFmtId="0" fontId="3" fillId="0" borderId="0" xfId="0" applyFont="1" applyFill="1" applyAlignment="1">
      <alignment horizontal="center" vertical="center" wrapText="1"/>
    </xf>
    <xf numFmtId="0" fontId="37" fillId="0" borderId="0" xfId="0" applyFont="1" applyFill="1" applyAlignment="1">
      <alignment horizontal="center" vertical="center"/>
    </xf>
    <xf numFmtId="0" fontId="37" fillId="0" borderId="0" xfId="0" applyFont="1" applyAlignment="1">
      <alignment horizontal="center" vertical="center" wrapText="1"/>
    </xf>
    <xf numFmtId="0" fontId="37" fillId="0" borderId="0" xfId="0" applyFont="1" applyBorder="1" applyAlignment="1">
      <alignment horizontal="center" vertical="center" wrapText="1"/>
    </xf>
    <xf numFmtId="0" fontId="15" fillId="0" borderId="88" xfId="23" applyFont="1" applyFill="1" applyBorder="1" applyAlignment="1">
      <alignment horizontal="justify" vertical="center" wrapText="1"/>
    </xf>
    <xf numFmtId="0" fontId="15" fillId="0" borderId="89" xfId="23" applyFont="1" applyFill="1" applyBorder="1" applyAlignment="1">
      <alignment horizontal="justify" vertical="center" wrapText="1"/>
    </xf>
    <xf numFmtId="0" fontId="15" fillId="0" borderId="90" xfId="23" applyFont="1" applyFill="1" applyBorder="1" applyAlignment="1">
      <alignment horizontal="justify" vertical="center" wrapText="1"/>
    </xf>
    <xf numFmtId="49" fontId="32" fillId="0" borderId="0" xfId="0" applyNumberFormat="1" applyFont="1" applyFill="1" applyBorder="1" applyAlignment="1">
      <alignment horizontal="center" vertical="center"/>
    </xf>
    <xf numFmtId="49" fontId="32" fillId="0" borderId="0" xfId="13" applyNumberFormat="1" applyFont="1" applyFill="1" applyBorder="1" applyAlignment="1">
      <alignment horizontal="left" vertical="center"/>
    </xf>
    <xf numFmtId="49" fontId="32" fillId="0" borderId="0" xfId="13" applyNumberFormat="1" applyFont="1" applyFill="1" applyBorder="1" applyAlignment="1">
      <alignment horizontal="center" vertical="center"/>
    </xf>
    <xf numFmtId="43" fontId="27" fillId="0" borderId="0" xfId="13" applyFont="1" applyFill="1" applyAlignment="1">
      <alignment horizontal="center" vertical="center"/>
    </xf>
    <xf numFmtId="0" fontId="29" fillId="0" borderId="78" xfId="0" applyFont="1" applyFill="1" applyBorder="1" applyAlignment="1">
      <alignment horizontal="center" vertical="center" wrapText="1"/>
    </xf>
    <xf numFmtId="0" fontId="2" fillId="0" borderId="76" xfId="0" applyFont="1" applyFill="1" applyBorder="1" applyAlignment="1">
      <alignment horizontal="center" vertical="center"/>
    </xf>
    <xf numFmtId="0" fontId="2" fillId="0" borderId="79" xfId="0" applyFont="1" applyFill="1" applyBorder="1" applyAlignment="1">
      <alignment horizontal="center" vertical="center"/>
    </xf>
    <xf numFmtId="0" fontId="15" fillId="0" borderId="32" xfId="23" applyFont="1" applyFill="1" applyBorder="1" applyAlignment="1" applyProtection="1">
      <alignment horizontal="right" vertical="center" wrapText="1"/>
    </xf>
    <xf numFmtId="0" fontId="15" fillId="0" borderId="20" xfId="23" applyFont="1" applyFill="1" applyBorder="1" applyAlignment="1" applyProtection="1">
      <alignment horizontal="right" vertical="center" wrapText="1"/>
    </xf>
    <xf numFmtId="0" fontId="15" fillId="0" borderId="86" xfId="23" applyFont="1" applyFill="1" applyBorder="1" applyAlignment="1" applyProtection="1">
      <alignment horizontal="right" vertical="center" wrapText="1"/>
    </xf>
    <xf numFmtId="0" fontId="15" fillId="0" borderId="34" xfId="23" applyFont="1" applyFill="1" applyBorder="1" applyAlignment="1" applyProtection="1">
      <alignment horizontal="right" vertical="center" wrapText="1"/>
    </xf>
    <xf numFmtId="0" fontId="15" fillId="0" borderId="36" xfId="23" applyFont="1" applyFill="1" applyBorder="1" applyAlignment="1" applyProtection="1">
      <alignment horizontal="right" vertical="center" wrapText="1"/>
    </xf>
    <xf numFmtId="0" fontId="15" fillId="0" borderId="87" xfId="23" applyFont="1" applyFill="1" applyBorder="1" applyAlignment="1" applyProtection="1">
      <alignment horizontal="right" vertical="center" wrapText="1"/>
    </xf>
    <xf numFmtId="0" fontId="2" fillId="0" borderId="76" xfId="0" applyFont="1" applyFill="1" applyBorder="1" applyAlignment="1" applyProtection="1">
      <alignment horizontal="center" vertical="center" wrapText="1"/>
      <protection locked="0"/>
    </xf>
    <xf numFmtId="0" fontId="2" fillId="0" borderId="79" xfId="0" applyFont="1" applyFill="1" applyBorder="1" applyAlignment="1" applyProtection="1">
      <alignment horizontal="center" vertical="center" wrapText="1"/>
      <protection locked="0"/>
    </xf>
    <xf numFmtId="0" fontId="46" fillId="13" borderId="80" xfId="20" applyNumberFormat="1" applyFont="1" applyFill="1" applyBorder="1" applyAlignment="1" applyProtection="1">
      <alignment horizontal="center" vertical="center"/>
    </xf>
    <xf numFmtId="0" fontId="46" fillId="13" borderId="81" xfId="20" applyNumberFormat="1" applyFont="1" applyFill="1" applyBorder="1" applyAlignment="1" applyProtection="1">
      <alignment horizontal="center" vertical="center"/>
    </xf>
    <xf numFmtId="0" fontId="46" fillId="13" borderId="97" xfId="20" applyNumberFormat="1" applyFont="1" applyFill="1" applyBorder="1" applyAlignment="1" applyProtection="1">
      <alignment horizontal="center" vertical="center"/>
    </xf>
    <xf numFmtId="0" fontId="15" fillId="0" borderId="77" xfId="23" applyFont="1" applyFill="1" applyBorder="1" applyAlignment="1" applyProtection="1">
      <alignment horizontal="right" vertical="center" wrapText="1"/>
    </xf>
    <xf numFmtId="0" fontId="15" fillId="0" borderId="52" xfId="23" applyFont="1" applyFill="1" applyBorder="1" applyAlignment="1" applyProtection="1">
      <alignment horizontal="right" vertical="center" wrapText="1"/>
    </xf>
    <xf numFmtId="0" fontId="15" fillId="0" borderId="80" xfId="23" applyFont="1" applyFill="1" applyBorder="1" applyAlignment="1" applyProtection="1">
      <alignment horizontal="right" vertical="center" wrapText="1"/>
    </xf>
    <xf numFmtId="0" fontId="15" fillId="0" borderId="81" xfId="23" applyFont="1" applyFill="1" applyBorder="1" applyAlignment="1" applyProtection="1">
      <alignment horizontal="right" vertical="center" wrapText="1"/>
    </xf>
    <xf numFmtId="0" fontId="46" fillId="13" borderId="96" xfId="20" applyNumberFormat="1" applyFont="1" applyFill="1" applyBorder="1" applyAlignment="1" applyProtection="1">
      <alignment horizontal="right" vertical="center"/>
    </xf>
    <xf numFmtId="0" fontId="46" fillId="13" borderId="55" xfId="20" applyNumberFormat="1" applyFont="1" applyFill="1" applyBorder="1" applyAlignment="1" applyProtection="1">
      <alignment horizontal="right" vertical="center"/>
    </xf>
    <xf numFmtId="0" fontId="46" fillId="13" borderId="13" xfId="20" applyNumberFormat="1" applyFont="1" applyFill="1" applyBorder="1" applyAlignment="1" applyProtection="1">
      <alignment horizontal="right" vertical="center"/>
    </xf>
    <xf numFmtId="0" fontId="29" fillId="0" borderId="76" xfId="0" applyFont="1" applyFill="1" applyBorder="1" applyAlignment="1" applyProtection="1">
      <alignment horizontal="center" vertical="center" wrapText="1"/>
      <protection locked="0"/>
    </xf>
    <xf numFmtId="0" fontId="29" fillId="0" borderId="78" xfId="0" applyFont="1" applyFill="1" applyBorder="1" applyAlignment="1" applyProtection="1">
      <alignment horizontal="center" vertical="center" wrapText="1"/>
      <protection locked="0"/>
    </xf>
    <xf numFmtId="0" fontId="2" fillId="0" borderId="76" xfId="0" applyFont="1" applyFill="1" applyBorder="1" applyAlignment="1" applyProtection="1">
      <alignment horizontal="center" vertical="center"/>
      <protection locked="0"/>
    </xf>
    <xf numFmtId="0" fontId="2" fillId="0" borderId="79" xfId="0" applyFont="1" applyFill="1" applyBorder="1" applyAlignment="1" applyProtection="1">
      <alignment horizontal="center" vertical="center"/>
      <protection locked="0"/>
    </xf>
    <xf numFmtId="0" fontId="37" fillId="11" borderId="64" xfId="0" applyFont="1" applyFill="1" applyBorder="1" applyAlignment="1" applyProtection="1">
      <alignment horizontal="center" vertical="center" wrapText="1"/>
    </xf>
    <xf numFmtId="0" fontId="46" fillId="13" borderId="63" xfId="20" applyNumberFormat="1" applyFont="1" applyFill="1" applyBorder="1" applyAlignment="1" applyProtection="1">
      <alignment horizontal="center" vertical="center"/>
    </xf>
    <xf numFmtId="0" fontId="46" fillId="13" borderId="64" xfId="20" applyNumberFormat="1" applyFont="1" applyFill="1" applyBorder="1" applyAlignment="1" applyProtection="1">
      <alignment horizontal="center" vertical="center"/>
    </xf>
    <xf numFmtId="0" fontId="15" fillId="0" borderId="93" xfId="23" applyFont="1" applyFill="1" applyBorder="1" applyAlignment="1" applyProtection="1">
      <alignment horizontal="right" vertical="center" wrapText="1"/>
    </xf>
    <xf numFmtId="0" fontId="15" fillId="0" borderId="92" xfId="23" applyFont="1" applyFill="1" applyBorder="1" applyAlignment="1" applyProtection="1">
      <alignment horizontal="right" vertical="center" wrapText="1"/>
    </xf>
    <xf numFmtId="0" fontId="15" fillId="0" borderId="94" xfId="23" applyFont="1" applyFill="1" applyBorder="1" applyAlignment="1" applyProtection="1">
      <alignment horizontal="right" vertical="center" wrapText="1"/>
    </xf>
    <xf numFmtId="0" fontId="15" fillId="0" borderId="72" xfId="23" applyFont="1" applyFill="1" applyBorder="1" applyAlignment="1">
      <alignment horizontal="justify" vertical="center" wrapText="1"/>
    </xf>
    <xf numFmtId="0" fontId="15" fillId="0" borderId="73" xfId="23" applyFont="1" applyFill="1" applyBorder="1" applyAlignment="1">
      <alignment horizontal="justify" vertical="center" wrapText="1"/>
    </xf>
    <xf numFmtId="0" fontId="15" fillId="0" borderId="74" xfId="23" applyFont="1" applyFill="1" applyBorder="1" applyAlignment="1">
      <alignment horizontal="left" vertical="center" wrapText="1"/>
    </xf>
    <xf numFmtId="0" fontId="15" fillId="0" borderId="71" xfId="23" applyFont="1" applyFill="1" applyBorder="1" applyAlignment="1">
      <alignment horizontal="left" vertical="center" wrapText="1"/>
    </xf>
    <xf numFmtId="0" fontId="15" fillId="0" borderId="75" xfId="23" applyFont="1" applyFill="1" applyBorder="1" applyAlignment="1">
      <alignment horizontal="left" vertical="center" wrapText="1"/>
    </xf>
    <xf numFmtId="166" fontId="2" fillId="0" borderId="53" xfId="0" applyNumberFormat="1" applyFont="1" applyBorder="1" applyAlignment="1">
      <alignment horizontal="justify" vertical="center" wrapText="1"/>
    </xf>
    <xf numFmtId="166" fontId="2" fillId="0" borderId="61" xfId="0" applyNumberFormat="1" applyFont="1" applyBorder="1" applyAlignment="1">
      <alignment horizontal="justify" vertical="center" wrapText="1"/>
    </xf>
    <xf numFmtId="166" fontId="7" fillId="0" borderId="53" xfId="0" applyNumberFormat="1" applyFont="1" applyBorder="1" applyAlignment="1">
      <alignment horizontal="justify" vertical="top" wrapText="1"/>
    </xf>
    <xf numFmtId="166" fontId="7" fillId="0" borderId="61" xfId="0" applyNumberFormat="1" applyFont="1" applyBorder="1" applyAlignment="1">
      <alignment horizontal="justify" vertical="top" wrapText="1"/>
    </xf>
    <xf numFmtId="166" fontId="2" fillId="0" borderId="53" xfId="0" applyNumberFormat="1" applyFont="1" applyFill="1" applyBorder="1" applyAlignment="1">
      <alignment horizontal="left" vertical="center" wrapText="1"/>
    </xf>
    <xf numFmtId="166" fontId="2" fillId="0" borderId="62" xfId="0" applyNumberFormat="1" applyFont="1" applyFill="1" applyBorder="1" applyAlignment="1">
      <alignment horizontal="left" vertical="center" wrapText="1"/>
    </xf>
    <xf numFmtId="49" fontId="17" fillId="0" borderId="0" xfId="21" applyNumberFormat="1" applyFont="1" applyFill="1" applyAlignment="1">
      <alignment horizontal="center" vertical="center" wrapText="1"/>
    </xf>
    <xf numFmtId="49" fontId="18" fillId="0" borderId="14" xfId="21" applyNumberFormat="1" applyFont="1" applyFill="1" applyBorder="1" applyAlignment="1">
      <alignment horizontal="center" vertical="center" wrapText="1"/>
    </xf>
    <xf numFmtId="0" fontId="18" fillId="0" borderId="55" xfId="21" applyFont="1" applyFill="1" applyBorder="1" applyAlignment="1">
      <alignment horizontal="center" vertical="center" wrapText="1"/>
    </xf>
    <xf numFmtId="0" fontId="18" fillId="0" borderId="13" xfId="21" applyFont="1" applyFill="1" applyBorder="1" applyAlignment="1">
      <alignment horizontal="center" vertical="center" wrapText="1"/>
    </xf>
    <xf numFmtId="0" fontId="18" fillId="0" borderId="18" xfId="21" applyFont="1" applyFill="1" applyBorder="1" applyAlignment="1">
      <alignment horizontal="center" vertical="center" wrapText="1"/>
    </xf>
    <xf numFmtId="0" fontId="18" fillId="0" borderId="19" xfId="21" applyFont="1" applyFill="1" applyBorder="1" applyAlignment="1">
      <alignment horizontal="center" vertical="center" wrapText="1"/>
    </xf>
    <xf numFmtId="0" fontId="18" fillId="0" borderId="16" xfId="21" applyFont="1" applyFill="1" applyBorder="1" applyAlignment="1">
      <alignment horizontal="center" vertical="center" wrapText="1"/>
    </xf>
    <xf numFmtId="3" fontId="18" fillId="0" borderId="51" xfId="21" applyNumberFormat="1" applyFont="1" applyFill="1" applyBorder="1" applyAlignment="1">
      <alignment horizontal="center" vertical="center"/>
    </xf>
    <xf numFmtId="3" fontId="18" fillId="0" borderId="12" xfId="21" applyNumberFormat="1" applyFont="1" applyFill="1" applyBorder="1" applyAlignment="1">
      <alignment horizontal="center" vertical="center"/>
    </xf>
    <xf numFmtId="49" fontId="18" fillId="0" borderId="51" xfId="21" applyNumberFormat="1" applyFont="1" applyFill="1" applyBorder="1" applyAlignment="1">
      <alignment horizontal="left"/>
    </xf>
    <xf numFmtId="49" fontId="18" fillId="0" borderId="52" xfId="21" applyNumberFormat="1" applyFont="1" applyFill="1" applyBorder="1" applyAlignment="1">
      <alignment horizontal="left"/>
    </xf>
    <xf numFmtId="49" fontId="18" fillId="0" borderId="12" xfId="21" applyNumberFormat="1" applyFont="1" applyFill="1" applyBorder="1" applyAlignment="1">
      <alignment horizontal="left"/>
    </xf>
    <xf numFmtId="171" fontId="24" fillId="0" borderId="8" xfId="0" applyNumberFormat="1" applyFont="1" applyFill="1" applyBorder="1" applyAlignment="1">
      <alignment horizontal="center" vertical="center"/>
    </xf>
    <xf numFmtId="166" fontId="24" fillId="0" borderId="8" xfId="0" applyNumberFormat="1" applyFont="1" applyBorder="1" applyAlignment="1">
      <alignment horizontal="justify" vertical="justify" wrapText="1"/>
    </xf>
    <xf numFmtId="166" fontId="24" fillId="0" borderId="8" xfId="0" applyNumberFormat="1" applyFont="1" applyBorder="1" applyAlignment="1">
      <alignment horizontal="justify" vertical="justify"/>
    </xf>
    <xf numFmtId="0" fontId="0" fillId="0" borderId="51" xfId="0" applyBorder="1" applyAlignment="1">
      <alignment horizontal="center"/>
    </xf>
    <xf numFmtId="0" fontId="0" fillId="0" borderId="52" xfId="0" applyBorder="1" applyAlignment="1">
      <alignment horizontal="center"/>
    </xf>
    <xf numFmtId="0" fontId="0" fillId="0" borderId="12" xfId="0" applyBorder="1" applyAlignment="1">
      <alignment horizontal="center"/>
    </xf>
    <xf numFmtId="0" fontId="0" fillId="0" borderId="51" xfId="0" applyFill="1" applyBorder="1" applyAlignment="1">
      <alignment horizontal="center"/>
    </xf>
    <xf numFmtId="0" fontId="0" fillId="0" borderId="52" xfId="0" applyFill="1" applyBorder="1" applyAlignment="1">
      <alignment horizontal="center"/>
    </xf>
    <xf numFmtId="0" fontId="0" fillId="0" borderId="12" xfId="0" applyFill="1" applyBorder="1" applyAlignment="1">
      <alignment horizontal="center"/>
    </xf>
    <xf numFmtId="0" fontId="3" fillId="0" borderId="0" xfId="0" applyFont="1" applyFill="1" applyBorder="1" applyAlignment="1">
      <alignment horizontal="center" vertical="center" wrapText="1"/>
    </xf>
    <xf numFmtId="0" fontId="0" fillId="0" borderId="0" xfId="0" applyAlignment="1">
      <alignment horizontal="center"/>
    </xf>
    <xf numFmtId="0" fontId="0" fillId="0" borderId="8" xfId="0" applyFill="1" applyBorder="1" applyAlignment="1">
      <alignment horizontal="center"/>
    </xf>
  </cellXfs>
  <cellStyles count="36">
    <cellStyle name="Comma" xfId="1"/>
    <cellStyle name="Currency" xfId="2"/>
    <cellStyle name="Date" xfId="3"/>
    <cellStyle name="DIA" xfId="4"/>
    <cellStyle name="ENCABEZ1" xfId="5"/>
    <cellStyle name="ENCABEZ2" xfId="6"/>
    <cellStyle name="Euro" xfId="7"/>
    <cellStyle name="FIJO" xfId="8"/>
    <cellStyle name="FINANCIERO" xfId="9"/>
    <cellStyle name="Fixed" xfId="10"/>
    <cellStyle name="Heading1" xfId="11"/>
    <cellStyle name="Heading2" xfId="12"/>
    <cellStyle name="Millares" xfId="13" builtinId="3"/>
    <cellStyle name="Millares [0]" xfId="14" builtinId="6"/>
    <cellStyle name="Millares 2" xfId="15"/>
    <cellStyle name="Millares 2 2 2" xfId="31"/>
    <cellStyle name="Millares 5" xfId="16"/>
    <cellStyle name="Moneda" xfId="17" builtinId="4"/>
    <cellStyle name="Moneda 2" xfId="18"/>
    <cellStyle name="Moneda 2 2" xfId="34"/>
    <cellStyle name="Moneda 3" xfId="33"/>
    <cellStyle name="Moneda 4" xfId="32"/>
    <cellStyle name="MONETARIO" xfId="19"/>
    <cellStyle name="Normal" xfId="0" builtinId="0"/>
    <cellStyle name="Normal 2" xfId="20"/>
    <cellStyle name="Normal 2 2" xfId="28"/>
    <cellStyle name="Normal 4" xfId="21"/>
    <cellStyle name="Normal 7" xfId="30"/>
    <cellStyle name="Normal_Formulario de Item, cantid y precio" xfId="22"/>
    <cellStyle name="Normal_HOJA DE DISEÑO" xfId="35"/>
    <cellStyle name="Normal_PPTO PLANTILLA VALERIA NORTE_01" xfId="23"/>
    <cellStyle name="Percent" xfId="24"/>
    <cellStyle name="Porcentaje" xfId="25" builtinId="5"/>
    <cellStyle name="Porcentual 2" xfId="26"/>
    <cellStyle name="Porcentual 2 2" xfId="29"/>
    <cellStyle name="Porcentual 3" xfId="2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142875</xdr:rowOff>
    </xdr:from>
    <xdr:to>
      <xdr:col>0</xdr:col>
      <xdr:colOff>981075</xdr:colOff>
      <xdr:row>1</xdr:row>
      <xdr:rowOff>257175</xdr:rowOff>
    </xdr:to>
    <xdr:pic>
      <xdr:nvPicPr>
        <xdr:cNvPr id="21604" name="0 Imagen" descr="LOGO.bmp"/>
        <xdr:cNvPicPr>
          <a:picLocks noChangeAspect="1" noChangeArrowheads="1"/>
        </xdr:cNvPicPr>
      </xdr:nvPicPr>
      <xdr:blipFill>
        <a:blip xmlns:r="http://schemas.openxmlformats.org/officeDocument/2006/relationships" r:embed="rId1" cstate="print"/>
        <a:srcRect/>
        <a:stretch>
          <a:fillRect/>
        </a:stretch>
      </xdr:blipFill>
      <xdr:spPr bwMode="auto">
        <a:xfrm>
          <a:off x="0" y="142875"/>
          <a:ext cx="981075" cy="419100"/>
        </a:xfrm>
        <a:prstGeom prst="rect">
          <a:avLst/>
        </a:prstGeom>
        <a:noFill/>
        <a:ln w="9525">
          <a:noFill/>
          <a:miter lim="800000"/>
          <a:headEnd/>
          <a:tailEnd/>
        </a:ln>
      </xdr:spPr>
    </xdr:pic>
    <xdr:clientData/>
  </xdr:twoCellAnchor>
  <xdr:twoCellAnchor>
    <xdr:from>
      <xdr:col>20</xdr:col>
      <xdr:colOff>219075</xdr:colOff>
      <xdr:row>0</xdr:row>
      <xdr:rowOff>180975</xdr:rowOff>
    </xdr:from>
    <xdr:to>
      <xdr:col>29</xdr:col>
      <xdr:colOff>314325</xdr:colOff>
      <xdr:row>4</xdr:row>
      <xdr:rowOff>104775</xdr:rowOff>
    </xdr:to>
    <xdr:pic>
      <xdr:nvPicPr>
        <xdr:cNvPr id="21605" name="Imagen 1"/>
        <xdr:cNvPicPr>
          <a:picLocks noChangeAspect="1" noChangeArrowheads="1"/>
        </xdr:cNvPicPr>
      </xdr:nvPicPr>
      <xdr:blipFill>
        <a:blip xmlns:r="http://schemas.openxmlformats.org/officeDocument/2006/relationships" r:embed="rId2"/>
        <a:srcRect/>
        <a:stretch>
          <a:fillRect/>
        </a:stretch>
      </xdr:blipFill>
      <xdr:spPr bwMode="auto">
        <a:xfrm>
          <a:off x="12277725" y="180975"/>
          <a:ext cx="0" cy="11430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28575</xdr:rowOff>
    </xdr:from>
    <xdr:to>
      <xdr:col>1</xdr:col>
      <xdr:colOff>476250</xdr:colOff>
      <xdr:row>4</xdr:row>
      <xdr:rowOff>85725</xdr:rowOff>
    </xdr:to>
    <xdr:pic>
      <xdr:nvPicPr>
        <xdr:cNvPr id="28759" name="0 Imagen" descr="LOGO.bmp"/>
        <xdr:cNvPicPr>
          <a:picLocks noChangeAspect="1" noChangeArrowheads="1"/>
        </xdr:cNvPicPr>
      </xdr:nvPicPr>
      <xdr:blipFill>
        <a:blip xmlns:r="http://schemas.openxmlformats.org/officeDocument/2006/relationships" r:embed="rId1" cstate="print"/>
        <a:srcRect/>
        <a:stretch>
          <a:fillRect/>
        </a:stretch>
      </xdr:blipFill>
      <xdr:spPr bwMode="auto">
        <a:xfrm>
          <a:off x="0" y="209550"/>
          <a:ext cx="1238250" cy="628650"/>
        </a:xfrm>
        <a:prstGeom prst="rect">
          <a:avLst/>
        </a:prstGeom>
        <a:noFill/>
        <a:ln w="9525">
          <a:noFill/>
          <a:miter lim="800000"/>
          <a:headEnd/>
          <a:tailEnd/>
        </a:ln>
      </xdr:spPr>
    </xdr:pic>
    <xdr:clientData/>
  </xdr:twoCellAnchor>
  <xdr:twoCellAnchor>
    <xdr:from>
      <xdr:col>5</xdr:col>
      <xdr:colOff>847725</xdr:colOff>
      <xdr:row>0</xdr:row>
      <xdr:rowOff>114300</xdr:rowOff>
    </xdr:from>
    <xdr:to>
      <xdr:col>5</xdr:col>
      <xdr:colOff>1962150</xdr:colOff>
      <xdr:row>5</xdr:row>
      <xdr:rowOff>104775</xdr:rowOff>
    </xdr:to>
    <xdr:pic>
      <xdr:nvPicPr>
        <xdr:cNvPr id="28760" name="Imagen 1"/>
        <xdr:cNvPicPr>
          <a:picLocks noChangeAspect="1" noChangeArrowheads="1"/>
        </xdr:cNvPicPr>
      </xdr:nvPicPr>
      <xdr:blipFill>
        <a:blip xmlns:r="http://schemas.openxmlformats.org/officeDocument/2006/relationships" r:embed="rId2" cstate="print"/>
        <a:srcRect/>
        <a:stretch>
          <a:fillRect/>
        </a:stretch>
      </xdr:blipFill>
      <xdr:spPr bwMode="auto">
        <a:xfrm>
          <a:off x="5553075" y="114300"/>
          <a:ext cx="1114425" cy="933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0</xdr:row>
      <xdr:rowOff>76200</xdr:rowOff>
    </xdr:from>
    <xdr:to>
      <xdr:col>2</xdr:col>
      <xdr:colOff>847725</xdr:colOff>
      <xdr:row>3</xdr:row>
      <xdr:rowOff>190500</xdr:rowOff>
    </xdr:to>
    <xdr:pic>
      <xdr:nvPicPr>
        <xdr:cNvPr id="22628" name="0 Imagen" descr="LOGO.bmp"/>
        <xdr:cNvPicPr>
          <a:picLocks noChangeAspect="1" noChangeArrowheads="1"/>
        </xdr:cNvPicPr>
      </xdr:nvPicPr>
      <xdr:blipFill>
        <a:blip xmlns:r="http://schemas.openxmlformats.org/officeDocument/2006/relationships" r:embed="rId1" cstate="print"/>
        <a:srcRect/>
        <a:stretch>
          <a:fillRect/>
        </a:stretch>
      </xdr:blipFill>
      <xdr:spPr bwMode="auto">
        <a:xfrm>
          <a:off x="314325" y="76200"/>
          <a:ext cx="1714500" cy="1028700"/>
        </a:xfrm>
        <a:prstGeom prst="rect">
          <a:avLst/>
        </a:prstGeom>
        <a:noFill/>
        <a:ln w="9525">
          <a:noFill/>
          <a:miter lim="800000"/>
          <a:headEnd/>
          <a:tailEnd/>
        </a:ln>
      </xdr:spPr>
    </xdr:pic>
    <xdr:clientData/>
  </xdr:twoCellAnchor>
  <xdr:twoCellAnchor>
    <xdr:from>
      <xdr:col>5</xdr:col>
      <xdr:colOff>495300</xdr:colOff>
      <xdr:row>0</xdr:row>
      <xdr:rowOff>142875</xdr:rowOff>
    </xdr:from>
    <xdr:to>
      <xdr:col>6</xdr:col>
      <xdr:colOff>1152525</xdr:colOff>
      <xdr:row>3</xdr:row>
      <xdr:rowOff>142875</xdr:rowOff>
    </xdr:to>
    <xdr:pic>
      <xdr:nvPicPr>
        <xdr:cNvPr id="22629" name="Imagen 1"/>
        <xdr:cNvPicPr>
          <a:picLocks noChangeAspect="1" noChangeArrowheads="1"/>
        </xdr:cNvPicPr>
      </xdr:nvPicPr>
      <xdr:blipFill>
        <a:blip xmlns:r="http://schemas.openxmlformats.org/officeDocument/2006/relationships" r:embed="rId2" cstate="print"/>
        <a:srcRect/>
        <a:stretch>
          <a:fillRect/>
        </a:stretch>
      </xdr:blipFill>
      <xdr:spPr bwMode="auto">
        <a:xfrm>
          <a:off x="6200775" y="142875"/>
          <a:ext cx="1638300" cy="9144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501316</xdr:colOff>
      <xdr:row>0</xdr:row>
      <xdr:rowOff>37601</xdr:rowOff>
    </xdr:from>
    <xdr:to>
      <xdr:col>6</xdr:col>
      <xdr:colOff>997358</xdr:colOff>
      <xdr:row>2</xdr:row>
      <xdr:rowOff>2</xdr:rowOff>
    </xdr:to>
    <xdr:pic>
      <xdr:nvPicPr>
        <xdr:cNvPr id="2" name="Picture 1473"/>
        <xdr:cNvPicPr>
          <a:picLocks noChangeAspect="1" noChangeArrowheads="1"/>
        </xdr:cNvPicPr>
      </xdr:nvPicPr>
      <xdr:blipFill>
        <a:blip xmlns:r="http://schemas.openxmlformats.org/officeDocument/2006/relationships" r:embed="rId1" cstate="print">
          <a:lum bright="-10000" contrast="20000"/>
        </a:blip>
        <a:srcRect/>
        <a:stretch>
          <a:fillRect/>
        </a:stretch>
      </xdr:blipFill>
      <xdr:spPr bwMode="auto">
        <a:xfrm>
          <a:off x="6768766" y="37601"/>
          <a:ext cx="1477117" cy="64820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609601</xdr:colOff>
      <xdr:row>0</xdr:row>
      <xdr:rowOff>49637</xdr:rowOff>
    </xdr:from>
    <xdr:to>
      <xdr:col>6</xdr:col>
      <xdr:colOff>1206907</xdr:colOff>
      <xdr:row>2</xdr:row>
      <xdr:rowOff>318335</xdr:rowOff>
    </xdr:to>
    <xdr:pic>
      <xdr:nvPicPr>
        <xdr:cNvPr id="2" name="Picture 1473"/>
        <xdr:cNvPicPr>
          <a:picLocks noChangeAspect="1" noChangeArrowheads="1"/>
        </xdr:cNvPicPr>
      </xdr:nvPicPr>
      <xdr:blipFill>
        <a:blip xmlns:r="http://schemas.openxmlformats.org/officeDocument/2006/relationships" r:embed="rId1" cstate="print">
          <a:lum bright="-10000" contrast="20000"/>
        </a:blip>
        <a:srcRect/>
        <a:stretch>
          <a:fillRect/>
        </a:stretch>
      </xdr:blipFill>
      <xdr:spPr bwMode="auto">
        <a:xfrm>
          <a:off x="5591176" y="49637"/>
          <a:ext cx="1425982" cy="630648"/>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501316</xdr:colOff>
      <xdr:row>0</xdr:row>
      <xdr:rowOff>37601</xdr:rowOff>
    </xdr:from>
    <xdr:to>
      <xdr:col>6</xdr:col>
      <xdr:colOff>997358</xdr:colOff>
      <xdr:row>2</xdr:row>
      <xdr:rowOff>2</xdr:rowOff>
    </xdr:to>
    <xdr:pic>
      <xdr:nvPicPr>
        <xdr:cNvPr id="4" name="Picture 1473"/>
        <xdr:cNvPicPr>
          <a:picLocks noChangeAspect="1" noChangeArrowheads="1"/>
        </xdr:cNvPicPr>
      </xdr:nvPicPr>
      <xdr:blipFill>
        <a:blip xmlns:r="http://schemas.openxmlformats.org/officeDocument/2006/relationships" r:embed="rId1" cstate="print">
          <a:lum bright="-10000" contrast="20000"/>
        </a:blip>
        <a:srcRect/>
        <a:stretch>
          <a:fillRect/>
        </a:stretch>
      </xdr:blipFill>
      <xdr:spPr bwMode="auto">
        <a:xfrm>
          <a:off x="6680033" y="37601"/>
          <a:ext cx="1473608" cy="65171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428625</xdr:colOff>
      <xdr:row>0</xdr:row>
      <xdr:rowOff>152400</xdr:rowOff>
    </xdr:from>
    <xdr:to>
      <xdr:col>2</xdr:col>
      <xdr:colOff>314325</xdr:colOff>
      <xdr:row>3</xdr:row>
      <xdr:rowOff>190500</xdr:rowOff>
    </xdr:to>
    <xdr:pic>
      <xdr:nvPicPr>
        <xdr:cNvPr id="24676" name="0 Imagen" descr="LOGO.bmp"/>
        <xdr:cNvPicPr>
          <a:picLocks noChangeAspect="1" noChangeArrowheads="1"/>
        </xdr:cNvPicPr>
      </xdr:nvPicPr>
      <xdr:blipFill>
        <a:blip xmlns:r="http://schemas.openxmlformats.org/officeDocument/2006/relationships" r:embed="rId1" cstate="print"/>
        <a:srcRect/>
        <a:stretch>
          <a:fillRect/>
        </a:stretch>
      </xdr:blipFill>
      <xdr:spPr bwMode="auto">
        <a:xfrm>
          <a:off x="428625" y="152400"/>
          <a:ext cx="1066800" cy="952500"/>
        </a:xfrm>
        <a:prstGeom prst="rect">
          <a:avLst/>
        </a:prstGeom>
        <a:noFill/>
        <a:ln w="9525">
          <a:noFill/>
          <a:miter lim="800000"/>
          <a:headEnd/>
          <a:tailEnd/>
        </a:ln>
      </xdr:spPr>
    </xdr:pic>
    <xdr:clientData/>
  </xdr:twoCellAnchor>
  <xdr:twoCellAnchor>
    <xdr:from>
      <xdr:col>5</xdr:col>
      <xdr:colOff>304800</xdr:colOff>
      <xdr:row>0</xdr:row>
      <xdr:rowOff>114300</xdr:rowOff>
    </xdr:from>
    <xdr:to>
      <xdr:col>6</xdr:col>
      <xdr:colOff>1076325</xdr:colOff>
      <xdr:row>3</xdr:row>
      <xdr:rowOff>142875</xdr:rowOff>
    </xdr:to>
    <xdr:pic>
      <xdr:nvPicPr>
        <xdr:cNvPr id="24677" name="Imagen 1"/>
        <xdr:cNvPicPr>
          <a:picLocks noChangeAspect="1" noChangeArrowheads="1"/>
        </xdr:cNvPicPr>
      </xdr:nvPicPr>
      <xdr:blipFill>
        <a:blip xmlns:r="http://schemas.openxmlformats.org/officeDocument/2006/relationships" r:embed="rId2" cstate="print"/>
        <a:srcRect/>
        <a:stretch>
          <a:fillRect/>
        </a:stretch>
      </xdr:blipFill>
      <xdr:spPr bwMode="auto">
        <a:xfrm>
          <a:off x="6010275" y="114300"/>
          <a:ext cx="1600200" cy="9429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695325</xdr:colOff>
      <xdr:row>0</xdr:row>
      <xdr:rowOff>66675</xdr:rowOff>
    </xdr:from>
    <xdr:to>
      <xdr:col>6</xdr:col>
      <xdr:colOff>1171575</xdr:colOff>
      <xdr:row>2</xdr:row>
      <xdr:rowOff>228600</xdr:rowOff>
    </xdr:to>
    <xdr:pic>
      <xdr:nvPicPr>
        <xdr:cNvPr id="25700"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6400800" y="66675"/>
          <a:ext cx="1304925" cy="771525"/>
        </a:xfrm>
        <a:prstGeom prst="rect">
          <a:avLst/>
        </a:prstGeom>
        <a:noFill/>
        <a:ln w="9525">
          <a:noFill/>
          <a:miter lim="800000"/>
          <a:headEnd/>
          <a:tailEnd/>
        </a:ln>
      </xdr:spPr>
    </xdr:pic>
    <xdr:clientData/>
  </xdr:twoCellAnchor>
  <xdr:twoCellAnchor>
    <xdr:from>
      <xdr:col>0</xdr:col>
      <xdr:colOff>76200</xdr:colOff>
      <xdr:row>0</xdr:row>
      <xdr:rowOff>66675</xdr:rowOff>
    </xdr:from>
    <xdr:to>
      <xdr:col>2</xdr:col>
      <xdr:colOff>152400</xdr:colOff>
      <xdr:row>2</xdr:row>
      <xdr:rowOff>295275</xdr:rowOff>
    </xdr:to>
    <xdr:pic>
      <xdr:nvPicPr>
        <xdr:cNvPr id="25701" name="0 Imagen" descr="LOGO.bmp"/>
        <xdr:cNvPicPr>
          <a:picLocks noChangeAspect="1" noChangeArrowheads="1"/>
        </xdr:cNvPicPr>
      </xdr:nvPicPr>
      <xdr:blipFill>
        <a:blip xmlns:r="http://schemas.openxmlformats.org/officeDocument/2006/relationships" r:embed="rId2" cstate="print"/>
        <a:srcRect/>
        <a:stretch>
          <a:fillRect/>
        </a:stretch>
      </xdr:blipFill>
      <xdr:spPr bwMode="auto">
        <a:xfrm>
          <a:off x="76200" y="66675"/>
          <a:ext cx="1257300" cy="8382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0</xdr:row>
      <xdr:rowOff>0</xdr:rowOff>
    </xdr:from>
    <xdr:to>
      <xdr:col>1</xdr:col>
      <xdr:colOff>428625</xdr:colOff>
      <xdr:row>1</xdr:row>
      <xdr:rowOff>142875</xdr:rowOff>
    </xdr:to>
    <xdr:pic>
      <xdr:nvPicPr>
        <xdr:cNvPr id="26724" name="0 Imagen" descr="LOGO.bmp"/>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28675" cy="447675"/>
        </a:xfrm>
        <a:prstGeom prst="rect">
          <a:avLst/>
        </a:prstGeom>
        <a:noFill/>
        <a:ln w="9525">
          <a:noFill/>
          <a:miter lim="800000"/>
          <a:headEnd/>
          <a:tailEnd/>
        </a:ln>
      </xdr:spPr>
    </xdr:pic>
    <xdr:clientData/>
  </xdr:twoCellAnchor>
  <xdr:twoCellAnchor>
    <xdr:from>
      <xdr:col>3</xdr:col>
      <xdr:colOff>9525</xdr:colOff>
      <xdr:row>0</xdr:row>
      <xdr:rowOff>28575</xdr:rowOff>
    </xdr:from>
    <xdr:to>
      <xdr:col>3</xdr:col>
      <xdr:colOff>790575</xdr:colOff>
      <xdr:row>1</xdr:row>
      <xdr:rowOff>142875</xdr:rowOff>
    </xdr:to>
    <xdr:pic>
      <xdr:nvPicPr>
        <xdr:cNvPr id="26725" name="Imagen 1"/>
        <xdr:cNvPicPr>
          <a:picLocks noChangeAspect="1" noChangeArrowheads="1"/>
        </xdr:cNvPicPr>
      </xdr:nvPicPr>
      <xdr:blipFill>
        <a:blip xmlns:r="http://schemas.openxmlformats.org/officeDocument/2006/relationships" r:embed="rId2" cstate="print"/>
        <a:srcRect/>
        <a:stretch>
          <a:fillRect/>
        </a:stretch>
      </xdr:blipFill>
      <xdr:spPr bwMode="auto">
        <a:xfrm>
          <a:off x="3057525" y="28575"/>
          <a:ext cx="781050" cy="4191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180975</xdr:rowOff>
    </xdr:from>
    <xdr:to>
      <xdr:col>1</xdr:col>
      <xdr:colOff>28575</xdr:colOff>
      <xdr:row>2</xdr:row>
      <xdr:rowOff>180975</xdr:rowOff>
    </xdr:to>
    <xdr:pic>
      <xdr:nvPicPr>
        <xdr:cNvPr id="27735" name="0 Imagen" descr="LOGO.bmp"/>
        <xdr:cNvPicPr>
          <a:picLocks noChangeAspect="1" noChangeArrowheads="1"/>
        </xdr:cNvPicPr>
      </xdr:nvPicPr>
      <xdr:blipFill>
        <a:blip xmlns:r="http://schemas.openxmlformats.org/officeDocument/2006/relationships" r:embed="rId1" cstate="print"/>
        <a:srcRect/>
        <a:stretch>
          <a:fillRect/>
        </a:stretch>
      </xdr:blipFill>
      <xdr:spPr bwMode="auto">
        <a:xfrm>
          <a:off x="0" y="180975"/>
          <a:ext cx="790575" cy="371475"/>
        </a:xfrm>
        <a:prstGeom prst="rect">
          <a:avLst/>
        </a:prstGeom>
        <a:noFill/>
        <a:ln w="9525">
          <a:noFill/>
          <a:miter lim="800000"/>
          <a:headEnd/>
          <a:tailEnd/>
        </a:ln>
      </xdr:spPr>
    </xdr:pic>
    <xdr:clientData/>
  </xdr:twoCellAnchor>
  <xdr:twoCellAnchor>
    <xdr:from>
      <xdr:col>3</xdr:col>
      <xdr:colOff>352425</xdr:colOff>
      <xdr:row>0</xdr:row>
      <xdr:rowOff>104775</xdr:rowOff>
    </xdr:from>
    <xdr:to>
      <xdr:col>4</xdr:col>
      <xdr:colOff>180975</xdr:colOff>
      <xdr:row>3</xdr:row>
      <xdr:rowOff>85725</xdr:rowOff>
    </xdr:to>
    <xdr:pic>
      <xdr:nvPicPr>
        <xdr:cNvPr id="27736" name="Imagen 1"/>
        <xdr:cNvPicPr>
          <a:picLocks noChangeAspect="1" noChangeArrowheads="1"/>
        </xdr:cNvPicPr>
      </xdr:nvPicPr>
      <xdr:blipFill>
        <a:blip xmlns:r="http://schemas.openxmlformats.org/officeDocument/2006/relationships" r:embed="rId2" cstate="print"/>
        <a:srcRect/>
        <a:stretch>
          <a:fillRect/>
        </a:stretch>
      </xdr:blipFill>
      <xdr:spPr bwMode="auto">
        <a:xfrm>
          <a:off x="3152775" y="104775"/>
          <a:ext cx="676275" cy="5429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cuments\Aguas%20de%20Uraba\Proyectos%20MVCT%20V2\Chigorodo\Modelo_ppto_MIO_21Marzo\DNP\LETRINA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ocuments\Aguas%20de%20Uraba\Proyectos%20MVCT%20V2\Chigorodo\Modelo_ppto_MIO_21Marzo\REDES%20TURBO%20SAN%20MART&#205;N\DNP\LETRINA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NP\LETRINA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SER\Documents\Aguas%20de%20Uraba\Proyectos%20MVCT%20V2\Corrreos%20MIO_bases%20informes%20compilado%2023%20abril\08_CHI_PRESUPUESTO\1_CHI_PRESUPUESTO_NEG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ES SOCIALES"/>
      <sheetName val="PERSONAL"/>
      <sheetName val="lisprecios"/>
      <sheetName val="PRESU"/>
    </sheetNames>
    <sheetDataSet>
      <sheetData sheetId="0"/>
      <sheetData sheetId="1">
        <row r="22">
          <cell r="D22">
            <v>118800</v>
          </cell>
        </row>
        <row r="27">
          <cell r="D27">
            <v>216000</v>
          </cell>
        </row>
        <row r="45">
          <cell r="D45">
            <v>64800</v>
          </cell>
        </row>
      </sheetData>
      <sheetData sheetId="2">
        <row r="10">
          <cell r="D10">
            <v>300</v>
          </cell>
        </row>
        <row r="12">
          <cell r="D12">
            <v>12000</v>
          </cell>
        </row>
        <row r="13">
          <cell r="D13">
            <v>25000</v>
          </cell>
        </row>
        <row r="14">
          <cell r="D14">
            <v>50</v>
          </cell>
        </row>
        <row r="25">
          <cell r="D25">
            <v>350</v>
          </cell>
        </row>
        <row r="35">
          <cell r="D35">
            <v>30000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ES SOCIALES"/>
      <sheetName val="PERSONAL"/>
      <sheetName val="lisprecios"/>
      <sheetName val="PRESU"/>
    </sheetNames>
    <sheetDataSet>
      <sheetData sheetId="0"/>
      <sheetData sheetId="1">
        <row r="22">
          <cell r="D22">
            <v>118800</v>
          </cell>
        </row>
        <row r="27">
          <cell r="D27">
            <v>216000</v>
          </cell>
        </row>
        <row r="45">
          <cell r="D45">
            <v>64800</v>
          </cell>
        </row>
      </sheetData>
      <sheetData sheetId="2">
        <row r="10">
          <cell r="D10">
            <v>300</v>
          </cell>
        </row>
        <row r="12">
          <cell r="D12">
            <v>12000</v>
          </cell>
        </row>
        <row r="13">
          <cell r="D13">
            <v>25000</v>
          </cell>
        </row>
        <row r="14">
          <cell r="D14">
            <v>50</v>
          </cell>
        </row>
        <row r="25">
          <cell r="D25">
            <v>350</v>
          </cell>
        </row>
        <row r="35">
          <cell r="D35">
            <v>30000</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ES SOCIALES"/>
      <sheetName val="PERSONAL"/>
      <sheetName val="lisprecios"/>
      <sheetName val="PRESU"/>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sheetName val="obra"/>
      <sheetName val="Cantidades"/>
      <sheetName val="Memoria Cálculo"/>
      <sheetName val="Presupuesto Obra"/>
      <sheetName val="Presupuesto Suministro"/>
      <sheetName val="APU2"/>
      <sheetName val="AIU "/>
      <sheetName val="Resumen Financiero"/>
      <sheetName val="Cronograma Obra"/>
      <sheetName val="suministro"/>
      <sheetName val="suministro (2)"/>
      <sheetName val="especificaciones "/>
      <sheetName val="AIU"/>
      <sheetName val="Materiales Obra"/>
      <sheetName val="Equipos Obra"/>
      <sheetName val="MATERIALES"/>
      <sheetName val="EQUIPOS"/>
    </sheetNames>
    <sheetDataSet>
      <sheetData sheetId="0" refreshError="1"/>
      <sheetData sheetId="1" refreshError="1"/>
      <sheetData sheetId="2" refreshError="1"/>
      <sheetData sheetId="3" refreshError="1"/>
      <sheetData sheetId="4">
        <row r="37">
          <cell r="A37" t="str">
            <v>801, 803, 806, 814, 815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05"/>
  <sheetViews>
    <sheetView topLeftCell="A57" workbookViewId="0">
      <selection activeCell="E9" sqref="E9"/>
    </sheetView>
  </sheetViews>
  <sheetFormatPr baseColWidth="10" defaultColWidth="11.42578125" defaultRowHeight="14.25" x14ac:dyDescent="0.2"/>
  <cols>
    <col min="1" max="1" width="19.42578125" style="1" customWidth="1"/>
    <col min="2" max="2" width="6.28515625" style="40" customWidth="1"/>
    <col min="3" max="3" width="73.42578125" style="1" customWidth="1"/>
    <col min="4" max="4" width="7.28515625" style="1" customWidth="1"/>
    <col min="5" max="5" width="12.7109375" style="1" customWidth="1"/>
    <col min="6" max="6" width="5" style="255" customWidth="1"/>
    <col min="7" max="18" width="5" style="1" customWidth="1"/>
    <col min="19" max="30" width="5" style="1" hidden="1" customWidth="1"/>
    <col min="31" max="31" width="15.7109375" style="1" bestFit="1" customWidth="1"/>
    <col min="32" max="16384" width="11.42578125" style="1"/>
  </cols>
  <sheetData>
    <row r="1" spans="1:33" ht="24" customHeight="1" x14ac:dyDescent="0.2">
      <c r="C1" s="3"/>
      <c r="D1" s="675"/>
      <c r="E1" s="675"/>
      <c r="F1" s="675"/>
      <c r="G1" s="675"/>
      <c r="H1" s="675"/>
      <c r="I1" s="675"/>
      <c r="J1" s="675"/>
      <c r="K1" s="675"/>
      <c r="L1" s="675"/>
      <c r="M1" s="675"/>
      <c r="N1" s="675"/>
      <c r="O1" s="3"/>
      <c r="P1" s="3"/>
      <c r="Q1" s="3"/>
      <c r="R1" s="3"/>
      <c r="S1" s="3"/>
      <c r="T1" s="3"/>
      <c r="U1" s="3"/>
      <c r="V1" s="3"/>
      <c r="W1" s="3"/>
      <c r="X1" s="3"/>
      <c r="Y1" s="3"/>
      <c r="Z1" s="3"/>
      <c r="AA1" s="3"/>
      <c r="AB1" s="3"/>
      <c r="AC1" s="3"/>
      <c r="AD1" s="3"/>
    </row>
    <row r="2" spans="1:33" ht="24" customHeight="1" x14ac:dyDescent="0.2">
      <c r="C2" s="3"/>
      <c r="D2" s="675"/>
      <c r="E2" s="675"/>
      <c r="F2" s="675"/>
      <c r="G2" s="675"/>
      <c r="H2" s="675"/>
      <c r="I2" s="675"/>
      <c r="J2" s="675"/>
      <c r="K2" s="675"/>
      <c r="L2" s="675"/>
      <c r="M2" s="675"/>
      <c r="N2" s="675"/>
      <c r="O2" s="3"/>
      <c r="P2" s="3"/>
      <c r="Q2" s="3"/>
      <c r="R2" s="3"/>
      <c r="S2" s="3"/>
      <c r="T2" s="3"/>
      <c r="U2" s="3"/>
      <c r="V2" s="3"/>
      <c r="W2" s="3"/>
      <c r="X2" s="3"/>
      <c r="Y2" s="3"/>
      <c r="Z2" s="3"/>
      <c r="AA2" s="3"/>
      <c r="AB2" s="3"/>
      <c r="AC2" s="3"/>
      <c r="AD2" s="3"/>
    </row>
    <row r="3" spans="1:33" ht="24" customHeight="1" x14ac:dyDescent="0.25">
      <c r="B3" s="2"/>
      <c r="C3" s="676" t="s">
        <v>381</v>
      </c>
      <c r="D3" s="676"/>
      <c r="E3" s="676"/>
      <c r="F3" s="676"/>
      <c r="G3" s="676"/>
      <c r="H3" s="676"/>
      <c r="I3" s="676"/>
      <c r="J3" s="676"/>
      <c r="K3" s="676"/>
      <c r="L3" s="676"/>
      <c r="M3" s="676"/>
      <c r="N3" s="676"/>
      <c r="O3" s="676"/>
      <c r="P3" s="676"/>
      <c r="Q3" s="676"/>
      <c r="R3" s="676"/>
      <c r="S3" s="2"/>
      <c r="T3" s="2"/>
      <c r="U3" s="2"/>
      <c r="V3" s="2"/>
      <c r="W3" s="2"/>
      <c r="X3" s="2"/>
      <c r="Y3" s="2"/>
      <c r="Z3" s="2"/>
      <c r="AA3" s="2"/>
      <c r="AB3" s="2"/>
      <c r="AC3" s="2"/>
      <c r="AD3" s="2"/>
    </row>
    <row r="4" spans="1:33" ht="24" customHeight="1" x14ac:dyDescent="0.2">
      <c r="C4" s="3"/>
      <c r="D4" s="675"/>
      <c r="E4" s="675"/>
      <c r="F4" s="675"/>
      <c r="G4" s="675"/>
      <c r="H4" s="675"/>
      <c r="I4" s="675"/>
      <c r="J4" s="675"/>
      <c r="K4" s="675"/>
      <c r="L4" s="675"/>
      <c r="M4" s="675"/>
      <c r="N4" s="675"/>
      <c r="O4" s="3"/>
      <c r="P4" s="3"/>
      <c r="Q4" s="3"/>
      <c r="R4" s="3"/>
      <c r="S4" s="3"/>
      <c r="T4" s="3"/>
      <c r="U4" s="3"/>
      <c r="V4" s="3"/>
      <c r="W4" s="3"/>
      <c r="X4" s="3"/>
      <c r="Y4" s="3"/>
      <c r="Z4" s="3"/>
      <c r="AA4" s="3"/>
      <c r="AB4" s="3"/>
      <c r="AC4" s="3"/>
      <c r="AD4" s="3"/>
    </row>
    <row r="5" spans="1:33" ht="14.25" customHeight="1" thickBot="1" x14ac:dyDescent="0.25">
      <c r="B5" s="2"/>
      <c r="C5" s="3"/>
      <c r="D5" s="3"/>
      <c r="E5" s="3"/>
      <c r="F5" s="2"/>
      <c r="G5" s="3"/>
      <c r="H5" s="3"/>
      <c r="I5" s="3"/>
      <c r="J5" s="3"/>
      <c r="K5" s="3"/>
      <c r="L5" s="3"/>
      <c r="M5" s="3"/>
      <c r="N5" s="3"/>
      <c r="O5" s="3"/>
      <c r="P5" s="3"/>
      <c r="Q5" s="3"/>
      <c r="R5" s="3"/>
      <c r="S5" s="3"/>
      <c r="T5" s="3"/>
      <c r="U5" s="3"/>
      <c r="V5" s="3"/>
      <c r="W5" s="3"/>
      <c r="X5" s="3"/>
      <c r="Y5" s="3"/>
      <c r="Z5" s="3"/>
      <c r="AA5" s="3"/>
      <c r="AB5" s="3"/>
      <c r="AC5" s="3"/>
      <c r="AD5" s="3"/>
    </row>
    <row r="6" spans="1:33" ht="39.75" customHeight="1" x14ac:dyDescent="0.2">
      <c r="A6" s="671" t="s">
        <v>8</v>
      </c>
      <c r="B6" s="669" t="s">
        <v>9</v>
      </c>
      <c r="C6" s="667" t="s">
        <v>10</v>
      </c>
      <c r="D6" s="667" t="s">
        <v>11</v>
      </c>
      <c r="E6" s="669" t="s">
        <v>12</v>
      </c>
      <c r="F6" s="673" t="s">
        <v>121</v>
      </c>
      <c r="G6" s="674"/>
      <c r="H6" s="674"/>
      <c r="I6" s="674"/>
      <c r="J6" s="674"/>
      <c r="K6" s="674"/>
      <c r="L6" s="674"/>
      <c r="M6" s="674"/>
      <c r="N6" s="674"/>
      <c r="O6" s="674"/>
      <c r="P6" s="674"/>
      <c r="Q6" s="674"/>
      <c r="R6" s="674"/>
      <c r="S6" s="674"/>
      <c r="T6" s="674"/>
      <c r="U6" s="674"/>
      <c r="V6" s="674"/>
      <c r="W6" s="674"/>
      <c r="X6" s="318"/>
      <c r="Y6" s="318"/>
      <c r="Z6" s="318"/>
      <c r="AA6" s="318"/>
      <c r="AB6" s="318"/>
      <c r="AC6" s="318"/>
      <c r="AD6" s="318"/>
    </row>
    <row r="7" spans="1:33" ht="55.7" customHeight="1" x14ac:dyDescent="0.2">
      <c r="A7" s="672"/>
      <c r="B7" s="670"/>
      <c r="C7" s="668"/>
      <c r="D7" s="668"/>
      <c r="E7" s="670"/>
      <c r="F7" s="78" t="s">
        <v>318</v>
      </c>
      <c r="G7" s="78">
        <v>1</v>
      </c>
      <c r="H7" s="78">
        <v>2</v>
      </c>
      <c r="I7" s="78">
        <v>3</v>
      </c>
      <c r="J7" s="78">
        <v>4</v>
      </c>
      <c r="K7" s="78">
        <v>5</v>
      </c>
      <c r="L7" s="78">
        <v>6</v>
      </c>
      <c r="M7" s="78">
        <v>7</v>
      </c>
      <c r="N7" s="78">
        <v>8</v>
      </c>
      <c r="O7" s="78">
        <v>9</v>
      </c>
      <c r="P7" s="78">
        <v>10</v>
      </c>
      <c r="Q7" s="78">
        <v>11</v>
      </c>
      <c r="R7" s="78">
        <v>12</v>
      </c>
      <c r="S7" s="78">
        <v>13</v>
      </c>
      <c r="T7" s="78">
        <v>14</v>
      </c>
      <c r="U7" s="78">
        <v>15</v>
      </c>
      <c r="V7" s="78">
        <v>16</v>
      </c>
      <c r="W7" s="78">
        <v>17</v>
      </c>
      <c r="X7" s="78">
        <v>18</v>
      </c>
      <c r="Y7" s="78">
        <v>19</v>
      </c>
      <c r="Z7" s="78">
        <v>20</v>
      </c>
      <c r="AA7" s="78">
        <v>21</v>
      </c>
      <c r="AB7" s="78">
        <v>22</v>
      </c>
      <c r="AC7" s="78">
        <v>23</v>
      </c>
      <c r="AD7" s="78">
        <v>24</v>
      </c>
    </row>
    <row r="8" spans="1:33" ht="15" customHeight="1" x14ac:dyDescent="0.25">
      <c r="A8" s="270"/>
      <c r="B8" s="274">
        <v>1</v>
      </c>
      <c r="C8" s="259" t="s">
        <v>15</v>
      </c>
      <c r="D8" s="260"/>
      <c r="E8" s="262"/>
      <c r="F8" s="269"/>
      <c r="G8" s="270"/>
      <c r="H8" s="270"/>
      <c r="I8" s="270"/>
      <c r="J8" s="270"/>
      <c r="K8" s="270"/>
      <c r="L8" s="270"/>
      <c r="M8" s="270"/>
      <c r="N8" s="270"/>
      <c r="O8" s="270"/>
      <c r="P8" s="270"/>
      <c r="Q8" s="270"/>
      <c r="R8" s="270"/>
      <c r="S8" s="270"/>
      <c r="T8" s="270"/>
      <c r="U8" s="270"/>
      <c r="V8" s="270"/>
      <c r="W8" s="270"/>
      <c r="X8" s="270"/>
      <c r="Y8" s="270"/>
      <c r="Z8" s="270"/>
      <c r="AA8" s="270"/>
      <c r="AB8" s="270"/>
      <c r="AC8" s="270"/>
      <c r="AD8" s="270"/>
    </row>
    <row r="9" spans="1:33" ht="15" customHeight="1" x14ac:dyDescent="0.25">
      <c r="A9" s="96">
        <v>104.417</v>
      </c>
      <c r="B9" s="275">
        <v>1.1000000000000001</v>
      </c>
      <c r="C9" s="127" t="s">
        <v>18</v>
      </c>
      <c r="D9" s="14" t="s">
        <v>19</v>
      </c>
      <c r="E9" s="321">
        <f>+'Presupuesto Obra_MATA'!E39+'Presupuesto Obra_MATA'!E40</f>
        <v>1744</v>
      </c>
      <c r="F9" s="272" t="s">
        <v>122</v>
      </c>
      <c r="G9" s="80"/>
      <c r="H9" s="80"/>
      <c r="I9" s="80"/>
      <c r="J9" s="24"/>
      <c r="K9" s="24"/>
      <c r="L9" s="24"/>
      <c r="M9" s="24"/>
      <c r="N9" s="24"/>
      <c r="O9" s="24"/>
      <c r="P9" s="24"/>
      <c r="Q9" s="24"/>
      <c r="R9" s="24"/>
      <c r="S9" s="24"/>
      <c r="T9" s="24"/>
      <c r="U9" s="24"/>
      <c r="V9" s="24"/>
      <c r="W9" s="24"/>
      <c r="X9" s="24"/>
      <c r="Y9" s="24"/>
      <c r="Z9" s="24"/>
      <c r="AA9" s="24"/>
      <c r="AB9" s="24"/>
      <c r="AC9" s="24"/>
      <c r="AD9" s="24"/>
    </row>
    <row r="10" spans="1:33" ht="15" customHeight="1" x14ac:dyDescent="0.25">
      <c r="A10" s="270"/>
      <c r="B10" s="274">
        <v>2</v>
      </c>
      <c r="C10" s="259" t="s">
        <v>311</v>
      </c>
      <c r="D10" s="260"/>
      <c r="E10" s="262"/>
      <c r="F10" s="269"/>
      <c r="G10" s="44"/>
      <c r="H10" s="44"/>
      <c r="I10" s="44"/>
      <c r="J10" s="44"/>
      <c r="K10" s="44"/>
      <c r="L10" s="44"/>
      <c r="M10" s="44"/>
      <c r="N10" s="44"/>
      <c r="O10" s="44"/>
      <c r="P10" s="44"/>
      <c r="Q10" s="44"/>
      <c r="R10" s="44"/>
      <c r="S10" s="44"/>
      <c r="T10" s="44"/>
      <c r="U10" s="44"/>
      <c r="V10" s="44"/>
      <c r="W10" s="44"/>
      <c r="X10" s="44"/>
      <c r="Y10" s="44"/>
      <c r="Z10" s="44"/>
      <c r="AA10" s="44"/>
      <c r="AB10" s="44"/>
      <c r="AC10" s="44"/>
      <c r="AD10" s="44"/>
    </row>
    <row r="11" spans="1:33" ht="15" customHeight="1" x14ac:dyDescent="0.25">
      <c r="A11" s="14">
        <v>105.5</v>
      </c>
      <c r="B11" s="275">
        <v>2.1</v>
      </c>
      <c r="C11" s="127" t="s">
        <v>312</v>
      </c>
      <c r="D11" s="14" t="s">
        <v>29</v>
      </c>
      <c r="E11" s="263">
        <f>+'Presupuesto Obra_MATA'!E9</f>
        <v>19</v>
      </c>
      <c r="F11" s="272" t="s">
        <v>122</v>
      </c>
      <c r="G11" s="80"/>
      <c r="H11" s="80"/>
      <c r="I11" s="80"/>
      <c r="J11" s="80"/>
      <c r="K11" s="80"/>
      <c r="L11" s="80"/>
      <c r="M11" s="80"/>
      <c r="N11" s="24"/>
      <c r="O11" s="24"/>
      <c r="P11" s="24"/>
      <c r="Q11" s="24"/>
      <c r="R11" s="24"/>
      <c r="S11" s="24"/>
      <c r="T11" s="24"/>
      <c r="U11" s="24"/>
      <c r="V11" s="24"/>
      <c r="W11" s="24"/>
      <c r="X11" s="24"/>
      <c r="Y11" s="24"/>
      <c r="Z11" s="24"/>
      <c r="AA11" s="80"/>
      <c r="AB11" s="80"/>
      <c r="AC11" s="80"/>
      <c r="AD11" s="80"/>
    </row>
    <row r="12" spans="1:33" s="122" customFormat="1" ht="15" customHeight="1" x14ac:dyDescent="0.25">
      <c r="A12" s="39"/>
      <c r="B12" s="82"/>
      <c r="C12" s="83"/>
      <c r="D12" s="39"/>
      <c r="F12" s="43" t="s">
        <v>123</v>
      </c>
      <c r="G12" s="24"/>
      <c r="H12" s="24"/>
      <c r="I12" s="24"/>
      <c r="J12" s="24"/>
      <c r="K12" s="24"/>
      <c r="L12" s="24"/>
      <c r="M12" s="24"/>
      <c r="N12" s="24"/>
      <c r="O12" s="24"/>
      <c r="P12" s="24"/>
      <c r="Q12" s="24"/>
      <c r="R12" s="24"/>
      <c r="S12" s="24"/>
      <c r="T12" s="24"/>
      <c r="U12" s="24"/>
      <c r="V12" s="24"/>
      <c r="W12" s="24"/>
      <c r="X12" s="24"/>
      <c r="Y12" s="24"/>
      <c r="Z12" s="24"/>
      <c r="AA12" s="24"/>
      <c r="AB12" s="24"/>
      <c r="AC12" s="24"/>
      <c r="AD12" s="24"/>
    </row>
    <row r="13" spans="1:33" ht="15" customHeight="1" x14ac:dyDescent="0.25">
      <c r="A13" s="39" t="s">
        <v>179</v>
      </c>
      <c r="B13" s="82" t="s">
        <v>329</v>
      </c>
      <c r="C13" s="44" t="s">
        <v>83</v>
      </c>
      <c r="D13" s="39" t="s">
        <v>19</v>
      </c>
      <c r="E13" s="264">
        <f>+'Presupuesto Obra_MATA'!E10</f>
        <v>0</v>
      </c>
      <c r="F13" s="272" t="s">
        <v>122</v>
      </c>
      <c r="M13" s="80"/>
      <c r="N13" s="80"/>
      <c r="O13" s="80"/>
      <c r="P13" s="80"/>
      <c r="Q13" s="80"/>
      <c r="R13" s="80"/>
      <c r="S13" s="13"/>
      <c r="T13" s="13"/>
      <c r="U13" s="13"/>
      <c r="V13" s="13"/>
      <c r="W13" s="13"/>
      <c r="X13" s="13"/>
      <c r="Y13" s="13"/>
      <c r="Z13" s="13"/>
      <c r="AA13" s="13"/>
      <c r="AB13" s="13"/>
      <c r="AC13" s="13"/>
      <c r="AD13" s="13"/>
    </row>
    <row r="14" spans="1:33" s="122" customFormat="1" ht="15" customHeight="1" x14ac:dyDescent="0.25">
      <c r="A14" s="39"/>
      <c r="B14" s="82"/>
      <c r="C14" s="44"/>
      <c r="D14" s="39"/>
      <c r="E14" s="264"/>
      <c r="F14" s="43" t="s">
        <v>123</v>
      </c>
      <c r="G14" s="24"/>
      <c r="H14" s="24"/>
      <c r="I14" s="24"/>
      <c r="J14" s="24"/>
      <c r="K14" s="24"/>
      <c r="L14" s="24"/>
      <c r="M14" s="44"/>
      <c r="N14" s="44"/>
      <c r="O14" s="44"/>
      <c r="P14" s="44"/>
      <c r="Q14" s="44"/>
      <c r="R14" s="44"/>
      <c r="S14" s="44"/>
      <c r="T14" s="44"/>
      <c r="U14" s="44"/>
      <c r="V14" s="44"/>
      <c r="W14" s="44"/>
      <c r="X14" s="44"/>
      <c r="Y14" s="44"/>
      <c r="Z14" s="44"/>
      <c r="AA14" s="44"/>
      <c r="AB14" s="44"/>
      <c r="AC14" s="44"/>
      <c r="AD14" s="44"/>
    </row>
    <row r="15" spans="1:33" ht="15" x14ac:dyDescent="0.25">
      <c r="A15" s="39">
        <v>105</v>
      </c>
      <c r="B15" s="82" t="s">
        <v>82</v>
      </c>
      <c r="C15" s="261" t="s">
        <v>310</v>
      </c>
      <c r="D15" s="39" t="s">
        <v>22</v>
      </c>
      <c r="E15" s="264">
        <f>+'Presupuesto Obra_MATA'!E11</f>
        <v>0</v>
      </c>
      <c r="F15" s="272" t="s">
        <v>122</v>
      </c>
      <c r="M15" s="13"/>
      <c r="N15" s="13"/>
      <c r="O15" s="13"/>
      <c r="P15" s="80"/>
      <c r="Q15" s="80"/>
      <c r="R15" s="80"/>
      <c r="S15" s="80"/>
      <c r="T15" s="80"/>
      <c r="U15" s="80"/>
      <c r="V15" s="13"/>
      <c r="W15" s="13"/>
      <c r="X15" s="13"/>
      <c r="Y15" s="13"/>
      <c r="Z15" s="13"/>
      <c r="AA15" s="13"/>
      <c r="AB15" s="13"/>
      <c r="AC15" s="13"/>
      <c r="AD15" s="13"/>
      <c r="AG15" s="29"/>
    </row>
    <row r="16" spans="1:33" s="122" customFormat="1" ht="15" customHeight="1" x14ac:dyDescent="0.25">
      <c r="A16" s="39"/>
      <c r="B16" s="82"/>
      <c r="C16" s="32"/>
      <c r="D16" s="39"/>
      <c r="F16" s="43" t="s">
        <v>123</v>
      </c>
      <c r="G16" s="24"/>
      <c r="H16" s="24"/>
      <c r="I16" s="24"/>
      <c r="J16" s="24"/>
      <c r="K16" s="24"/>
      <c r="L16" s="24"/>
      <c r="M16" s="44"/>
      <c r="N16" s="44"/>
      <c r="O16" s="44"/>
      <c r="P16" s="44"/>
      <c r="Q16" s="44"/>
      <c r="R16" s="44"/>
      <c r="S16" s="44"/>
      <c r="T16" s="44"/>
      <c r="U16" s="44"/>
      <c r="V16" s="44"/>
      <c r="W16" s="44"/>
      <c r="X16" s="44"/>
      <c r="Y16" s="44"/>
      <c r="Z16" s="44"/>
      <c r="AA16" s="44"/>
      <c r="AB16" s="44"/>
      <c r="AC16" s="44"/>
      <c r="AD16" s="44"/>
    </row>
    <row r="17" spans="1:30" ht="15" customHeight="1" x14ac:dyDescent="0.25">
      <c r="A17" s="270"/>
      <c r="B17" s="276">
        <v>3</v>
      </c>
      <c r="C17" s="249" t="s">
        <v>23</v>
      </c>
      <c r="D17" s="207"/>
      <c r="E17" s="207" t="s">
        <v>354</v>
      </c>
      <c r="F17" s="254"/>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row>
    <row r="18" spans="1:30" ht="15" customHeight="1" x14ac:dyDescent="0.25">
      <c r="A18" s="252"/>
      <c r="B18" s="277">
        <v>3.1</v>
      </c>
      <c r="C18" s="251" t="s">
        <v>86</v>
      </c>
      <c r="D18" s="252"/>
      <c r="E18" s="266"/>
      <c r="F18" s="273"/>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271"/>
    </row>
    <row r="19" spans="1:30" ht="15" customHeight="1" x14ac:dyDescent="0.25">
      <c r="A19" s="39">
        <v>202</v>
      </c>
      <c r="B19" s="82" t="s">
        <v>330</v>
      </c>
      <c r="C19" s="44" t="s">
        <v>92</v>
      </c>
      <c r="D19" s="39" t="s">
        <v>22</v>
      </c>
      <c r="E19" s="264">
        <f>+'Presupuesto Obra_MATA'!E16</f>
        <v>5816</v>
      </c>
      <c r="F19" s="272" t="s">
        <v>122</v>
      </c>
      <c r="G19" s="80"/>
      <c r="H19" s="80"/>
      <c r="I19" s="80"/>
      <c r="J19" s="80"/>
      <c r="K19" s="80"/>
      <c r="L19" s="80"/>
      <c r="M19" s="80"/>
      <c r="N19" s="80"/>
      <c r="O19" s="80"/>
      <c r="P19" s="80"/>
      <c r="Q19" s="80"/>
      <c r="R19" s="80"/>
      <c r="S19" s="80"/>
      <c r="T19" s="24"/>
      <c r="U19" s="24"/>
      <c r="V19" s="24"/>
      <c r="W19" s="24"/>
      <c r="X19" s="24"/>
      <c r="Y19" s="24"/>
      <c r="Z19" s="24"/>
      <c r="AA19" s="80"/>
      <c r="AB19" s="80"/>
      <c r="AC19" s="80"/>
      <c r="AD19" s="80"/>
    </row>
    <row r="20" spans="1:30" s="122" customFormat="1" ht="15" customHeight="1" x14ac:dyDescent="0.25">
      <c r="A20" s="39"/>
      <c r="B20" s="82"/>
      <c r="C20" s="44"/>
      <c r="D20" s="39"/>
      <c r="F20" s="43" t="s">
        <v>123</v>
      </c>
      <c r="G20" s="24"/>
      <c r="H20" s="24"/>
      <c r="I20" s="24"/>
      <c r="J20" s="24"/>
      <c r="K20" s="24"/>
      <c r="L20" s="24"/>
      <c r="M20" s="24"/>
      <c r="N20" s="24"/>
      <c r="O20" s="24"/>
      <c r="P20" s="24"/>
      <c r="Q20" s="24"/>
      <c r="R20" s="24"/>
      <c r="S20" s="24"/>
      <c r="T20" s="24"/>
      <c r="U20" s="24"/>
      <c r="V20" s="24"/>
      <c r="W20" s="24"/>
      <c r="X20" s="24"/>
      <c r="Y20" s="24"/>
      <c r="Z20" s="24"/>
      <c r="AA20" s="24"/>
      <c r="AB20" s="24"/>
      <c r="AC20" s="24"/>
      <c r="AD20" s="24"/>
    </row>
    <row r="21" spans="1:30" ht="15" customHeight="1" x14ac:dyDescent="0.25">
      <c r="A21" s="39">
        <v>202</v>
      </c>
      <c r="B21" s="82" t="s">
        <v>331</v>
      </c>
      <c r="C21" s="44" t="s">
        <v>353</v>
      </c>
      <c r="D21" s="39" t="s">
        <v>22</v>
      </c>
      <c r="E21" s="319">
        <f>+'Presupuesto Obra_MATA'!E17</f>
        <v>185</v>
      </c>
      <c r="F21" s="272" t="s">
        <v>122</v>
      </c>
      <c r="G21" s="24"/>
      <c r="H21" s="24"/>
      <c r="I21" s="24"/>
      <c r="J21" s="24"/>
      <c r="K21" s="24"/>
      <c r="L21" s="24"/>
      <c r="M21" s="24"/>
      <c r="N21" s="24"/>
      <c r="O21" s="80"/>
      <c r="P21" s="80"/>
      <c r="Q21" s="80"/>
      <c r="R21" s="80"/>
      <c r="S21" s="80"/>
      <c r="T21" s="80"/>
      <c r="U21" s="80"/>
      <c r="V21" s="80"/>
      <c r="W21" s="24"/>
      <c r="X21" s="24"/>
      <c r="Y21" s="24"/>
      <c r="Z21" s="24"/>
      <c r="AA21" s="80"/>
      <c r="AB21" s="80"/>
      <c r="AC21" s="80"/>
      <c r="AD21" s="80"/>
    </row>
    <row r="22" spans="1:30" s="122" customFormat="1" ht="15" customHeight="1" x14ac:dyDescent="0.25">
      <c r="A22" s="39"/>
      <c r="B22" s="82"/>
      <c r="C22" s="44"/>
      <c r="D22" s="39"/>
      <c r="F22" s="43" t="s">
        <v>123</v>
      </c>
      <c r="G22" s="24"/>
      <c r="H22" s="24"/>
      <c r="I22" s="24"/>
      <c r="J22" s="24"/>
      <c r="K22" s="24"/>
      <c r="L22" s="24"/>
      <c r="M22" s="24"/>
      <c r="N22" s="24"/>
      <c r="O22" s="24"/>
      <c r="P22" s="24"/>
      <c r="Q22" s="24"/>
      <c r="R22" s="24"/>
      <c r="S22" s="24"/>
      <c r="T22" s="24"/>
      <c r="U22" s="24"/>
      <c r="V22" s="24"/>
      <c r="W22" s="24"/>
      <c r="X22" s="24"/>
      <c r="Y22" s="24"/>
      <c r="Z22" s="24"/>
      <c r="AA22" s="24"/>
      <c r="AB22" s="24"/>
      <c r="AC22" s="24"/>
      <c r="AD22" s="24"/>
    </row>
    <row r="23" spans="1:30" ht="14.25" customHeight="1" x14ac:dyDescent="0.25">
      <c r="A23" s="253"/>
      <c r="B23" s="277">
        <v>3.2</v>
      </c>
      <c r="C23" s="251" t="s">
        <v>26</v>
      </c>
      <c r="D23" s="252"/>
      <c r="E23" s="252"/>
      <c r="F23" s="273"/>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row>
    <row r="24" spans="1:30" ht="14.25" customHeight="1" x14ac:dyDescent="0.25">
      <c r="A24" s="665">
        <v>201</v>
      </c>
      <c r="B24" s="82" t="s">
        <v>332</v>
      </c>
      <c r="C24" s="44" t="s">
        <v>28</v>
      </c>
      <c r="D24" s="39" t="s">
        <v>29</v>
      </c>
      <c r="E24" s="267">
        <f>+'Presupuesto Obra_MATA'!E19</f>
        <v>4511.3367727035939</v>
      </c>
      <c r="F24" s="272" t="s">
        <v>122</v>
      </c>
      <c r="G24" s="80"/>
      <c r="H24" s="80"/>
      <c r="I24" s="80"/>
      <c r="J24" s="80"/>
      <c r="K24" s="80"/>
      <c r="L24" s="80"/>
      <c r="M24" s="80"/>
      <c r="N24" s="80"/>
      <c r="O24" s="80"/>
      <c r="P24" s="80"/>
      <c r="Q24" s="80"/>
      <c r="R24" s="80"/>
      <c r="S24" s="80"/>
      <c r="T24" s="24"/>
      <c r="U24" s="24"/>
      <c r="V24" s="24"/>
      <c r="W24" s="24"/>
      <c r="X24" s="24"/>
      <c r="Y24" s="24"/>
      <c r="Z24" s="24"/>
      <c r="AA24" s="80"/>
      <c r="AB24" s="80"/>
      <c r="AC24" s="80"/>
      <c r="AD24" s="80"/>
    </row>
    <row r="25" spans="1:30" s="122" customFormat="1" ht="14.25" customHeight="1" x14ac:dyDescent="0.25">
      <c r="A25" s="665"/>
      <c r="B25" s="82"/>
      <c r="C25" s="44"/>
      <c r="D25" s="39"/>
      <c r="F25" s="43" t="s">
        <v>123</v>
      </c>
      <c r="G25" s="24"/>
      <c r="H25" s="24"/>
      <c r="I25" s="24"/>
      <c r="J25" s="24"/>
      <c r="K25" s="24"/>
      <c r="L25" s="24"/>
      <c r="M25" s="24"/>
      <c r="N25" s="24"/>
      <c r="O25" s="24"/>
      <c r="P25" s="24"/>
      <c r="Q25" s="24"/>
      <c r="R25" s="24"/>
      <c r="S25" s="24"/>
      <c r="T25" s="24"/>
      <c r="U25" s="24"/>
      <c r="V25" s="24"/>
      <c r="W25" s="24"/>
      <c r="X25" s="24"/>
      <c r="Y25" s="24"/>
      <c r="Z25" s="24"/>
      <c r="AA25" s="24"/>
      <c r="AB25" s="24"/>
      <c r="AC25" s="24"/>
      <c r="AD25" s="24"/>
    </row>
    <row r="26" spans="1:30" ht="14.25" customHeight="1" x14ac:dyDescent="0.25">
      <c r="A26" s="665"/>
      <c r="B26" s="82" t="s">
        <v>333</v>
      </c>
      <c r="C26" s="44" t="s">
        <v>31</v>
      </c>
      <c r="D26" s="39" t="s">
        <v>29</v>
      </c>
      <c r="E26" s="267">
        <f>+'Presupuesto Obra_MATA'!E20</f>
        <v>705</v>
      </c>
      <c r="F26" s="272" t="s">
        <v>122</v>
      </c>
      <c r="G26" s="24"/>
      <c r="H26" s="24"/>
      <c r="I26" s="24"/>
      <c r="J26" s="24"/>
      <c r="K26" s="24"/>
      <c r="L26" s="24"/>
      <c r="M26" s="24"/>
      <c r="N26" s="24"/>
      <c r="O26" s="24"/>
      <c r="P26" s="80"/>
      <c r="Q26" s="80"/>
      <c r="R26" s="80"/>
      <c r="S26" s="80"/>
      <c r="T26" s="80"/>
      <c r="U26" s="80"/>
      <c r="V26" s="80"/>
      <c r="W26" s="24"/>
      <c r="X26" s="24"/>
      <c r="Y26" s="24"/>
      <c r="Z26" s="24"/>
      <c r="AA26" s="80"/>
      <c r="AB26" s="80"/>
      <c r="AC26" s="80"/>
      <c r="AD26" s="80"/>
    </row>
    <row r="27" spans="1:30" s="122" customFormat="1" ht="14.25" customHeight="1" x14ac:dyDescent="0.25">
      <c r="A27" s="280"/>
      <c r="B27" s="82"/>
      <c r="C27" s="44"/>
      <c r="D27" s="39"/>
      <c r="F27" s="43" t="s">
        <v>123</v>
      </c>
      <c r="G27" s="24"/>
      <c r="H27" s="24"/>
      <c r="I27" s="24"/>
      <c r="J27" s="24"/>
      <c r="K27" s="24"/>
      <c r="L27" s="24"/>
      <c r="M27" s="24"/>
      <c r="N27" s="24"/>
      <c r="O27" s="24"/>
      <c r="P27" s="24"/>
      <c r="Q27" s="24"/>
      <c r="R27" s="24"/>
      <c r="S27" s="24"/>
      <c r="T27" s="24"/>
      <c r="U27" s="24"/>
      <c r="V27" s="24"/>
      <c r="W27" s="24"/>
      <c r="X27" s="24"/>
      <c r="Y27" s="24"/>
      <c r="Z27" s="24"/>
      <c r="AA27" s="24"/>
      <c r="AB27" s="24"/>
      <c r="AC27" s="24"/>
      <c r="AD27" s="24"/>
    </row>
    <row r="28" spans="1:30" ht="14.25" customHeight="1" x14ac:dyDescent="0.25">
      <c r="A28" s="253"/>
      <c r="B28" s="277">
        <v>3.3</v>
      </c>
      <c r="C28" s="251" t="s">
        <v>33</v>
      </c>
      <c r="D28" s="252"/>
      <c r="E28" s="266"/>
      <c r="F28" s="273"/>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row>
    <row r="29" spans="1:30" ht="27" customHeight="1" x14ac:dyDescent="0.25">
      <c r="A29" s="666" t="s">
        <v>34</v>
      </c>
      <c r="B29" s="82" t="s">
        <v>334</v>
      </c>
      <c r="C29" s="32" t="s">
        <v>36</v>
      </c>
      <c r="D29" s="39" t="s">
        <v>29</v>
      </c>
      <c r="E29" s="267">
        <f>+'Presupuesto Obra_MATA'!E22</f>
        <v>1029</v>
      </c>
      <c r="F29" s="272" t="s">
        <v>122</v>
      </c>
      <c r="G29" s="24"/>
      <c r="H29" s="80"/>
      <c r="I29" s="80"/>
      <c r="J29" s="80"/>
      <c r="K29" s="80"/>
      <c r="L29" s="80"/>
      <c r="M29" s="80"/>
      <c r="N29" s="80"/>
      <c r="O29" s="80"/>
      <c r="P29" s="80"/>
      <c r="Q29" s="80"/>
      <c r="R29" s="80"/>
      <c r="S29" s="80"/>
      <c r="T29" s="80"/>
      <c r="U29" s="80"/>
      <c r="V29" s="24"/>
      <c r="W29" s="24"/>
      <c r="X29" s="24"/>
      <c r="Y29" s="24"/>
      <c r="Z29" s="24"/>
      <c r="AA29" s="80"/>
      <c r="AB29" s="80"/>
      <c r="AC29" s="80"/>
      <c r="AD29" s="80"/>
    </row>
    <row r="30" spans="1:30" s="122" customFormat="1" ht="14.25" customHeight="1" x14ac:dyDescent="0.25">
      <c r="A30" s="666"/>
      <c r="B30" s="82"/>
      <c r="C30" s="32"/>
      <c r="D30" s="39"/>
      <c r="E30" s="267"/>
      <c r="F30" s="43" t="s">
        <v>123</v>
      </c>
      <c r="G30" s="24"/>
      <c r="H30" s="24"/>
      <c r="I30" s="24"/>
      <c r="J30" s="24"/>
      <c r="K30" s="24"/>
      <c r="L30" s="24"/>
      <c r="M30" s="24"/>
      <c r="N30" s="24"/>
      <c r="O30" s="24"/>
      <c r="P30" s="24"/>
      <c r="Q30" s="24"/>
      <c r="R30" s="24"/>
      <c r="S30" s="24"/>
      <c r="T30" s="24"/>
      <c r="U30" s="24"/>
      <c r="V30" s="24"/>
      <c r="W30" s="24"/>
      <c r="X30" s="24"/>
      <c r="Y30" s="24"/>
      <c r="Z30" s="24"/>
      <c r="AA30" s="24"/>
      <c r="AB30" s="24"/>
      <c r="AC30" s="24"/>
      <c r="AD30" s="24"/>
    </row>
    <row r="31" spans="1:30" ht="36" customHeight="1" x14ac:dyDescent="0.25">
      <c r="A31" s="666"/>
      <c r="B31" s="82" t="s">
        <v>335</v>
      </c>
      <c r="C31" s="32" t="s">
        <v>38</v>
      </c>
      <c r="D31" s="39" t="s">
        <v>29</v>
      </c>
      <c r="E31" s="319">
        <f>+'Presupuesto Obra_MATA'!E23</f>
        <v>3601.4999999999995</v>
      </c>
      <c r="F31" s="272" t="s">
        <v>122</v>
      </c>
      <c r="G31" s="24"/>
      <c r="H31" s="24"/>
      <c r="I31" s="24"/>
      <c r="J31" s="24"/>
      <c r="K31" s="24"/>
      <c r="L31" s="80"/>
      <c r="M31" s="80"/>
      <c r="N31" s="80"/>
      <c r="O31" s="80"/>
      <c r="P31" s="80"/>
      <c r="Q31" s="80"/>
      <c r="R31" s="80"/>
      <c r="S31" s="80"/>
      <c r="T31" s="80"/>
      <c r="U31" s="80"/>
      <c r="V31" s="80"/>
      <c r="W31" s="80"/>
      <c r="X31" s="80"/>
      <c r="Y31" s="24"/>
      <c r="Z31" s="24"/>
      <c r="AA31" s="80"/>
      <c r="AB31" s="80"/>
      <c r="AC31" s="80"/>
      <c r="AD31" s="80"/>
    </row>
    <row r="32" spans="1:30" s="122" customFormat="1" ht="14.25" customHeight="1" x14ac:dyDescent="0.25">
      <c r="A32" s="208"/>
      <c r="B32" s="82"/>
      <c r="C32" s="256"/>
      <c r="D32" s="39"/>
      <c r="E32" s="267"/>
      <c r="F32" s="43" t="s">
        <v>123</v>
      </c>
      <c r="G32" s="24"/>
      <c r="H32" s="24"/>
      <c r="I32" s="24"/>
      <c r="J32" s="24"/>
      <c r="K32" s="24"/>
      <c r="L32" s="24"/>
      <c r="M32" s="24"/>
      <c r="N32" s="24"/>
      <c r="O32" s="24"/>
      <c r="P32" s="24"/>
      <c r="Q32" s="24"/>
      <c r="R32" s="24"/>
      <c r="S32" s="24"/>
      <c r="T32" s="24"/>
      <c r="U32" s="24"/>
      <c r="V32" s="24"/>
      <c r="W32" s="24"/>
      <c r="X32" s="24"/>
      <c r="Y32" s="24"/>
      <c r="Z32" s="24"/>
      <c r="AA32" s="24"/>
      <c r="AB32" s="24"/>
      <c r="AC32" s="24"/>
      <c r="AD32" s="24"/>
    </row>
    <row r="33" spans="1:30" ht="14.25" customHeight="1" x14ac:dyDescent="0.25">
      <c r="A33" s="278" t="s">
        <v>39</v>
      </c>
      <c r="B33" s="82" t="s">
        <v>336</v>
      </c>
      <c r="C33" s="205" t="s">
        <v>41</v>
      </c>
      <c r="D33" s="39" t="s">
        <v>29</v>
      </c>
      <c r="E33" s="267" t="e">
        <f>+'Presupuesto Obra_MATA'!#REF!</f>
        <v>#REF!</v>
      </c>
      <c r="F33" s="272" t="s">
        <v>122</v>
      </c>
      <c r="G33" s="24"/>
      <c r="H33" s="24"/>
      <c r="I33" s="24"/>
      <c r="J33" s="24"/>
      <c r="K33" s="24"/>
      <c r="L33" s="24"/>
      <c r="M33" s="80"/>
      <c r="N33" s="80"/>
      <c r="O33" s="80"/>
      <c r="P33" s="80"/>
      <c r="Q33" s="80"/>
      <c r="R33" s="80"/>
      <c r="S33" s="80"/>
      <c r="T33" s="80"/>
      <c r="U33" s="80"/>
      <c r="V33" s="80"/>
      <c r="W33" s="80"/>
      <c r="X33" s="80"/>
      <c r="Y33" s="80"/>
      <c r="Z33" s="24"/>
      <c r="AA33" s="80"/>
      <c r="AB33" s="80"/>
      <c r="AC33" s="80"/>
      <c r="AD33" s="80"/>
    </row>
    <row r="34" spans="1:30" s="122" customFormat="1" ht="14.25" customHeight="1" x14ac:dyDescent="0.25">
      <c r="A34" s="278"/>
      <c r="B34" s="82"/>
      <c r="C34" s="257"/>
      <c r="D34" s="39"/>
      <c r="E34" s="267"/>
      <c r="F34" s="43" t="s">
        <v>123</v>
      </c>
      <c r="G34" s="24"/>
      <c r="H34" s="24"/>
      <c r="I34" s="24"/>
      <c r="J34" s="24"/>
      <c r="K34" s="24"/>
      <c r="L34" s="24"/>
      <c r="M34" s="24"/>
      <c r="N34" s="24"/>
      <c r="O34" s="24"/>
      <c r="P34" s="24"/>
      <c r="Q34" s="24"/>
      <c r="R34" s="24"/>
      <c r="S34" s="24"/>
      <c r="T34" s="24"/>
      <c r="U34" s="24"/>
      <c r="V34" s="24"/>
      <c r="W34" s="24"/>
      <c r="X34" s="24"/>
      <c r="Y34" s="24"/>
      <c r="Z34" s="24"/>
      <c r="AA34" s="24"/>
      <c r="AB34" s="24"/>
      <c r="AC34" s="24"/>
      <c r="AD34" s="24"/>
    </row>
    <row r="35" spans="1:30" ht="14.25" customHeight="1" x14ac:dyDescent="0.25">
      <c r="A35" s="278" t="s">
        <v>39</v>
      </c>
      <c r="B35" s="82" t="s">
        <v>337</v>
      </c>
      <c r="C35" s="110" t="s">
        <v>309</v>
      </c>
      <c r="D35" s="39" t="s">
        <v>29</v>
      </c>
      <c r="E35" s="267">
        <f>+'Presupuesto Obra_MATA'!E24</f>
        <v>514.5</v>
      </c>
      <c r="F35" s="272" t="s">
        <v>122</v>
      </c>
      <c r="G35" s="24"/>
      <c r="H35" s="80"/>
      <c r="I35" s="80"/>
      <c r="J35" s="80"/>
      <c r="K35" s="80"/>
      <c r="L35" s="80"/>
      <c r="M35" s="80"/>
      <c r="N35" s="80"/>
      <c r="O35" s="80"/>
      <c r="P35" s="80"/>
      <c r="Q35" s="80"/>
      <c r="R35" s="80"/>
      <c r="S35" s="80"/>
      <c r="T35" s="80"/>
      <c r="U35" s="80"/>
      <c r="V35" s="80"/>
      <c r="W35" s="24"/>
      <c r="X35" s="24"/>
      <c r="Y35" s="24"/>
      <c r="Z35" s="24"/>
      <c r="AA35" s="80"/>
      <c r="AB35" s="80"/>
      <c r="AC35" s="80"/>
      <c r="AD35" s="80"/>
    </row>
    <row r="36" spans="1:30" s="122" customFormat="1" ht="14.25" customHeight="1" x14ac:dyDescent="0.25">
      <c r="A36" s="278"/>
      <c r="B36" s="82"/>
      <c r="C36" s="110"/>
      <c r="D36" s="39"/>
      <c r="E36" s="267"/>
      <c r="F36" s="43" t="s">
        <v>123</v>
      </c>
      <c r="G36" s="24"/>
      <c r="H36" s="24"/>
      <c r="I36" s="24"/>
      <c r="J36" s="24"/>
      <c r="K36" s="24"/>
      <c r="L36" s="24"/>
      <c r="M36" s="24"/>
      <c r="N36" s="24"/>
      <c r="O36" s="24"/>
      <c r="P36" s="24"/>
      <c r="Q36" s="24"/>
      <c r="R36" s="24"/>
      <c r="S36" s="24"/>
      <c r="T36" s="24"/>
      <c r="U36" s="24"/>
      <c r="V36" s="24"/>
      <c r="W36" s="24"/>
      <c r="X36" s="24"/>
      <c r="Y36" s="24"/>
      <c r="Z36" s="24"/>
      <c r="AA36" s="24"/>
      <c r="AB36" s="24"/>
      <c r="AC36" s="24"/>
      <c r="AD36" s="24"/>
    </row>
    <row r="37" spans="1:30" ht="14.25" customHeight="1" x14ac:dyDescent="0.25">
      <c r="A37" s="253"/>
      <c r="B37" s="277">
        <v>4.4000000000000004</v>
      </c>
      <c r="C37" s="251" t="s">
        <v>42</v>
      </c>
      <c r="D37" s="252"/>
      <c r="E37" s="266"/>
      <c r="F37" s="273"/>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row>
    <row r="38" spans="1:30" ht="29.25" x14ac:dyDescent="0.25">
      <c r="A38" s="39">
        <v>205</v>
      </c>
      <c r="B38" s="82" t="s">
        <v>338</v>
      </c>
      <c r="C38" s="32" t="s">
        <v>44</v>
      </c>
      <c r="D38" s="39" t="s">
        <v>29</v>
      </c>
      <c r="E38" s="267">
        <f>+'Presupuesto Obra_MATA'!E26</f>
        <v>4258.6735454071877</v>
      </c>
      <c r="F38" s="272" t="s">
        <v>122</v>
      </c>
      <c r="G38" s="24"/>
      <c r="H38" s="80"/>
      <c r="I38" s="80"/>
      <c r="J38" s="80"/>
      <c r="K38" s="80"/>
      <c r="L38" s="80"/>
      <c r="M38" s="80"/>
      <c r="N38" s="80"/>
      <c r="O38" s="80"/>
      <c r="P38" s="80"/>
      <c r="Q38" s="80"/>
      <c r="R38" s="80"/>
      <c r="S38" s="80"/>
      <c r="T38" s="80"/>
      <c r="U38" s="80"/>
      <c r="V38" s="80"/>
      <c r="W38" s="80"/>
      <c r="X38" s="80"/>
      <c r="Y38" s="80"/>
      <c r="Z38" s="24"/>
      <c r="AA38" s="80"/>
      <c r="AB38" s="80"/>
      <c r="AC38" s="80"/>
      <c r="AD38" s="80"/>
    </row>
    <row r="39" spans="1:30" s="122" customFormat="1" ht="18" customHeight="1" x14ac:dyDescent="0.25">
      <c r="A39" s="39"/>
      <c r="B39" s="82"/>
      <c r="C39" s="32"/>
      <c r="D39" s="39"/>
      <c r="E39" s="267"/>
      <c r="F39" s="43" t="s">
        <v>123</v>
      </c>
      <c r="G39" s="24"/>
      <c r="H39" s="24"/>
      <c r="I39" s="24"/>
      <c r="J39" s="24"/>
      <c r="K39" s="24"/>
      <c r="L39" s="24"/>
      <c r="M39" s="24"/>
      <c r="N39" s="24"/>
      <c r="O39" s="24"/>
      <c r="P39" s="24"/>
      <c r="Q39" s="24"/>
      <c r="R39" s="24"/>
      <c r="S39" s="24"/>
      <c r="T39" s="24"/>
      <c r="U39" s="24"/>
      <c r="V39" s="24"/>
      <c r="W39" s="24"/>
      <c r="X39" s="24"/>
      <c r="Y39" s="24"/>
      <c r="Z39" s="24"/>
      <c r="AA39" s="24"/>
      <c r="AB39" s="24"/>
      <c r="AC39" s="24"/>
      <c r="AD39" s="24"/>
    </row>
    <row r="40" spans="1:30" ht="21.95" customHeight="1" x14ac:dyDescent="0.25">
      <c r="A40" s="207"/>
      <c r="B40" s="276">
        <v>4</v>
      </c>
      <c r="C40" s="248" t="s">
        <v>45</v>
      </c>
      <c r="D40" s="207"/>
      <c r="E40" s="265"/>
      <c r="F40" s="254"/>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row>
    <row r="41" spans="1:30" ht="15" x14ac:dyDescent="0.25">
      <c r="A41" s="39"/>
      <c r="B41" s="82" t="s">
        <v>46</v>
      </c>
      <c r="C41" s="32" t="s">
        <v>47</v>
      </c>
      <c r="D41" s="39" t="s">
        <v>29</v>
      </c>
      <c r="E41" s="267" t="e">
        <f>+'Presupuesto Obra_MATA'!#REF!</f>
        <v>#REF!</v>
      </c>
      <c r="F41" s="272" t="s">
        <v>122</v>
      </c>
      <c r="G41" s="13"/>
      <c r="H41" s="13"/>
      <c r="I41" s="13"/>
      <c r="J41" s="13"/>
      <c r="K41" s="13"/>
      <c r="L41" s="13"/>
      <c r="M41" s="13"/>
      <c r="N41" s="80"/>
      <c r="O41" s="13"/>
      <c r="P41" s="13"/>
      <c r="Q41" s="13"/>
      <c r="R41" s="13"/>
      <c r="S41" s="13"/>
      <c r="T41" s="13"/>
      <c r="U41" s="13"/>
      <c r="V41" s="13"/>
      <c r="W41" s="13"/>
      <c r="X41" s="13"/>
      <c r="Y41" s="13"/>
      <c r="Z41" s="13"/>
      <c r="AA41" s="13"/>
      <c r="AB41" s="13"/>
      <c r="AC41" s="13"/>
      <c r="AD41" s="13"/>
    </row>
    <row r="42" spans="1:30" ht="15" x14ac:dyDescent="0.25">
      <c r="A42" s="39"/>
      <c r="B42" s="82"/>
      <c r="C42" s="32"/>
      <c r="D42" s="39"/>
      <c r="F42" s="272" t="s">
        <v>123</v>
      </c>
      <c r="G42" s="13"/>
      <c r="H42" s="13"/>
      <c r="I42" s="13"/>
      <c r="J42" s="13"/>
      <c r="K42" s="13"/>
      <c r="L42" s="13"/>
      <c r="M42" s="13"/>
      <c r="N42" s="29"/>
      <c r="O42" s="13"/>
      <c r="P42" s="13"/>
      <c r="Q42" s="13"/>
      <c r="R42" s="13"/>
      <c r="S42" s="13"/>
      <c r="T42" s="13"/>
      <c r="U42" s="13"/>
      <c r="V42" s="13"/>
      <c r="W42" s="13"/>
      <c r="X42" s="13"/>
      <c r="Y42" s="13"/>
      <c r="Z42" s="13"/>
      <c r="AA42" s="13"/>
      <c r="AB42" s="13"/>
      <c r="AC42" s="13"/>
      <c r="AD42" s="13"/>
    </row>
    <row r="43" spans="1:30" ht="29.25" x14ac:dyDescent="0.25">
      <c r="A43" s="39" t="s">
        <v>48</v>
      </c>
      <c r="B43" s="82" t="s">
        <v>286</v>
      </c>
      <c r="C43" s="32" t="s">
        <v>50</v>
      </c>
      <c r="D43" s="39" t="s">
        <v>29</v>
      </c>
      <c r="E43" s="267" t="e">
        <f>+'Presupuesto Obra_MATA'!#REF!</f>
        <v>#REF!</v>
      </c>
      <c r="F43" s="272" t="s">
        <v>122</v>
      </c>
      <c r="G43" s="13"/>
      <c r="H43" s="13"/>
      <c r="I43" s="13"/>
      <c r="J43" s="13"/>
      <c r="K43" s="13"/>
      <c r="L43" s="80"/>
      <c r="M43" s="13"/>
      <c r="N43" s="13"/>
      <c r="O43" s="13"/>
      <c r="P43" s="13"/>
      <c r="Q43" s="13"/>
      <c r="R43" s="13"/>
      <c r="S43" s="13"/>
      <c r="T43" s="13"/>
      <c r="U43" s="13"/>
      <c r="V43" s="13"/>
      <c r="W43" s="13"/>
      <c r="X43" s="13"/>
      <c r="Y43" s="13"/>
      <c r="Z43" s="13"/>
      <c r="AA43" s="13"/>
      <c r="AB43" s="13"/>
      <c r="AC43" s="13"/>
      <c r="AD43" s="13"/>
    </row>
    <row r="44" spans="1:30" s="122" customFormat="1" ht="30.75" customHeight="1" x14ac:dyDescent="0.25">
      <c r="A44" s="39"/>
      <c r="B44" s="82"/>
      <c r="C44" s="32"/>
      <c r="D44" s="39"/>
      <c r="F44" s="43" t="s">
        <v>123</v>
      </c>
      <c r="G44" s="44"/>
      <c r="H44" s="44"/>
      <c r="I44" s="44"/>
      <c r="J44" s="44"/>
      <c r="K44" s="44"/>
      <c r="L44" s="24"/>
      <c r="M44" s="44"/>
      <c r="N44" s="44"/>
      <c r="O44" s="44"/>
      <c r="P44" s="44"/>
      <c r="Q44" s="44"/>
      <c r="R44" s="44"/>
      <c r="S44" s="44"/>
      <c r="T44" s="44"/>
      <c r="U44" s="44"/>
      <c r="V44" s="44"/>
      <c r="W44" s="44"/>
      <c r="X44" s="44"/>
      <c r="Y44" s="44"/>
      <c r="Z44" s="44"/>
      <c r="AA44" s="44"/>
      <c r="AB44" s="44"/>
      <c r="AC44" s="44"/>
      <c r="AD44" s="44"/>
    </row>
    <row r="45" spans="1:30" ht="15" x14ac:dyDescent="0.25">
      <c r="A45" s="270"/>
      <c r="B45" s="276">
        <v>5</v>
      </c>
      <c r="C45" s="248" t="s">
        <v>51</v>
      </c>
      <c r="D45" s="207"/>
      <c r="E45" s="248"/>
      <c r="F45" s="254"/>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row>
    <row r="46" spans="1:30" ht="15" x14ac:dyDescent="0.25">
      <c r="A46" s="39"/>
      <c r="B46" s="82" t="s">
        <v>178</v>
      </c>
      <c r="C46" s="83" t="s">
        <v>177</v>
      </c>
      <c r="D46" s="39" t="s">
        <v>21</v>
      </c>
      <c r="E46" s="320" t="e">
        <f>+'Presupuesto Obra_MATA'!#REF!</f>
        <v>#REF!</v>
      </c>
      <c r="F46" s="272" t="s">
        <v>122</v>
      </c>
      <c r="G46" s="80"/>
      <c r="H46" s="80"/>
      <c r="I46" s="80"/>
      <c r="J46" s="80"/>
      <c r="K46" s="80"/>
      <c r="L46" s="80"/>
      <c r="M46" s="80"/>
      <c r="N46" s="80"/>
      <c r="O46" s="80"/>
      <c r="P46" s="80"/>
      <c r="Q46" s="80"/>
      <c r="R46" s="80"/>
      <c r="S46" s="80"/>
      <c r="T46" s="80"/>
      <c r="U46" s="80"/>
      <c r="V46" s="80"/>
      <c r="W46" s="80"/>
      <c r="X46" s="80"/>
      <c r="Y46" s="80"/>
      <c r="Z46" s="80"/>
      <c r="AA46" s="80"/>
      <c r="AB46" s="80"/>
      <c r="AC46" s="80"/>
      <c r="AD46" s="80"/>
    </row>
    <row r="47" spans="1:30" s="122" customFormat="1" ht="15.75" customHeight="1" x14ac:dyDescent="0.25">
      <c r="A47" s="39"/>
      <c r="B47" s="82"/>
      <c r="C47" s="83"/>
      <c r="D47" s="39"/>
      <c r="F47" s="43" t="s">
        <v>123</v>
      </c>
      <c r="G47" s="24"/>
      <c r="H47" s="24"/>
      <c r="I47" s="24"/>
      <c r="J47" s="24"/>
      <c r="K47" s="24"/>
      <c r="L47" s="24"/>
      <c r="M47" s="24"/>
      <c r="N47" s="24"/>
      <c r="O47" s="24"/>
      <c r="P47" s="24"/>
      <c r="Q47" s="24"/>
      <c r="R47" s="24"/>
      <c r="S47" s="24"/>
      <c r="T47" s="24"/>
      <c r="U47" s="24"/>
      <c r="V47" s="24"/>
      <c r="W47" s="24"/>
      <c r="X47" s="24"/>
      <c r="Y47" s="24"/>
      <c r="Z47" s="24"/>
      <c r="AA47" s="24"/>
      <c r="AB47" s="24"/>
      <c r="AC47" s="24"/>
      <c r="AD47" s="24"/>
    </row>
    <row r="48" spans="1:30" ht="15" x14ac:dyDescent="0.25">
      <c r="A48" s="39"/>
      <c r="B48" s="82" t="s">
        <v>168</v>
      </c>
      <c r="C48" s="83" t="s">
        <v>176</v>
      </c>
      <c r="D48" s="39" t="s">
        <v>21</v>
      </c>
      <c r="E48" s="319" t="e">
        <f>+'Presupuesto Obra_MATA'!#REF!</f>
        <v>#REF!</v>
      </c>
      <c r="F48" s="272" t="s">
        <v>122</v>
      </c>
      <c r="G48" s="80"/>
      <c r="H48" s="80"/>
      <c r="I48" s="80"/>
      <c r="J48" s="80"/>
      <c r="K48" s="80"/>
      <c r="L48" s="80"/>
      <c r="M48" s="80"/>
      <c r="N48" s="80"/>
      <c r="O48" s="80"/>
      <c r="P48" s="80"/>
      <c r="Q48" s="80"/>
      <c r="R48" s="80"/>
      <c r="S48" s="80"/>
      <c r="T48" s="80"/>
      <c r="U48" s="80"/>
      <c r="V48" s="80"/>
      <c r="W48" s="80"/>
      <c r="X48" s="80"/>
      <c r="Y48" s="80"/>
      <c r="Z48" s="80"/>
      <c r="AA48" s="80"/>
      <c r="AB48" s="80"/>
      <c r="AC48" s="80"/>
      <c r="AD48" s="80"/>
    </row>
    <row r="49" spans="1:30" s="122" customFormat="1" ht="15" x14ac:dyDescent="0.25">
      <c r="A49" s="39"/>
      <c r="B49" s="82"/>
      <c r="C49" s="83"/>
      <c r="D49" s="39"/>
      <c r="F49" s="43" t="s">
        <v>123</v>
      </c>
      <c r="G49" s="24"/>
      <c r="H49" s="24"/>
      <c r="I49" s="24"/>
      <c r="J49" s="24"/>
      <c r="K49" s="24"/>
      <c r="L49" s="24"/>
      <c r="M49" s="24"/>
      <c r="N49" s="24"/>
      <c r="O49" s="24"/>
      <c r="P49" s="24"/>
      <c r="Q49" s="24"/>
      <c r="R49" s="24"/>
      <c r="S49" s="24"/>
      <c r="T49" s="24"/>
      <c r="U49" s="24"/>
      <c r="V49" s="24"/>
      <c r="W49" s="24"/>
      <c r="X49" s="24"/>
      <c r="Y49" s="24"/>
      <c r="Z49" s="24"/>
      <c r="AA49" s="24"/>
      <c r="AB49" s="24"/>
      <c r="AC49" s="24"/>
      <c r="AD49" s="24"/>
    </row>
    <row r="50" spans="1:30" ht="15" x14ac:dyDescent="0.25">
      <c r="A50" s="39" t="s">
        <v>167</v>
      </c>
      <c r="B50" s="82" t="s">
        <v>169</v>
      </c>
      <c r="C50" s="83" t="s">
        <v>52</v>
      </c>
      <c r="D50" s="39" t="s">
        <v>21</v>
      </c>
      <c r="E50" s="320">
        <f>+'Presupuesto Obra_MATA'!E28</f>
        <v>10</v>
      </c>
      <c r="F50" s="272" t="s">
        <v>122</v>
      </c>
      <c r="G50" s="13"/>
      <c r="H50" s="80"/>
      <c r="I50" s="13"/>
      <c r="J50" s="80"/>
      <c r="K50" s="13"/>
      <c r="L50" s="80"/>
      <c r="M50" s="13"/>
      <c r="N50" s="80"/>
      <c r="O50" s="13"/>
      <c r="P50" s="80"/>
      <c r="Q50" s="13"/>
      <c r="R50" s="80"/>
      <c r="S50" s="13"/>
      <c r="T50" s="13"/>
      <c r="U50" s="13"/>
      <c r="V50" s="13"/>
      <c r="W50" s="13"/>
      <c r="X50" s="13"/>
      <c r="Y50" s="80"/>
      <c r="Z50" s="13"/>
      <c r="AA50" s="13"/>
      <c r="AB50" s="13"/>
      <c r="AC50" s="13"/>
      <c r="AD50" s="13"/>
    </row>
    <row r="51" spans="1:30" s="122" customFormat="1" ht="21" customHeight="1" x14ac:dyDescent="0.25">
      <c r="A51" s="39"/>
      <c r="B51" s="82"/>
      <c r="C51" s="83"/>
      <c r="D51" s="39"/>
      <c r="E51" s="322"/>
      <c r="F51" s="43" t="s">
        <v>123</v>
      </c>
      <c r="G51" s="44"/>
      <c r="H51" s="24"/>
      <c r="I51" s="44"/>
      <c r="J51" s="24"/>
      <c r="K51" s="44"/>
      <c r="L51" s="24"/>
      <c r="M51" s="44"/>
      <c r="N51" s="24"/>
      <c r="O51" s="44"/>
      <c r="P51" s="24"/>
      <c r="Q51" s="44"/>
      <c r="R51" s="24"/>
      <c r="S51" s="44"/>
      <c r="T51" s="44"/>
      <c r="U51" s="44"/>
      <c r="V51" s="44"/>
      <c r="W51" s="44"/>
      <c r="X51" s="44"/>
      <c r="Y51" s="24"/>
      <c r="Z51" s="44"/>
      <c r="AA51" s="44"/>
      <c r="AB51" s="44"/>
      <c r="AC51" s="44"/>
      <c r="AD51" s="44"/>
    </row>
    <row r="52" spans="1:30" ht="28.5" x14ac:dyDescent="0.25">
      <c r="A52" s="39" t="s">
        <v>167</v>
      </c>
      <c r="B52" s="82" t="s">
        <v>171</v>
      </c>
      <c r="C52" s="83" t="s">
        <v>170</v>
      </c>
      <c r="D52" s="39" t="s">
        <v>21</v>
      </c>
      <c r="E52" s="320" t="e">
        <f>+'Presupuesto Obra_MATA'!#REF!</f>
        <v>#REF!</v>
      </c>
      <c r="F52" s="272" t="s">
        <v>122</v>
      </c>
      <c r="G52" s="80"/>
      <c r="H52" s="80"/>
      <c r="I52" s="80"/>
      <c r="J52" s="80"/>
      <c r="K52" s="80"/>
      <c r="L52" s="80"/>
      <c r="M52" s="80"/>
      <c r="N52" s="80"/>
      <c r="O52" s="80"/>
      <c r="P52" s="80"/>
      <c r="Q52" s="80"/>
      <c r="R52" s="80"/>
      <c r="S52" s="80"/>
      <c r="T52" s="80"/>
      <c r="U52" s="80"/>
      <c r="V52" s="80"/>
      <c r="W52" s="80"/>
      <c r="X52" s="80"/>
      <c r="Y52" s="80"/>
      <c r="Z52" s="80"/>
      <c r="AA52" s="80"/>
      <c r="AB52" s="80"/>
      <c r="AC52" s="80"/>
      <c r="AD52" s="80"/>
    </row>
    <row r="53" spans="1:30" s="122" customFormat="1" ht="21" customHeight="1" x14ac:dyDescent="0.25">
      <c r="A53" s="39"/>
      <c r="B53" s="82"/>
      <c r="C53" s="83"/>
      <c r="D53" s="39"/>
      <c r="E53" s="319"/>
      <c r="F53" s="43" t="s">
        <v>123</v>
      </c>
      <c r="G53" s="24"/>
      <c r="H53" s="24"/>
      <c r="I53" s="24"/>
      <c r="J53" s="24"/>
      <c r="K53" s="24"/>
      <c r="L53" s="24"/>
      <c r="M53" s="24"/>
      <c r="N53" s="24"/>
      <c r="O53" s="24"/>
      <c r="P53" s="24"/>
      <c r="Q53" s="24"/>
      <c r="R53" s="24"/>
      <c r="S53" s="24"/>
      <c r="T53" s="24"/>
      <c r="U53" s="24"/>
      <c r="V53" s="24"/>
      <c r="W53" s="24"/>
      <c r="X53" s="24"/>
      <c r="Y53" s="24"/>
      <c r="Z53" s="24"/>
      <c r="AA53" s="24"/>
      <c r="AB53" s="24"/>
      <c r="AC53" s="24"/>
      <c r="AD53" s="24"/>
    </row>
    <row r="54" spans="1:30" ht="28.5" x14ac:dyDescent="0.25">
      <c r="A54" s="39" t="s">
        <v>167</v>
      </c>
      <c r="B54" s="82" t="s">
        <v>173</v>
      </c>
      <c r="C54" s="83" t="s">
        <v>172</v>
      </c>
      <c r="D54" s="39" t="s">
        <v>21</v>
      </c>
      <c r="E54" s="320" t="e">
        <f>+'Presupuesto Obra_MATA'!#REF!</f>
        <v>#REF!</v>
      </c>
      <c r="F54" s="272" t="s">
        <v>122</v>
      </c>
      <c r="G54" s="80"/>
      <c r="H54" s="80"/>
      <c r="I54" s="80"/>
      <c r="J54" s="80"/>
      <c r="K54" s="80"/>
      <c r="L54" s="80"/>
      <c r="M54" s="80"/>
      <c r="N54" s="80"/>
      <c r="O54" s="80"/>
      <c r="P54" s="80"/>
      <c r="Q54" s="80"/>
      <c r="R54" s="80"/>
      <c r="S54" s="80"/>
      <c r="T54" s="80"/>
      <c r="U54" s="80"/>
      <c r="V54" s="80"/>
      <c r="W54" s="80"/>
      <c r="X54" s="80"/>
      <c r="Y54" s="80"/>
      <c r="Z54" s="80"/>
      <c r="AA54" s="80"/>
      <c r="AB54" s="80"/>
      <c r="AC54" s="80"/>
      <c r="AD54" s="80"/>
    </row>
    <row r="55" spans="1:30" s="122" customFormat="1" ht="17.25" customHeight="1" x14ac:dyDescent="0.25">
      <c r="A55" s="39"/>
      <c r="B55" s="82"/>
      <c r="C55" s="83"/>
      <c r="D55" s="39"/>
      <c r="E55" s="319"/>
      <c r="F55" s="43" t="s">
        <v>123</v>
      </c>
      <c r="G55" s="24"/>
      <c r="H55" s="24"/>
      <c r="I55" s="24"/>
      <c r="J55" s="24"/>
      <c r="K55" s="24"/>
      <c r="L55" s="24"/>
      <c r="M55" s="24"/>
      <c r="N55" s="24"/>
      <c r="O55" s="24"/>
      <c r="P55" s="24"/>
      <c r="Q55" s="24"/>
      <c r="R55" s="24"/>
      <c r="S55" s="24"/>
      <c r="T55" s="24"/>
      <c r="U55" s="24"/>
      <c r="V55" s="24"/>
      <c r="W55" s="24"/>
      <c r="X55" s="24"/>
      <c r="Y55" s="24"/>
      <c r="Z55" s="24"/>
      <c r="AA55" s="24"/>
      <c r="AB55" s="24"/>
      <c r="AC55" s="24"/>
      <c r="AD55" s="24"/>
    </row>
    <row r="56" spans="1:30" ht="28.5" x14ac:dyDescent="0.25">
      <c r="A56" s="39" t="s">
        <v>167</v>
      </c>
      <c r="B56" s="82" t="s">
        <v>175</v>
      </c>
      <c r="C56" s="83" t="s">
        <v>174</v>
      </c>
      <c r="D56" s="39" t="s">
        <v>19</v>
      </c>
      <c r="E56" s="320" t="e">
        <f>+'Presupuesto Obra_MATA'!#REF!</f>
        <v>#REF!</v>
      </c>
      <c r="F56" s="272" t="s">
        <v>122</v>
      </c>
      <c r="G56" s="80"/>
      <c r="H56" s="80"/>
      <c r="I56" s="80"/>
      <c r="J56" s="80"/>
      <c r="K56" s="80"/>
      <c r="L56" s="80"/>
      <c r="M56" s="80"/>
      <c r="N56" s="80"/>
      <c r="O56" s="80"/>
      <c r="P56" s="80"/>
      <c r="Q56" s="80"/>
      <c r="R56" s="80"/>
      <c r="S56" s="80"/>
      <c r="T56" s="80"/>
      <c r="U56" s="80"/>
      <c r="V56" s="80"/>
      <c r="W56" s="80"/>
      <c r="X56" s="80"/>
      <c r="Y56" s="80"/>
      <c r="Z56" s="80"/>
      <c r="AA56" s="80"/>
      <c r="AB56" s="80"/>
      <c r="AC56" s="80"/>
      <c r="AD56" s="80"/>
    </row>
    <row r="57" spans="1:30" s="122" customFormat="1" ht="17.25" customHeight="1" x14ac:dyDescent="0.25">
      <c r="A57" s="39"/>
      <c r="B57" s="82"/>
      <c r="C57" s="83"/>
      <c r="D57" s="39"/>
      <c r="E57" s="323"/>
      <c r="F57" s="43" t="s">
        <v>123</v>
      </c>
      <c r="G57" s="24"/>
      <c r="H57" s="24"/>
      <c r="I57" s="24"/>
      <c r="J57" s="24"/>
      <c r="K57" s="24"/>
      <c r="L57" s="24"/>
      <c r="M57" s="24"/>
      <c r="N57" s="24"/>
      <c r="O57" s="24"/>
      <c r="P57" s="24"/>
      <c r="Q57" s="24"/>
      <c r="R57" s="24"/>
      <c r="S57" s="24"/>
      <c r="T57" s="24"/>
      <c r="U57" s="24"/>
      <c r="V57" s="24"/>
      <c r="W57" s="24"/>
      <c r="X57" s="24"/>
      <c r="Y57" s="24"/>
      <c r="Z57" s="24"/>
      <c r="AA57" s="24"/>
      <c r="AB57" s="24"/>
      <c r="AC57" s="24"/>
      <c r="AD57" s="24"/>
    </row>
    <row r="58" spans="1:30" ht="15" x14ac:dyDescent="0.25">
      <c r="A58" s="39" t="s">
        <v>167</v>
      </c>
      <c r="B58" s="82" t="s">
        <v>339</v>
      </c>
      <c r="C58" s="83" t="s">
        <v>53</v>
      </c>
      <c r="D58" s="39" t="s">
        <v>21</v>
      </c>
      <c r="E58" s="319">
        <f>+'Presupuesto Obra_MATA'!E32</f>
        <v>143</v>
      </c>
      <c r="F58" s="272" t="s">
        <v>122</v>
      </c>
      <c r="G58" s="80"/>
      <c r="H58" s="80"/>
      <c r="I58" s="80"/>
      <c r="J58" s="80"/>
      <c r="K58" s="80"/>
      <c r="L58" s="80"/>
      <c r="M58" s="80"/>
      <c r="N58" s="80"/>
      <c r="O58" s="80"/>
      <c r="P58" s="80"/>
      <c r="Q58" s="80"/>
      <c r="R58" s="80"/>
      <c r="S58" s="80"/>
      <c r="T58" s="80"/>
      <c r="U58" s="80"/>
      <c r="V58" s="80"/>
      <c r="W58" s="80"/>
      <c r="X58" s="80"/>
      <c r="Y58" s="80"/>
      <c r="Z58" s="80"/>
      <c r="AA58" s="80"/>
      <c r="AB58" s="80"/>
      <c r="AC58" s="80"/>
      <c r="AD58" s="80"/>
    </row>
    <row r="59" spans="1:30" s="122" customFormat="1" ht="15" customHeight="1" x14ac:dyDescent="0.25">
      <c r="A59" s="39"/>
      <c r="B59" s="82"/>
      <c r="C59" s="83"/>
      <c r="D59" s="39"/>
      <c r="E59" s="268"/>
      <c r="F59" s="43" t="s">
        <v>123</v>
      </c>
      <c r="G59" s="24"/>
      <c r="H59" s="24"/>
      <c r="I59" s="24"/>
      <c r="J59" s="24"/>
      <c r="K59" s="24"/>
      <c r="L59" s="24"/>
      <c r="M59" s="24"/>
      <c r="N59" s="24"/>
      <c r="O59" s="24"/>
      <c r="P59" s="24"/>
      <c r="Q59" s="24"/>
      <c r="R59" s="24"/>
      <c r="S59" s="24"/>
      <c r="T59" s="24"/>
      <c r="U59" s="24"/>
      <c r="V59" s="24"/>
      <c r="W59" s="24"/>
      <c r="X59" s="24"/>
      <c r="Y59" s="24"/>
      <c r="Z59" s="24"/>
      <c r="AA59" s="24"/>
      <c r="AB59" s="24"/>
      <c r="AC59" s="24"/>
      <c r="AD59" s="24"/>
    </row>
    <row r="60" spans="1:30" ht="30" customHeight="1" x14ac:dyDescent="0.25">
      <c r="A60" s="270"/>
      <c r="B60" s="276">
        <v>6</v>
      </c>
      <c r="C60" s="248" t="s">
        <v>142</v>
      </c>
      <c r="D60" s="207"/>
      <c r="E60" s="265"/>
      <c r="F60" s="254"/>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row>
    <row r="61" spans="1:30" ht="15" x14ac:dyDescent="0.25">
      <c r="A61" s="208" t="s">
        <v>89</v>
      </c>
      <c r="B61" s="258" t="s">
        <v>54</v>
      </c>
      <c r="C61" s="83" t="s">
        <v>57</v>
      </c>
      <c r="D61" s="39" t="s">
        <v>19</v>
      </c>
      <c r="E61" s="267">
        <f>+'Presupuesto Obra_MATA'!E39</f>
        <v>1040</v>
      </c>
      <c r="F61" s="272" t="s">
        <v>122</v>
      </c>
      <c r="G61" s="80"/>
      <c r="H61" s="80"/>
      <c r="I61" s="80"/>
      <c r="J61" s="80"/>
      <c r="K61" s="80"/>
      <c r="L61" s="80"/>
      <c r="M61" s="80"/>
      <c r="N61" s="80"/>
      <c r="O61" s="80"/>
      <c r="P61" s="80"/>
      <c r="Q61" s="80"/>
      <c r="R61" s="80"/>
      <c r="S61" s="80"/>
      <c r="T61" s="80"/>
      <c r="U61" s="80"/>
      <c r="V61" s="80"/>
      <c r="W61" s="80"/>
      <c r="X61" s="80"/>
      <c r="Y61" s="80"/>
      <c r="Z61" s="80"/>
      <c r="AA61" s="80"/>
      <c r="AB61" s="80"/>
      <c r="AC61" s="80"/>
      <c r="AD61" s="80"/>
    </row>
    <row r="62" spans="1:30" s="122" customFormat="1" ht="15" x14ac:dyDescent="0.25">
      <c r="A62" s="208"/>
      <c r="B62" s="258"/>
      <c r="C62" s="83"/>
      <c r="D62" s="39"/>
      <c r="F62" s="43" t="s">
        <v>123</v>
      </c>
      <c r="G62" s="24"/>
      <c r="H62" s="24"/>
      <c r="I62" s="24"/>
      <c r="J62" s="24"/>
      <c r="K62" s="24"/>
      <c r="L62" s="24"/>
      <c r="M62" s="24"/>
      <c r="N62" s="24"/>
      <c r="O62" s="24"/>
      <c r="P62" s="24"/>
      <c r="Q62" s="24"/>
      <c r="R62" s="24"/>
      <c r="S62" s="24"/>
      <c r="T62" s="24"/>
      <c r="U62" s="24"/>
      <c r="V62" s="24"/>
      <c r="W62" s="24"/>
      <c r="X62" s="24"/>
      <c r="Y62" s="24"/>
      <c r="Z62" s="24"/>
      <c r="AA62" s="24"/>
      <c r="AB62" s="24"/>
      <c r="AC62" s="24"/>
      <c r="AD62" s="24"/>
    </row>
    <row r="63" spans="1:30" ht="15" x14ac:dyDescent="0.25">
      <c r="A63" s="208" t="s">
        <v>67</v>
      </c>
      <c r="B63" s="82" t="s">
        <v>66</v>
      </c>
      <c r="C63" s="32" t="s">
        <v>58</v>
      </c>
      <c r="D63" s="39" t="s">
        <v>19</v>
      </c>
      <c r="E63" s="267">
        <f>+'Presupuesto Obra_MATA'!E40</f>
        <v>704</v>
      </c>
      <c r="F63" s="272" t="s">
        <v>122</v>
      </c>
      <c r="G63" s="80"/>
      <c r="H63" s="80"/>
      <c r="I63" s="80"/>
      <c r="J63" s="80"/>
      <c r="K63" s="80"/>
      <c r="L63" s="80"/>
      <c r="M63" s="80"/>
      <c r="N63" s="80"/>
      <c r="O63" s="80"/>
      <c r="P63" s="80"/>
      <c r="Q63" s="80"/>
      <c r="R63" s="80"/>
      <c r="S63" s="80"/>
      <c r="T63" s="80"/>
      <c r="U63" s="80"/>
      <c r="V63" s="80"/>
      <c r="W63" s="80"/>
      <c r="X63" s="80"/>
      <c r="Y63" s="80"/>
      <c r="Z63" s="80"/>
      <c r="AA63" s="80"/>
      <c r="AB63" s="80"/>
      <c r="AC63" s="80"/>
      <c r="AD63" s="80"/>
    </row>
    <row r="64" spans="1:30" s="122" customFormat="1" ht="15" x14ac:dyDescent="0.25">
      <c r="A64" s="208"/>
      <c r="B64" s="82"/>
      <c r="C64" s="32"/>
      <c r="D64" s="39"/>
      <c r="F64" s="43" t="s">
        <v>123</v>
      </c>
      <c r="G64" s="24"/>
      <c r="H64" s="24"/>
      <c r="I64" s="24"/>
      <c r="J64" s="24"/>
      <c r="K64" s="24"/>
      <c r="L64" s="24"/>
      <c r="M64" s="24"/>
      <c r="N64" s="24"/>
      <c r="O64" s="24"/>
      <c r="P64" s="24"/>
      <c r="Q64" s="24"/>
      <c r="R64" s="24"/>
      <c r="S64" s="24"/>
      <c r="T64" s="24"/>
      <c r="U64" s="24"/>
      <c r="V64" s="24"/>
      <c r="W64" s="24"/>
      <c r="X64" s="24"/>
      <c r="Y64" s="24"/>
      <c r="Z64" s="24"/>
      <c r="AA64" s="24"/>
      <c r="AB64" s="24"/>
      <c r="AC64" s="24"/>
      <c r="AD64" s="24"/>
    </row>
    <row r="65" spans="1:30" ht="15" hidden="1" x14ac:dyDescent="0.25">
      <c r="A65" s="208" t="s">
        <v>67</v>
      </c>
      <c r="B65" s="82" t="s">
        <v>66</v>
      </c>
      <c r="C65" s="32" t="s">
        <v>59</v>
      </c>
      <c r="D65" s="39" t="s">
        <v>19</v>
      </c>
      <c r="E65" s="267" t="e">
        <f>+'Presupuesto Obra_MATA'!#REF!</f>
        <v>#REF!</v>
      </c>
      <c r="F65" s="272" t="s">
        <v>122</v>
      </c>
      <c r="G65" s="80"/>
      <c r="H65" s="80"/>
      <c r="I65" s="80"/>
      <c r="J65" s="80"/>
      <c r="K65" s="80"/>
      <c r="L65" s="80"/>
      <c r="M65" s="80"/>
      <c r="N65" s="80"/>
      <c r="O65" s="80"/>
      <c r="P65" s="80"/>
      <c r="Q65" s="80"/>
      <c r="R65" s="80"/>
      <c r="S65" s="80"/>
      <c r="T65" s="80"/>
      <c r="U65" s="80"/>
      <c r="V65" s="80"/>
      <c r="W65" s="80"/>
      <c r="X65" s="80"/>
      <c r="Y65" s="80"/>
      <c r="Z65" s="80"/>
      <c r="AA65" s="80"/>
      <c r="AB65" s="80"/>
      <c r="AC65" s="80"/>
      <c r="AD65" s="80"/>
    </row>
    <row r="66" spans="1:30" s="122" customFormat="1" ht="15" x14ac:dyDescent="0.25">
      <c r="A66" s="208"/>
      <c r="B66" s="82"/>
      <c r="C66" s="32"/>
      <c r="D66" s="39"/>
      <c r="F66" s="43" t="s">
        <v>123</v>
      </c>
      <c r="G66" s="24"/>
      <c r="H66" s="24"/>
      <c r="I66" s="24"/>
      <c r="J66" s="24"/>
      <c r="K66" s="24"/>
      <c r="L66" s="24"/>
      <c r="M66" s="24"/>
      <c r="N66" s="24"/>
      <c r="O66" s="24"/>
      <c r="P66" s="24"/>
      <c r="Q66" s="24"/>
      <c r="R66" s="24"/>
      <c r="S66" s="24"/>
      <c r="T66" s="24"/>
      <c r="U66" s="24"/>
      <c r="V66" s="24"/>
      <c r="W66" s="24"/>
      <c r="X66" s="24"/>
      <c r="Y66" s="24"/>
      <c r="Z66" s="24"/>
      <c r="AA66" s="24"/>
      <c r="AB66" s="24"/>
      <c r="AC66" s="24"/>
      <c r="AD66" s="24"/>
    </row>
    <row r="67" spans="1:30" ht="15" x14ac:dyDescent="0.25">
      <c r="A67" s="208" t="s">
        <v>67</v>
      </c>
      <c r="B67" s="82" t="s">
        <v>66</v>
      </c>
      <c r="C67" s="32" t="s">
        <v>60</v>
      </c>
      <c r="D67" s="39" t="s">
        <v>19</v>
      </c>
      <c r="E67" s="267">
        <f>+'Presupuesto Obra_MATA'!E41</f>
        <v>277</v>
      </c>
      <c r="F67" s="272" t="s">
        <v>122</v>
      </c>
      <c r="G67" s="80"/>
      <c r="H67" s="80"/>
      <c r="I67" s="80"/>
      <c r="J67" s="80"/>
      <c r="K67" s="80"/>
      <c r="L67" s="80"/>
      <c r="M67" s="80"/>
      <c r="N67" s="80"/>
      <c r="O67" s="80"/>
      <c r="P67" s="80"/>
      <c r="Q67" s="80"/>
      <c r="R67" s="80"/>
      <c r="S67" s="80"/>
      <c r="T67" s="80"/>
      <c r="U67" s="80"/>
      <c r="V67" s="80"/>
      <c r="W67" s="80"/>
      <c r="X67" s="80"/>
      <c r="Y67" s="80"/>
      <c r="Z67" s="80"/>
      <c r="AA67" s="80"/>
      <c r="AB67" s="80"/>
      <c r="AC67" s="80"/>
      <c r="AD67" s="80"/>
    </row>
    <row r="68" spans="1:30" s="122" customFormat="1" ht="15" x14ac:dyDescent="0.25">
      <c r="A68" s="208"/>
      <c r="B68" s="82"/>
      <c r="C68" s="32"/>
      <c r="D68" s="39"/>
      <c r="F68" s="43" t="s">
        <v>123</v>
      </c>
      <c r="G68" s="24"/>
      <c r="H68" s="24"/>
      <c r="I68" s="24"/>
      <c r="J68" s="24"/>
      <c r="K68" s="24"/>
      <c r="L68" s="24"/>
      <c r="M68" s="24"/>
      <c r="N68" s="24"/>
      <c r="O68" s="24"/>
      <c r="P68" s="24"/>
      <c r="Q68" s="24"/>
      <c r="R68" s="24"/>
      <c r="S68" s="24"/>
      <c r="T68" s="24"/>
      <c r="U68" s="24"/>
      <c r="V68" s="24"/>
      <c r="W68" s="24"/>
      <c r="X68" s="24"/>
      <c r="Y68" s="24"/>
      <c r="Z68" s="24"/>
      <c r="AA68" s="24"/>
      <c r="AB68" s="24"/>
      <c r="AC68" s="24"/>
      <c r="AD68" s="24"/>
    </row>
    <row r="69" spans="1:30" ht="15" hidden="1" x14ac:dyDescent="0.25">
      <c r="A69" s="208" t="s">
        <v>67</v>
      </c>
      <c r="B69" s="82" t="s">
        <v>66</v>
      </c>
      <c r="C69" s="32" t="s">
        <v>61</v>
      </c>
      <c r="D69" s="39" t="s">
        <v>19</v>
      </c>
      <c r="E69" s="267" t="e">
        <f>+'Presupuesto Obra_MATA'!#REF!</f>
        <v>#REF!</v>
      </c>
      <c r="F69" s="272" t="s">
        <v>122</v>
      </c>
      <c r="G69" s="80"/>
      <c r="H69" s="80"/>
      <c r="I69" s="80"/>
      <c r="J69" s="80"/>
      <c r="K69" s="80"/>
      <c r="L69" s="80"/>
      <c r="M69" s="80"/>
      <c r="N69" s="80"/>
      <c r="O69" s="80"/>
      <c r="P69" s="80"/>
      <c r="Q69" s="80"/>
      <c r="R69" s="80"/>
      <c r="S69" s="80"/>
      <c r="T69" s="80"/>
      <c r="U69" s="80"/>
      <c r="V69" s="80"/>
      <c r="W69" s="80"/>
      <c r="X69" s="80"/>
      <c r="Y69" s="80"/>
      <c r="Z69" s="80"/>
      <c r="AA69" s="80"/>
      <c r="AB69" s="80"/>
      <c r="AC69" s="80"/>
      <c r="AD69" s="80"/>
    </row>
    <row r="70" spans="1:30" s="122" customFormat="1" ht="15" hidden="1" x14ac:dyDescent="0.25">
      <c r="A70" s="208"/>
      <c r="B70" s="82"/>
      <c r="C70" s="32"/>
      <c r="D70" s="39"/>
      <c r="F70" s="43" t="s">
        <v>123</v>
      </c>
      <c r="G70" s="24"/>
      <c r="H70" s="24"/>
      <c r="I70" s="24"/>
      <c r="J70" s="24"/>
      <c r="K70" s="24"/>
      <c r="L70" s="24"/>
      <c r="M70" s="24"/>
      <c r="N70" s="24"/>
      <c r="O70" s="24"/>
      <c r="P70" s="24"/>
      <c r="Q70" s="24"/>
      <c r="R70" s="24"/>
      <c r="S70" s="24"/>
      <c r="T70" s="24"/>
      <c r="U70" s="24"/>
      <c r="V70" s="24"/>
      <c r="W70" s="24"/>
      <c r="X70" s="24"/>
      <c r="Y70" s="24"/>
      <c r="Z70" s="24"/>
      <c r="AA70" s="24"/>
      <c r="AB70" s="24"/>
      <c r="AC70" s="24"/>
      <c r="AD70" s="24"/>
    </row>
    <row r="71" spans="1:30" ht="15" hidden="1" x14ac:dyDescent="0.25">
      <c r="A71" s="208" t="s">
        <v>67</v>
      </c>
      <c r="B71" s="82" t="s">
        <v>66</v>
      </c>
      <c r="C71" s="32" t="s">
        <v>62</v>
      </c>
      <c r="D71" s="39" t="s">
        <v>19</v>
      </c>
      <c r="E71" s="267" t="e">
        <f>+'Presupuesto Obra_MATA'!#REF!</f>
        <v>#REF!</v>
      </c>
      <c r="F71" s="272" t="s">
        <v>122</v>
      </c>
      <c r="G71" s="80"/>
      <c r="H71" s="80"/>
      <c r="I71" s="80"/>
      <c r="J71" s="80"/>
      <c r="K71" s="80"/>
      <c r="L71" s="80"/>
      <c r="M71" s="80"/>
      <c r="N71" s="80"/>
      <c r="O71" s="80"/>
      <c r="P71" s="80"/>
      <c r="Q71" s="80"/>
      <c r="R71" s="80"/>
      <c r="S71" s="80"/>
      <c r="T71" s="80"/>
      <c r="U71" s="80"/>
      <c r="V71" s="80"/>
      <c r="W71" s="80"/>
      <c r="X71" s="80"/>
      <c r="Y71" s="80"/>
      <c r="Z71" s="80"/>
      <c r="AA71" s="80"/>
      <c r="AB71" s="80"/>
      <c r="AC71" s="80"/>
      <c r="AD71" s="80"/>
    </row>
    <row r="72" spans="1:30" s="122" customFormat="1" ht="15" hidden="1" x14ac:dyDescent="0.25">
      <c r="A72" s="208"/>
      <c r="B72" s="82"/>
      <c r="C72" s="32"/>
      <c r="D72" s="39"/>
      <c r="F72" s="43" t="s">
        <v>123</v>
      </c>
      <c r="G72" s="24"/>
      <c r="H72" s="24"/>
      <c r="I72" s="24"/>
      <c r="J72" s="24"/>
      <c r="K72" s="24"/>
      <c r="L72" s="24"/>
      <c r="M72" s="24"/>
      <c r="N72" s="24"/>
      <c r="O72" s="24"/>
      <c r="P72" s="24"/>
      <c r="Q72" s="24"/>
      <c r="R72" s="24"/>
      <c r="S72" s="24"/>
      <c r="T72" s="24"/>
      <c r="U72" s="24"/>
      <c r="V72" s="24"/>
      <c r="W72" s="24"/>
      <c r="X72" s="24"/>
      <c r="Y72" s="24"/>
      <c r="Z72" s="24"/>
      <c r="AA72" s="24"/>
      <c r="AB72" s="24"/>
      <c r="AC72" s="24"/>
      <c r="AD72" s="24"/>
    </row>
    <row r="73" spans="1:30" ht="15" hidden="1" x14ac:dyDescent="0.25">
      <c r="A73" s="208" t="s">
        <v>67</v>
      </c>
      <c r="B73" s="82" t="s">
        <v>66</v>
      </c>
      <c r="C73" s="32" t="s">
        <v>63</v>
      </c>
      <c r="D73" s="39" t="s">
        <v>19</v>
      </c>
      <c r="E73" s="267" t="e">
        <f>+'Presupuesto Obra_MATA'!#REF!</f>
        <v>#REF!</v>
      </c>
      <c r="F73" s="272" t="s">
        <v>122</v>
      </c>
      <c r="G73" s="80"/>
      <c r="H73" s="80"/>
      <c r="I73" s="80"/>
      <c r="J73" s="80"/>
      <c r="K73" s="80"/>
      <c r="L73" s="80"/>
      <c r="M73" s="80"/>
      <c r="N73" s="80"/>
      <c r="O73" s="80"/>
      <c r="P73" s="80"/>
      <c r="Q73" s="80"/>
      <c r="R73" s="80"/>
      <c r="S73" s="80"/>
      <c r="T73" s="80"/>
      <c r="U73" s="80"/>
      <c r="V73" s="80"/>
      <c r="W73" s="80"/>
      <c r="X73" s="80"/>
      <c r="Y73" s="80"/>
      <c r="Z73" s="80"/>
      <c r="AA73" s="80"/>
      <c r="AB73" s="80"/>
      <c r="AC73" s="80"/>
      <c r="AD73" s="80"/>
    </row>
    <row r="74" spans="1:30" s="122" customFormat="1" ht="15" hidden="1" x14ac:dyDescent="0.25">
      <c r="A74" s="208"/>
      <c r="B74" s="82"/>
      <c r="C74" s="32"/>
      <c r="D74" s="39"/>
      <c r="F74" s="43" t="s">
        <v>123</v>
      </c>
      <c r="G74" s="24"/>
      <c r="H74" s="24"/>
      <c r="I74" s="24"/>
      <c r="J74" s="24"/>
      <c r="K74" s="24"/>
      <c r="L74" s="24"/>
      <c r="M74" s="24"/>
      <c r="N74" s="24"/>
      <c r="O74" s="24"/>
      <c r="P74" s="24"/>
      <c r="Q74" s="24"/>
      <c r="R74" s="24"/>
      <c r="S74" s="24"/>
      <c r="T74" s="24"/>
      <c r="U74" s="24"/>
      <c r="V74" s="24"/>
      <c r="W74" s="24"/>
      <c r="X74" s="24"/>
      <c r="Y74" s="24"/>
      <c r="Z74" s="24"/>
      <c r="AA74" s="24"/>
      <c r="AB74" s="24"/>
      <c r="AC74" s="24"/>
      <c r="AD74" s="24"/>
    </row>
    <row r="75" spans="1:30" ht="15" hidden="1" x14ac:dyDescent="0.25">
      <c r="A75" s="208" t="s">
        <v>67</v>
      </c>
      <c r="B75" s="82" t="s">
        <v>66</v>
      </c>
      <c r="C75" s="32" t="s">
        <v>64</v>
      </c>
      <c r="D75" s="39" t="s">
        <v>19</v>
      </c>
      <c r="E75" s="267" t="e">
        <f>+'Presupuesto Obra_MATA'!#REF!</f>
        <v>#REF!</v>
      </c>
      <c r="F75" s="272" t="s">
        <v>122</v>
      </c>
      <c r="G75" s="80"/>
      <c r="H75" s="80"/>
      <c r="I75" s="80"/>
      <c r="J75" s="80"/>
      <c r="K75" s="80"/>
      <c r="L75" s="80"/>
      <c r="M75" s="80"/>
      <c r="N75" s="80"/>
      <c r="O75" s="80"/>
      <c r="P75" s="80"/>
      <c r="Q75" s="80"/>
      <c r="R75" s="80"/>
      <c r="S75" s="80"/>
      <c r="T75" s="80"/>
      <c r="U75" s="80"/>
      <c r="V75" s="80"/>
      <c r="W75" s="80"/>
      <c r="X75" s="80"/>
      <c r="Y75" s="80"/>
      <c r="Z75" s="80"/>
      <c r="AA75" s="80"/>
      <c r="AB75" s="80"/>
      <c r="AC75" s="80"/>
      <c r="AD75" s="80"/>
    </row>
    <row r="76" spans="1:30" s="122" customFormat="1" ht="15" hidden="1" x14ac:dyDescent="0.25">
      <c r="A76" s="208"/>
      <c r="B76" s="82"/>
      <c r="C76" s="32"/>
      <c r="D76" s="39"/>
      <c r="F76" s="43" t="s">
        <v>123</v>
      </c>
      <c r="G76" s="24"/>
      <c r="H76" s="24"/>
      <c r="I76" s="24"/>
      <c r="J76" s="24"/>
      <c r="K76" s="24"/>
      <c r="L76" s="24"/>
      <c r="M76" s="24"/>
      <c r="N76" s="24"/>
      <c r="O76" s="24"/>
      <c r="P76" s="24"/>
      <c r="Q76" s="24"/>
      <c r="R76" s="24"/>
      <c r="S76" s="24"/>
      <c r="T76" s="24"/>
      <c r="U76" s="24"/>
      <c r="V76" s="24"/>
      <c r="W76" s="24"/>
      <c r="X76" s="24"/>
      <c r="Y76" s="24"/>
      <c r="Z76" s="24"/>
      <c r="AA76" s="24"/>
      <c r="AB76" s="24"/>
      <c r="AC76" s="24"/>
      <c r="AD76" s="24"/>
    </row>
    <row r="77" spans="1:30" ht="15" hidden="1" x14ac:dyDescent="0.25">
      <c r="A77" s="208" t="s">
        <v>67</v>
      </c>
      <c r="B77" s="82" t="s">
        <v>66</v>
      </c>
      <c r="C77" s="32" t="s">
        <v>90</v>
      </c>
      <c r="D77" s="39" t="s">
        <v>19</v>
      </c>
      <c r="E77" s="267" t="e">
        <f>+'Presupuesto Obra_MATA'!#REF!</f>
        <v>#REF!</v>
      </c>
      <c r="F77" s="272" t="s">
        <v>122</v>
      </c>
      <c r="G77" s="80"/>
      <c r="H77" s="80"/>
      <c r="I77" s="80"/>
      <c r="J77" s="80"/>
      <c r="K77" s="80"/>
      <c r="L77" s="80"/>
      <c r="M77" s="80"/>
      <c r="N77" s="80"/>
      <c r="O77" s="80"/>
      <c r="P77" s="80"/>
      <c r="Q77" s="80"/>
      <c r="R77" s="80"/>
      <c r="S77" s="80"/>
      <c r="T77" s="80"/>
      <c r="U77" s="80"/>
      <c r="V77" s="80"/>
      <c r="W77" s="80"/>
      <c r="X77" s="80"/>
      <c r="Y77" s="80"/>
      <c r="Z77" s="80"/>
      <c r="AA77" s="80"/>
      <c r="AB77" s="80"/>
      <c r="AC77" s="80"/>
      <c r="AD77" s="80"/>
    </row>
    <row r="78" spans="1:30" s="122" customFormat="1" ht="15" hidden="1" x14ac:dyDescent="0.25">
      <c r="A78" s="208"/>
      <c r="B78" s="82"/>
      <c r="C78" s="32"/>
      <c r="D78" s="39"/>
      <c r="F78" s="43" t="s">
        <v>123</v>
      </c>
      <c r="G78" s="24"/>
      <c r="H78" s="24"/>
      <c r="I78" s="24"/>
      <c r="J78" s="24"/>
      <c r="K78" s="24"/>
      <c r="L78" s="24"/>
      <c r="M78" s="24"/>
      <c r="N78" s="24"/>
      <c r="O78" s="24"/>
      <c r="P78" s="24"/>
      <c r="Q78" s="24"/>
      <c r="R78" s="24"/>
      <c r="S78" s="24"/>
      <c r="T78" s="24"/>
      <c r="U78" s="24"/>
      <c r="V78" s="24"/>
      <c r="W78" s="24"/>
      <c r="X78" s="24"/>
      <c r="Y78" s="24"/>
      <c r="Z78" s="24"/>
      <c r="AA78" s="24"/>
      <c r="AB78" s="24"/>
      <c r="AC78" s="24"/>
      <c r="AD78" s="24"/>
    </row>
    <row r="79" spans="1:30" ht="15" hidden="1" x14ac:dyDescent="0.25">
      <c r="A79" s="208" t="s">
        <v>67</v>
      </c>
      <c r="B79" s="82" t="s">
        <v>66</v>
      </c>
      <c r="C79" s="32" t="s">
        <v>369</v>
      </c>
      <c r="D79" s="39" t="s">
        <v>19</v>
      </c>
      <c r="E79" s="267" t="e">
        <f>+'Presupuesto Obra_MATA'!#REF!</f>
        <v>#REF!</v>
      </c>
      <c r="F79" s="272" t="s">
        <v>122</v>
      </c>
      <c r="G79" s="80"/>
      <c r="H79" s="80"/>
      <c r="I79" s="80"/>
      <c r="J79" s="80"/>
      <c r="K79" s="80"/>
      <c r="L79" s="80"/>
      <c r="M79" s="80"/>
      <c r="N79" s="80"/>
      <c r="O79" s="80"/>
      <c r="P79" s="80"/>
      <c r="Q79" s="80"/>
      <c r="R79" s="80"/>
      <c r="S79" s="80"/>
      <c r="T79" s="80"/>
      <c r="U79" s="80"/>
      <c r="V79" s="80"/>
      <c r="W79" s="80"/>
      <c r="X79" s="80"/>
      <c r="Y79" s="80"/>
      <c r="Z79" s="80"/>
      <c r="AA79" s="80"/>
      <c r="AB79" s="80"/>
      <c r="AC79" s="80"/>
      <c r="AD79" s="80"/>
    </row>
    <row r="80" spans="1:30" s="122" customFormat="1" ht="15" hidden="1" x14ac:dyDescent="0.25">
      <c r="A80" s="208"/>
      <c r="B80" s="82"/>
      <c r="C80" s="32"/>
      <c r="D80" s="39"/>
      <c r="F80" s="43" t="s">
        <v>123</v>
      </c>
      <c r="G80" s="24"/>
      <c r="H80" s="24"/>
      <c r="I80" s="24"/>
      <c r="J80" s="24"/>
      <c r="K80" s="24"/>
      <c r="L80" s="24"/>
      <c r="M80" s="24"/>
      <c r="N80" s="24"/>
      <c r="O80" s="24"/>
      <c r="P80" s="24"/>
      <c r="Q80" s="24"/>
      <c r="R80" s="24"/>
      <c r="S80" s="24"/>
      <c r="T80" s="24"/>
      <c r="U80" s="24"/>
      <c r="V80" s="24"/>
      <c r="W80" s="24"/>
      <c r="X80" s="24"/>
      <c r="Y80" s="24"/>
      <c r="Z80" s="24"/>
      <c r="AA80" s="24"/>
      <c r="AB80" s="24"/>
      <c r="AC80" s="24"/>
      <c r="AD80" s="24"/>
    </row>
    <row r="81" spans="1:30" ht="15" hidden="1" x14ac:dyDescent="0.25">
      <c r="A81" s="208" t="s">
        <v>67</v>
      </c>
      <c r="B81" s="82" t="s">
        <v>66</v>
      </c>
      <c r="C81" s="32" t="s">
        <v>370</v>
      </c>
      <c r="D81" s="39" t="s">
        <v>19</v>
      </c>
      <c r="E81" s="267" t="e">
        <f>+'Presupuesto Obra_MATA'!#REF!</f>
        <v>#REF!</v>
      </c>
      <c r="F81" s="272" t="s">
        <v>122</v>
      </c>
      <c r="G81" s="80"/>
      <c r="H81" s="80"/>
      <c r="I81" s="80"/>
      <c r="J81" s="80"/>
      <c r="K81" s="80"/>
      <c r="L81" s="80"/>
      <c r="M81" s="80"/>
      <c r="N81" s="80"/>
      <c r="O81" s="80"/>
      <c r="P81" s="80"/>
      <c r="Q81" s="80"/>
      <c r="R81" s="80"/>
      <c r="S81" s="80"/>
      <c r="T81" s="80"/>
      <c r="U81" s="80"/>
      <c r="V81" s="80"/>
      <c r="W81" s="80"/>
      <c r="X81" s="80"/>
      <c r="Y81" s="80"/>
      <c r="Z81" s="80"/>
      <c r="AA81" s="80"/>
      <c r="AB81" s="80"/>
      <c r="AC81" s="80"/>
      <c r="AD81" s="80"/>
    </row>
    <row r="82" spans="1:30" s="122" customFormat="1" ht="15" x14ac:dyDescent="0.25">
      <c r="A82" s="208"/>
      <c r="B82" s="82"/>
      <c r="C82" s="32"/>
      <c r="D82" s="39"/>
      <c r="F82" s="43" t="s">
        <v>123</v>
      </c>
      <c r="G82" s="24"/>
      <c r="H82" s="24"/>
      <c r="I82" s="24"/>
      <c r="J82" s="24"/>
      <c r="K82" s="24"/>
      <c r="L82" s="24"/>
      <c r="M82" s="24"/>
      <c r="N82" s="24"/>
      <c r="O82" s="24"/>
      <c r="P82" s="24"/>
      <c r="Q82" s="24"/>
      <c r="R82" s="24"/>
      <c r="S82" s="24"/>
      <c r="T82" s="24"/>
      <c r="U82" s="24"/>
      <c r="V82" s="24"/>
      <c r="W82" s="24"/>
      <c r="X82" s="24"/>
      <c r="Y82" s="24"/>
      <c r="Z82" s="24"/>
      <c r="AA82" s="24"/>
      <c r="AB82" s="24"/>
      <c r="AC82" s="24"/>
      <c r="AD82" s="24"/>
    </row>
    <row r="83" spans="1:30" ht="15" x14ac:dyDescent="0.25">
      <c r="A83" s="208"/>
      <c r="B83" s="258" t="s">
        <v>96</v>
      </c>
      <c r="C83" s="83" t="s">
        <v>182</v>
      </c>
      <c r="D83" s="39" t="s">
        <v>21</v>
      </c>
      <c r="E83" s="267">
        <f>+'Presupuesto Obra_MATA'!E45</f>
        <v>108</v>
      </c>
      <c r="F83" s="272" t="s">
        <v>122</v>
      </c>
      <c r="G83" s="80"/>
      <c r="H83" s="80"/>
      <c r="I83" s="80"/>
      <c r="J83" s="80"/>
      <c r="K83" s="80"/>
      <c r="L83" s="80"/>
      <c r="M83" s="80"/>
      <c r="N83" s="80"/>
      <c r="O83" s="80"/>
      <c r="P83" s="80"/>
      <c r="Q83" s="80"/>
      <c r="R83" s="80"/>
      <c r="S83" s="80"/>
      <c r="T83" s="80"/>
      <c r="U83" s="80"/>
      <c r="V83" s="80"/>
      <c r="W83" s="80"/>
      <c r="X83" s="80"/>
      <c r="Y83" s="80"/>
      <c r="Z83" s="80"/>
      <c r="AA83" s="80"/>
      <c r="AB83" s="80"/>
      <c r="AC83" s="80"/>
      <c r="AD83" s="80"/>
    </row>
    <row r="84" spans="1:30" s="122" customFormat="1" ht="15" x14ac:dyDescent="0.25">
      <c r="A84" s="208"/>
      <c r="B84" s="258"/>
      <c r="C84" s="83"/>
      <c r="D84" s="39"/>
      <c r="E84" s="267"/>
      <c r="F84" s="43" t="s">
        <v>123</v>
      </c>
      <c r="G84" s="24"/>
      <c r="H84" s="24"/>
      <c r="I84" s="24"/>
      <c r="J84" s="24"/>
      <c r="K84" s="24"/>
      <c r="L84" s="24"/>
      <c r="M84" s="24"/>
      <c r="N84" s="24"/>
      <c r="O84" s="24"/>
      <c r="P84" s="24"/>
      <c r="Q84" s="24"/>
      <c r="R84" s="24"/>
      <c r="S84" s="24"/>
      <c r="T84" s="24"/>
      <c r="U84" s="24"/>
      <c r="V84" s="24"/>
      <c r="W84" s="24"/>
      <c r="X84" s="24"/>
      <c r="Y84" s="24"/>
      <c r="Z84" s="24"/>
      <c r="AA84" s="24"/>
      <c r="AB84" s="24"/>
      <c r="AC84" s="24"/>
      <c r="AD84" s="24"/>
    </row>
    <row r="85" spans="1:30" ht="15" hidden="1" x14ac:dyDescent="0.25">
      <c r="A85" s="208"/>
      <c r="B85" s="258" t="s">
        <v>96</v>
      </c>
      <c r="C85" s="83" t="s">
        <v>361</v>
      </c>
      <c r="D85" s="39" t="s">
        <v>21</v>
      </c>
      <c r="E85" s="267" t="e">
        <f>+'Presupuesto Obra_MATA'!#REF!</f>
        <v>#REF!</v>
      </c>
      <c r="F85" s="272" t="s">
        <v>122</v>
      </c>
      <c r="G85" s="80"/>
      <c r="H85" s="80"/>
      <c r="I85" s="80"/>
      <c r="J85" s="80"/>
      <c r="K85" s="80"/>
      <c r="L85" s="80"/>
      <c r="M85" s="80"/>
      <c r="N85" s="80"/>
      <c r="O85" s="80"/>
      <c r="P85" s="80"/>
      <c r="Q85" s="80"/>
      <c r="R85" s="80"/>
      <c r="S85" s="80"/>
      <c r="T85" s="80"/>
      <c r="U85" s="80"/>
      <c r="V85" s="80"/>
      <c r="W85" s="80"/>
      <c r="X85" s="80"/>
      <c r="Y85" s="80"/>
      <c r="Z85" s="80"/>
      <c r="AA85" s="80"/>
      <c r="AB85" s="80"/>
      <c r="AC85" s="80"/>
      <c r="AD85" s="80"/>
    </row>
    <row r="86" spans="1:30" s="122" customFormat="1" ht="15" x14ac:dyDescent="0.25">
      <c r="A86" s="208"/>
      <c r="B86" s="258"/>
      <c r="C86" s="83"/>
      <c r="D86" s="39"/>
      <c r="E86" s="267"/>
      <c r="F86" s="43" t="s">
        <v>123</v>
      </c>
      <c r="G86" s="24"/>
      <c r="H86" s="24"/>
      <c r="I86" s="24"/>
      <c r="J86" s="24"/>
      <c r="K86" s="24"/>
      <c r="L86" s="24"/>
      <c r="M86" s="24"/>
      <c r="N86" s="24"/>
      <c r="O86" s="24"/>
      <c r="P86" s="24"/>
      <c r="Q86" s="24"/>
      <c r="R86" s="24"/>
      <c r="S86" s="24"/>
      <c r="T86" s="24"/>
      <c r="U86" s="24"/>
      <c r="V86" s="24"/>
      <c r="W86" s="24"/>
      <c r="X86" s="24"/>
      <c r="Y86" s="24"/>
      <c r="Z86" s="24"/>
      <c r="AA86" s="24"/>
      <c r="AB86" s="24"/>
      <c r="AC86" s="24"/>
      <c r="AD86" s="24"/>
    </row>
    <row r="87" spans="1:30" ht="15" x14ac:dyDescent="0.25">
      <c r="A87" s="208"/>
      <c r="B87" s="258" t="s">
        <v>96</v>
      </c>
      <c r="C87" s="83" t="s">
        <v>362</v>
      </c>
      <c r="D87" s="39" t="s">
        <v>21</v>
      </c>
      <c r="E87" s="267">
        <f>+'Presupuesto Obra_MATA'!E46</f>
        <v>25</v>
      </c>
      <c r="F87" s="272" t="s">
        <v>122</v>
      </c>
      <c r="G87" s="80"/>
      <c r="H87" s="80"/>
      <c r="I87" s="80"/>
      <c r="J87" s="80"/>
      <c r="K87" s="80"/>
      <c r="L87" s="80"/>
      <c r="M87" s="80"/>
      <c r="N87" s="80"/>
      <c r="O87" s="80"/>
      <c r="P87" s="80"/>
      <c r="Q87" s="80"/>
      <c r="R87" s="80"/>
      <c r="S87" s="80"/>
      <c r="T87" s="80"/>
      <c r="U87" s="80"/>
      <c r="V87" s="80"/>
      <c r="W87" s="80"/>
      <c r="X87" s="80"/>
      <c r="Y87" s="80"/>
      <c r="Z87" s="80"/>
      <c r="AA87" s="80"/>
      <c r="AB87" s="80"/>
      <c r="AC87" s="80"/>
      <c r="AD87" s="80"/>
    </row>
    <row r="88" spans="1:30" s="122" customFormat="1" ht="15" x14ac:dyDescent="0.25">
      <c r="A88" s="208"/>
      <c r="B88" s="258"/>
      <c r="C88" s="83"/>
      <c r="D88" s="39"/>
      <c r="E88" s="267"/>
      <c r="F88" s="43" t="s">
        <v>123</v>
      </c>
      <c r="G88" s="24"/>
      <c r="H88" s="24"/>
      <c r="I88" s="24"/>
      <c r="J88" s="24"/>
      <c r="K88" s="24"/>
      <c r="L88" s="24"/>
      <c r="M88" s="24"/>
      <c r="N88" s="24"/>
      <c r="O88" s="24"/>
      <c r="P88" s="24"/>
      <c r="Q88" s="24"/>
      <c r="R88" s="24"/>
      <c r="S88" s="24"/>
      <c r="T88" s="24"/>
      <c r="U88" s="24"/>
      <c r="V88" s="24"/>
      <c r="W88" s="24"/>
      <c r="X88" s="24"/>
      <c r="Y88" s="24"/>
      <c r="Z88" s="24"/>
      <c r="AA88" s="24"/>
      <c r="AB88" s="24"/>
      <c r="AC88" s="24"/>
      <c r="AD88" s="24"/>
    </row>
    <row r="89" spans="1:30" ht="15" hidden="1" x14ac:dyDescent="0.25">
      <c r="A89" s="208"/>
      <c r="B89" s="258" t="s">
        <v>96</v>
      </c>
      <c r="C89" s="83" t="s">
        <v>363</v>
      </c>
      <c r="D89" s="39" t="s">
        <v>21</v>
      </c>
      <c r="E89" s="267" t="e">
        <f>+'Presupuesto Obra_MATA'!#REF!</f>
        <v>#REF!</v>
      </c>
      <c r="F89" s="272" t="s">
        <v>122</v>
      </c>
      <c r="G89" s="80"/>
      <c r="H89" s="80"/>
      <c r="I89" s="80"/>
      <c r="J89" s="80"/>
      <c r="K89" s="80"/>
      <c r="L89" s="80"/>
      <c r="M89" s="80"/>
      <c r="N89" s="80"/>
      <c r="O89" s="80"/>
      <c r="P89" s="80"/>
      <c r="Q89" s="80"/>
      <c r="R89" s="80"/>
      <c r="S89" s="80"/>
      <c r="T89" s="80"/>
      <c r="U89" s="80"/>
      <c r="V89" s="80"/>
      <c r="W89" s="80"/>
      <c r="X89" s="80"/>
      <c r="Y89" s="80"/>
      <c r="Z89" s="80"/>
      <c r="AA89" s="80"/>
      <c r="AB89" s="80"/>
      <c r="AC89" s="80"/>
      <c r="AD89" s="80"/>
    </row>
    <row r="90" spans="1:30" s="122" customFormat="1" ht="15" hidden="1" x14ac:dyDescent="0.25">
      <c r="A90" s="208"/>
      <c r="B90" s="258"/>
      <c r="C90" s="83"/>
      <c r="D90" s="39"/>
      <c r="E90" s="267"/>
      <c r="F90" s="43" t="s">
        <v>123</v>
      </c>
      <c r="G90" s="24"/>
      <c r="H90" s="24"/>
      <c r="I90" s="24"/>
      <c r="J90" s="24"/>
      <c r="K90" s="24"/>
      <c r="L90" s="24"/>
      <c r="M90" s="24"/>
      <c r="N90" s="24"/>
      <c r="O90" s="24"/>
      <c r="P90" s="24"/>
      <c r="Q90" s="24"/>
      <c r="R90" s="24"/>
      <c r="S90" s="24"/>
      <c r="T90" s="24"/>
      <c r="U90" s="24"/>
      <c r="V90" s="24"/>
      <c r="W90" s="24"/>
      <c r="X90" s="24"/>
      <c r="Y90" s="24"/>
      <c r="Z90" s="24"/>
      <c r="AA90" s="24"/>
      <c r="AB90" s="24"/>
      <c r="AC90" s="24"/>
      <c r="AD90" s="24"/>
    </row>
    <row r="91" spans="1:30" ht="15" hidden="1" x14ac:dyDescent="0.25">
      <c r="A91" s="208"/>
      <c r="B91" s="258" t="s">
        <v>96</v>
      </c>
      <c r="C91" s="83" t="s">
        <v>364</v>
      </c>
      <c r="D91" s="39" t="s">
        <v>21</v>
      </c>
      <c r="E91" s="267" t="e">
        <f>+'Presupuesto Obra_MATA'!#REF!</f>
        <v>#REF!</v>
      </c>
      <c r="F91" s="272" t="s">
        <v>122</v>
      </c>
      <c r="G91" s="80"/>
      <c r="H91" s="80"/>
      <c r="I91" s="80"/>
      <c r="J91" s="80"/>
      <c r="K91" s="80"/>
      <c r="L91" s="80"/>
      <c r="M91" s="80"/>
      <c r="N91" s="80"/>
      <c r="O91" s="80"/>
      <c r="P91" s="80"/>
      <c r="Q91" s="80"/>
      <c r="R91" s="80"/>
      <c r="S91" s="80"/>
      <c r="T91" s="80"/>
      <c r="U91" s="80"/>
      <c r="V91" s="80"/>
      <c r="W91" s="80"/>
      <c r="X91" s="80"/>
      <c r="Y91" s="80"/>
      <c r="Z91" s="80"/>
      <c r="AA91" s="80"/>
      <c r="AB91" s="80"/>
      <c r="AC91" s="80"/>
      <c r="AD91" s="80"/>
    </row>
    <row r="92" spans="1:30" s="122" customFormat="1" ht="15" hidden="1" x14ac:dyDescent="0.25">
      <c r="A92" s="208"/>
      <c r="B92" s="258"/>
      <c r="C92" s="83"/>
      <c r="D92" s="39"/>
      <c r="E92" s="267"/>
      <c r="F92" s="43" t="s">
        <v>123</v>
      </c>
      <c r="G92" s="24"/>
      <c r="H92" s="24"/>
      <c r="I92" s="24"/>
      <c r="J92" s="24"/>
      <c r="K92" s="24"/>
      <c r="L92" s="24"/>
      <c r="M92" s="24"/>
      <c r="N92" s="24"/>
      <c r="O92" s="24"/>
      <c r="P92" s="24"/>
      <c r="Q92" s="24"/>
      <c r="R92" s="24"/>
      <c r="S92" s="24"/>
      <c r="T92" s="24"/>
      <c r="U92" s="24"/>
      <c r="V92" s="24"/>
      <c r="W92" s="24"/>
      <c r="X92" s="24"/>
      <c r="Y92" s="24"/>
      <c r="Z92" s="24"/>
      <c r="AA92" s="24"/>
      <c r="AB92" s="24"/>
      <c r="AC92" s="24"/>
      <c r="AD92" s="24"/>
    </row>
    <row r="93" spans="1:30" ht="15" hidden="1" x14ac:dyDescent="0.25">
      <c r="A93" s="208"/>
      <c r="B93" s="258" t="s">
        <v>96</v>
      </c>
      <c r="C93" s="83" t="s">
        <v>373</v>
      </c>
      <c r="D93" s="39" t="s">
        <v>21</v>
      </c>
      <c r="E93" s="267" t="e">
        <f>+'Presupuesto Obra_MATA'!#REF!</f>
        <v>#REF!</v>
      </c>
      <c r="F93" s="272" t="s">
        <v>122</v>
      </c>
      <c r="G93" s="80"/>
      <c r="H93" s="80"/>
      <c r="I93" s="80"/>
      <c r="J93" s="80"/>
      <c r="K93" s="80"/>
      <c r="L93" s="80"/>
      <c r="M93" s="80"/>
      <c r="N93" s="80"/>
      <c r="O93" s="80"/>
      <c r="P93" s="80"/>
      <c r="Q93" s="80"/>
      <c r="R93" s="80"/>
      <c r="S93" s="80"/>
      <c r="T93" s="80"/>
      <c r="U93" s="80"/>
      <c r="V93" s="80"/>
      <c r="W93" s="80"/>
      <c r="X93" s="80"/>
      <c r="Y93" s="80"/>
      <c r="Z93" s="80"/>
      <c r="AA93" s="80"/>
      <c r="AB93" s="80"/>
      <c r="AC93" s="80"/>
      <c r="AD93" s="80"/>
    </row>
    <row r="94" spans="1:30" s="122" customFormat="1" ht="15" hidden="1" x14ac:dyDescent="0.25">
      <c r="A94" s="208"/>
      <c r="B94" s="258"/>
      <c r="C94" s="83"/>
      <c r="D94" s="39"/>
      <c r="E94" s="267"/>
      <c r="F94" s="43" t="s">
        <v>123</v>
      </c>
      <c r="G94" s="24"/>
      <c r="H94" s="24"/>
      <c r="I94" s="24"/>
      <c r="J94" s="24"/>
      <c r="K94" s="24"/>
      <c r="L94" s="24"/>
      <c r="M94" s="24"/>
      <c r="N94" s="24"/>
      <c r="O94" s="24"/>
      <c r="P94" s="24"/>
      <c r="Q94" s="24"/>
      <c r="R94" s="24"/>
      <c r="S94" s="24"/>
      <c r="T94" s="24"/>
      <c r="U94" s="24"/>
      <c r="V94" s="24"/>
      <c r="W94" s="24"/>
      <c r="X94" s="24"/>
      <c r="Y94" s="24"/>
      <c r="Z94" s="24"/>
      <c r="AA94" s="24"/>
      <c r="AB94" s="24"/>
      <c r="AC94" s="24"/>
      <c r="AD94" s="24"/>
    </row>
    <row r="95" spans="1:30" ht="15" hidden="1" x14ac:dyDescent="0.25">
      <c r="A95" s="208"/>
      <c r="B95" s="258" t="s">
        <v>96</v>
      </c>
      <c r="C95" s="83" t="s">
        <v>365</v>
      </c>
      <c r="D95" s="39" t="s">
        <v>21</v>
      </c>
      <c r="E95" s="267" t="e">
        <f>+'Presupuesto Obra_MATA'!#REF!</f>
        <v>#REF!</v>
      </c>
      <c r="F95" s="272" t="s">
        <v>122</v>
      </c>
      <c r="G95" s="80"/>
      <c r="H95" s="80"/>
      <c r="I95" s="80"/>
      <c r="J95" s="80"/>
      <c r="K95" s="80"/>
      <c r="L95" s="80"/>
      <c r="M95" s="80"/>
      <c r="N95" s="80"/>
      <c r="O95" s="80"/>
      <c r="P95" s="80"/>
      <c r="Q95" s="80"/>
      <c r="R95" s="80"/>
      <c r="S95" s="80"/>
      <c r="T95" s="80"/>
      <c r="U95" s="80"/>
      <c r="V95" s="80"/>
      <c r="W95" s="80"/>
      <c r="X95" s="80"/>
      <c r="Y95" s="80"/>
      <c r="Z95" s="80"/>
      <c r="AA95" s="80"/>
      <c r="AB95" s="80"/>
      <c r="AC95" s="80"/>
      <c r="AD95" s="80"/>
    </row>
    <row r="96" spans="1:30" s="122" customFormat="1" ht="15" hidden="1" x14ac:dyDescent="0.25">
      <c r="A96" s="208"/>
      <c r="B96" s="258"/>
      <c r="C96" s="83"/>
      <c r="D96" s="39"/>
      <c r="E96" s="267"/>
      <c r="F96" s="43" t="s">
        <v>123</v>
      </c>
      <c r="G96" s="24"/>
      <c r="H96" s="24"/>
      <c r="I96" s="24"/>
      <c r="J96" s="24"/>
      <c r="K96" s="24"/>
      <c r="L96" s="24"/>
      <c r="M96" s="24"/>
      <c r="N96" s="24"/>
      <c r="O96" s="24"/>
      <c r="P96" s="24"/>
      <c r="Q96" s="24"/>
      <c r="R96" s="24"/>
      <c r="S96" s="24"/>
      <c r="T96" s="24"/>
      <c r="U96" s="24"/>
      <c r="V96" s="24"/>
      <c r="W96" s="24"/>
      <c r="X96" s="24"/>
      <c r="Y96" s="24"/>
      <c r="Z96" s="24"/>
      <c r="AA96" s="24"/>
      <c r="AB96" s="24"/>
      <c r="AC96" s="24"/>
      <c r="AD96" s="24"/>
    </row>
    <row r="97" spans="1:30" ht="15" hidden="1" x14ac:dyDescent="0.25">
      <c r="A97" s="208"/>
      <c r="B97" s="258" t="s">
        <v>96</v>
      </c>
      <c r="C97" s="83" t="s">
        <v>374</v>
      </c>
      <c r="D97" s="39" t="s">
        <v>21</v>
      </c>
      <c r="E97" s="267" t="e">
        <f>+'Presupuesto Obra_MATA'!#REF!</f>
        <v>#REF!</v>
      </c>
      <c r="F97" s="272" t="s">
        <v>122</v>
      </c>
      <c r="G97" s="80"/>
      <c r="H97" s="80"/>
      <c r="I97" s="80"/>
      <c r="J97" s="80"/>
      <c r="K97" s="80"/>
      <c r="L97" s="80"/>
      <c r="M97" s="80"/>
      <c r="N97" s="80"/>
      <c r="O97" s="80"/>
      <c r="P97" s="80"/>
      <c r="Q97" s="80"/>
      <c r="R97" s="80"/>
      <c r="S97" s="80"/>
      <c r="T97" s="80"/>
      <c r="U97" s="80"/>
      <c r="V97" s="80"/>
      <c r="W97" s="80"/>
      <c r="X97" s="80"/>
      <c r="Y97" s="80"/>
      <c r="Z97" s="80"/>
      <c r="AA97" s="80"/>
      <c r="AB97" s="80"/>
      <c r="AC97" s="80"/>
      <c r="AD97" s="80"/>
    </row>
    <row r="98" spans="1:30" s="122" customFormat="1" ht="15" hidden="1" x14ac:dyDescent="0.25">
      <c r="A98" s="208"/>
      <c r="B98" s="258"/>
      <c r="C98" s="83"/>
      <c r="D98" s="39"/>
      <c r="E98" s="267"/>
      <c r="F98" s="43" t="s">
        <v>123</v>
      </c>
      <c r="G98" s="24"/>
      <c r="H98" s="24"/>
      <c r="I98" s="24"/>
      <c r="J98" s="24"/>
      <c r="K98" s="24"/>
      <c r="L98" s="24"/>
      <c r="M98" s="24"/>
      <c r="N98" s="24"/>
      <c r="O98" s="24"/>
      <c r="P98" s="24"/>
      <c r="Q98" s="24"/>
      <c r="R98" s="24"/>
      <c r="S98" s="24"/>
      <c r="T98" s="24"/>
      <c r="U98" s="24"/>
      <c r="V98" s="24"/>
      <c r="W98" s="24"/>
      <c r="X98" s="24"/>
      <c r="Y98" s="24"/>
      <c r="Z98" s="24"/>
      <c r="AA98" s="24"/>
      <c r="AB98" s="24"/>
      <c r="AC98" s="24"/>
      <c r="AD98" s="24"/>
    </row>
    <row r="99" spans="1:30" ht="15" hidden="1" x14ac:dyDescent="0.25">
      <c r="A99" s="208"/>
      <c r="B99" s="258" t="s">
        <v>96</v>
      </c>
      <c r="C99" s="83" t="s">
        <v>366</v>
      </c>
      <c r="D99" s="39" t="s">
        <v>21</v>
      </c>
      <c r="E99" s="267" t="e">
        <f>+'Presupuesto Obra_MATA'!#REF!</f>
        <v>#REF!</v>
      </c>
      <c r="F99" s="272" t="s">
        <v>122</v>
      </c>
      <c r="G99" s="80"/>
      <c r="H99" s="80"/>
      <c r="I99" s="80"/>
      <c r="J99" s="80"/>
      <c r="K99" s="80"/>
      <c r="L99" s="80"/>
      <c r="M99" s="80"/>
      <c r="N99" s="80"/>
      <c r="O99" s="80"/>
      <c r="P99" s="80"/>
      <c r="Q99" s="80"/>
      <c r="R99" s="80"/>
      <c r="S99" s="80"/>
      <c r="T99" s="80"/>
      <c r="U99" s="80"/>
      <c r="V99" s="80"/>
      <c r="W99" s="80"/>
      <c r="X99" s="80"/>
      <c r="Y99" s="80"/>
      <c r="Z99" s="80"/>
      <c r="AA99" s="80"/>
      <c r="AB99" s="80"/>
      <c r="AC99" s="80"/>
      <c r="AD99" s="80"/>
    </row>
    <row r="100" spans="1:30" s="122" customFormat="1" ht="15" hidden="1" x14ac:dyDescent="0.25">
      <c r="A100" s="208"/>
      <c r="B100" s="258"/>
      <c r="C100" s="83"/>
      <c r="D100" s="39"/>
      <c r="E100" s="267"/>
      <c r="F100" s="43" t="s">
        <v>123</v>
      </c>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row>
    <row r="101" spans="1:30" ht="15" hidden="1" x14ac:dyDescent="0.25">
      <c r="A101" s="208"/>
      <c r="B101" s="258" t="s">
        <v>96</v>
      </c>
      <c r="C101" s="83" t="s">
        <v>368</v>
      </c>
      <c r="D101" s="39" t="s">
        <v>21</v>
      </c>
      <c r="E101" s="267" t="e">
        <f>+'Presupuesto Obra_MATA'!#REF!</f>
        <v>#REF!</v>
      </c>
      <c r="F101" s="272" t="s">
        <v>122</v>
      </c>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row>
    <row r="102" spans="1:30" s="122" customFormat="1" ht="15" x14ac:dyDescent="0.25">
      <c r="A102" s="208"/>
      <c r="B102" s="258"/>
      <c r="C102" s="83"/>
      <c r="D102" s="39"/>
      <c r="E102" s="267"/>
      <c r="F102" s="43" t="s">
        <v>123</v>
      </c>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row>
    <row r="103" spans="1:30" ht="21.75" customHeight="1" x14ac:dyDescent="0.25">
      <c r="A103" s="270"/>
      <c r="B103" s="276">
        <v>7</v>
      </c>
      <c r="C103" s="248" t="s">
        <v>68</v>
      </c>
      <c r="D103" s="207"/>
      <c r="E103" s="265"/>
      <c r="F103" s="254"/>
      <c r="G103" s="270"/>
      <c r="H103" s="270"/>
      <c r="I103" s="270"/>
      <c r="J103" s="270"/>
      <c r="K103" s="270"/>
      <c r="L103" s="270"/>
      <c r="M103" s="270"/>
      <c r="N103" s="270"/>
      <c r="O103" s="270"/>
      <c r="P103" s="270"/>
      <c r="Q103" s="270"/>
      <c r="R103" s="270"/>
      <c r="S103" s="270"/>
      <c r="T103" s="270"/>
      <c r="U103" s="270"/>
      <c r="V103" s="270"/>
      <c r="W103" s="270"/>
      <c r="X103" s="270"/>
      <c r="Y103" s="270"/>
      <c r="Z103" s="270"/>
      <c r="AA103" s="270"/>
      <c r="AB103" s="270"/>
      <c r="AC103" s="270"/>
      <c r="AD103" s="270"/>
    </row>
    <row r="104" spans="1:30" ht="15" customHeight="1" x14ac:dyDescent="0.25">
      <c r="A104" s="42">
        <v>414</v>
      </c>
      <c r="B104" s="341">
        <v>7.1</v>
      </c>
      <c r="C104" s="342" t="s">
        <v>69</v>
      </c>
      <c r="D104" s="343" t="s">
        <v>21</v>
      </c>
      <c r="E104" s="344" t="e">
        <f>+'Presupuesto Obra_MATA'!#REF!</f>
        <v>#REF!</v>
      </c>
      <c r="F104" s="272" t="s">
        <v>122</v>
      </c>
      <c r="G104" s="13"/>
      <c r="H104" s="13"/>
      <c r="I104" s="13"/>
      <c r="J104" s="13"/>
      <c r="K104" s="13"/>
      <c r="L104" s="13"/>
      <c r="M104" s="13"/>
      <c r="N104" s="13"/>
      <c r="O104" s="13"/>
      <c r="P104" s="13"/>
      <c r="Q104" s="13"/>
      <c r="R104" s="13"/>
      <c r="S104" s="13"/>
      <c r="T104" s="13"/>
      <c r="U104" s="13"/>
      <c r="V104" s="80"/>
      <c r="W104" s="80"/>
      <c r="X104" s="13"/>
      <c r="Y104" s="13"/>
      <c r="Z104" s="13"/>
      <c r="AA104" s="13"/>
      <c r="AB104" s="13"/>
      <c r="AC104" s="80"/>
      <c r="AD104" s="80"/>
    </row>
    <row r="105" spans="1:30" ht="15" customHeight="1" x14ac:dyDescent="0.25">
      <c r="A105" s="279"/>
      <c r="B105" s="39"/>
      <c r="C105" s="32"/>
      <c r="D105" s="39"/>
      <c r="E105" s="345"/>
      <c r="F105" s="272" t="s">
        <v>123</v>
      </c>
      <c r="G105" s="13"/>
      <c r="H105" s="13"/>
      <c r="I105" s="13"/>
      <c r="J105" s="13"/>
      <c r="K105" s="13"/>
      <c r="L105" s="13"/>
      <c r="M105" s="13"/>
      <c r="N105" s="13"/>
      <c r="O105" s="13"/>
      <c r="P105" s="13"/>
      <c r="Q105" s="13"/>
      <c r="R105" s="13"/>
      <c r="S105" s="13"/>
      <c r="T105" s="13"/>
      <c r="U105" s="13"/>
      <c r="V105" s="13"/>
      <c r="W105" s="29"/>
      <c r="X105" s="13"/>
      <c r="Y105" s="13"/>
      <c r="Z105" s="13"/>
      <c r="AA105" s="13"/>
      <c r="AB105" s="13"/>
      <c r="AC105" s="13"/>
      <c r="AD105" s="29"/>
    </row>
  </sheetData>
  <mergeCells count="12">
    <mergeCell ref="D6:D7"/>
    <mergeCell ref="F6:W6"/>
    <mergeCell ref="E6:E7"/>
    <mergeCell ref="D2:N2"/>
    <mergeCell ref="D1:N1"/>
    <mergeCell ref="D4:N4"/>
    <mergeCell ref="C3:R3"/>
    <mergeCell ref="A24:A26"/>
    <mergeCell ref="A29:A31"/>
    <mergeCell ref="C6:C7"/>
    <mergeCell ref="B6:B7"/>
    <mergeCell ref="A6:A7"/>
  </mergeCells>
  <phoneticPr fontId="23" type="noConversion"/>
  <printOptions horizontalCentered="1"/>
  <pageMargins left="0.23622047244094491" right="0.23622047244094491" top="0.47244094488188981" bottom="0.35433070866141736" header="0.31496062992125984" footer="0.31496062992125984"/>
  <pageSetup scale="40"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tabSelected="1" view="pageBreakPreview" topLeftCell="B62" zoomScale="85" zoomScaleNormal="90" zoomScaleSheetLayoutView="85" workbookViewId="0">
      <selection activeCell="A86" sqref="A86:F86"/>
    </sheetView>
  </sheetViews>
  <sheetFormatPr baseColWidth="10" defaultRowHeight="14.25" x14ac:dyDescent="0.2"/>
  <cols>
    <col min="1" max="1" width="14.5703125" style="122" hidden="1" customWidth="1"/>
    <col min="2" max="2" width="8" style="126" customWidth="1"/>
    <col min="3" max="3" width="46" style="122" customWidth="1"/>
    <col min="4" max="4" width="7.28515625" style="122" customWidth="1"/>
    <col min="5" max="5" width="17" style="289" customWidth="1"/>
    <col min="6" max="6" width="17.5703125" style="544" customWidth="1"/>
    <col min="7" max="7" width="23.140625" style="544" customWidth="1"/>
    <col min="8" max="8" width="14.42578125" style="122" bestFit="1" customWidth="1"/>
    <col min="9" max="16384" width="11.42578125" style="122"/>
  </cols>
  <sheetData>
    <row r="1" spans="1:8" ht="40.5" customHeight="1" thickBot="1" x14ac:dyDescent="0.25">
      <c r="A1" s="566"/>
      <c r="B1" s="610"/>
      <c r="C1" s="747" t="s">
        <v>560</v>
      </c>
      <c r="D1" s="747"/>
      <c r="E1" s="747"/>
      <c r="F1" s="747"/>
      <c r="G1" s="747"/>
    </row>
    <row r="2" spans="1:8" s="542" customFormat="1" ht="16.5" thickBot="1" x14ac:dyDescent="0.25">
      <c r="A2" s="567"/>
      <c r="B2" s="611"/>
      <c r="C2" s="611"/>
      <c r="D2" s="611"/>
      <c r="E2" s="611"/>
      <c r="F2" s="611"/>
      <c r="G2" s="612"/>
    </row>
    <row r="3" spans="1:8" s="542" customFormat="1" ht="30" customHeight="1" thickBot="1" x14ac:dyDescent="0.25">
      <c r="A3" s="568"/>
      <c r="B3" s="561"/>
      <c r="C3" s="561"/>
      <c r="D3" s="561" t="s">
        <v>613</v>
      </c>
      <c r="E3" s="561"/>
      <c r="F3" s="561"/>
      <c r="G3" s="561"/>
    </row>
    <row r="4" spans="1:8" ht="14.25" customHeight="1" thickBot="1" x14ac:dyDescent="0.25">
      <c r="A4" s="569"/>
      <c r="B4" s="613"/>
      <c r="C4" s="613"/>
      <c r="D4" s="613"/>
      <c r="E4" s="613"/>
      <c r="F4" s="613"/>
      <c r="G4" s="613"/>
    </row>
    <row r="5" spans="1:8" ht="16.5" thickBot="1" x14ac:dyDescent="0.25">
      <c r="A5" s="570"/>
      <c r="B5" s="614"/>
      <c r="C5" s="614" t="s">
        <v>314</v>
      </c>
      <c r="D5" s="614"/>
      <c r="E5" s="614"/>
      <c r="F5" s="614"/>
      <c r="G5" s="614"/>
    </row>
    <row r="6" spans="1:8" ht="14.25" customHeight="1" thickBot="1" x14ac:dyDescent="0.25">
      <c r="A6" s="571"/>
      <c r="B6" s="615"/>
      <c r="C6" s="615"/>
      <c r="D6" s="615"/>
      <c r="E6" s="615"/>
      <c r="F6" s="615"/>
      <c r="G6" s="615"/>
    </row>
    <row r="7" spans="1:8" ht="39.75" customHeight="1" thickBot="1" x14ac:dyDescent="0.25">
      <c r="A7" s="572" t="s">
        <v>8</v>
      </c>
      <c r="B7" s="554" t="s">
        <v>9</v>
      </c>
      <c r="C7" s="555" t="s">
        <v>390</v>
      </c>
      <c r="D7" s="555" t="s">
        <v>11</v>
      </c>
      <c r="E7" s="556" t="s">
        <v>12</v>
      </c>
      <c r="F7" s="555" t="s">
        <v>614</v>
      </c>
      <c r="G7" s="560" t="s">
        <v>14</v>
      </c>
    </row>
    <row r="8" spans="1:8" ht="15" x14ac:dyDescent="0.2">
      <c r="A8" s="573"/>
      <c r="B8" s="616">
        <v>1</v>
      </c>
      <c r="C8" s="617" t="s">
        <v>428</v>
      </c>
      <c r="D8" s="618"/>
      <c r="E8" s="619"/>
      <c r="F8" s="574"/>
      <c r="G8" s="575"/>
    </row>
    <row r="9" spans="1:8" ht="27.75" customHeight="1" x14ac:dyDescent="0.2">
      <c r="A9" s="576">
        <v>105</v>
      </c>
      <c r="B9" s="620">
        <v>1.1000000000000001</v>
      </c>
      <c r="C9" s="621" t="s">
        <v>461</v>
      </c>
      <c r="D9" s="622" t="s">
        <v>21</v>
      </c>
      <c r="E9" s="623">
        <v>29</v>
      </c>
      <c r="F9" s="577"/>
      <c r="G9" s="578"/>
      <c r="H9" s="562"/>
    </row>
    <row r="10" spans="1:8" s="542" customFormat="1" x14ac:dyDescent="0.2">
      <c r="A10" s="579"/>
      <c r="B10" s="620"/>
      <c r="C10" s="621"/>
      <c r="D10" s="622"/>
      <c r="E10" s="623"/>
      <c r="F10" s="577"/>
      <c r="G10" s="578"/>
    </row>
    <row r="11" spans="1:8" ht="15" x14ac:dyDescent="0.2">
      <c r="A11" s="573"/>
      <c r="B11" s="616">
        <v>2</v>
      </c>
      <c r="C11" s="617" t="s">
        <v>23</v>
      </c>
      <c r="D11" s="618"/>
      <c r="E11" s="619">
        <v>0</v>
      </c>
      <c r="F11" s="574"/>
      <c r="G11" s="575"/>
    </row>
    <row r="12" spans="1:8" ht="15" x14ac:dyDescent="0.2">
      <c r="A12" s="576"/>
      <c r="B12" s="624">
        <v>2.1</v>
      </c>
      <c r="C12" s="625" t="s">
        <v>86</v>
      </c>
      <c r="D12" s="622"/>
      <c r="E12" s="626">
        <v>8701.43</v>
      </c>
      <c r="F12" s="577"/>
      <c r="G12" s="580"/>
    </row>
    <row r="13" spans="1:8" ht="20.25" customHeight="1" x14ac:dyDescent="0.2">
      <c r="A13" s="745">
        <v>202</v>
      </c>
      <c r="B13" s="620" t="s">
        <v>422</v>
      </c>
      <c r="C13" s="627" t="s">
        <v>92</v>
      </c>
      <c r="D13" s="622" t="s">
        <v>22</v>
      </c>
      <c r="E13" s="628">
        <v>8542.5499999999993</v>
      </c>
      <c r="F13" s="577"/>
      <c r="G13" s="578"/>
    </row>
    <row r="14" spans="1:8" x14ac:dyDescent="0.2">
      <c r="A14" s="746"/>
      <c r="B14" s="629" t="s">
        <v>460</v>
      </c>
      <c r="C14" s="627" t="s">
        <v>91</v>
      </c>
      <c r="D14" s="622" t="s">
        <v>22</v>
      </c>
      <c r="E14" s="628">
        <v>185</v>
      </c>
      <c r="F14" s="577"/>
      <c r="G14" s="578"/>
    </row>
    <row r="15" spans="1:8" ht="15" customHeight="1" x14ac:dyDescent="0.2">
      <c r="A15" s="581"/>
      <c r="B15" s="624">
        <v>2.2000000000000002</v>
      </c>
      <c r="C15" s="625" t="s">
        <v>26</v>
      </c>
      <c r="D15" s="622"/>
      <c r="E15" s="626">
        <v>0</v>
      </c>
      <c r="F15" s="577"/>
      <c r="G15" s="580"/>
    </row>
    <row r="16" spans="1:8" ht="56.25" customHeight="1" x14ac:dyDescent="0.2">
      <c r="A16" s="743">
        <v>201</v>
      </c>
      <c r="B16" s="620" t="s">
        <v>416</v>
      </c>
      <c r="C16" s="621" t="s">
        <v>609</v>
      </c>
      <c r="D16" s="622" t="s">
        <v>29</v>
      </c>
      <c r="E16" s="628">
        <v>7894</v>
      </c>
      <c r="F16" s="577"/>
      <c r="G16" s="578"/>
    </row>
    <row r="17" spans="1:7" ht="30" customHeight="1" x14ac:dyDescent="0.2">
      <c r="A17" s="744"/>
      <c r="B17" s="620" t="s">
        <v>417</v>
      </c>
      <c r="C17" s="621" t="s">
        <v>610</v>
      </c>
      <c r="D17" s="622" t="s">
        <v>29</v>
      </c>
      <c r="E17" s="628">
        <v>856.16</v>
      </c>
      <c r="F17" s="577"/>
      <c r="G17" s="578"/>
    </row>
    <row r="18" spans="1:7" ht="15" customHeight="1" x14ac:dyDescent="0.2">
      <c r="A18" s="581"/>
      <c r="B18" s="624">
        <v>2.2999999999999998</v>
      </c>
      <c r="C18" s="625" t="s">
        <v>33</v>
      </c>
      <c r="D18" s="622"/>
      <c r="E18" s="626">
        <v>0</v>
      </c>
      <c r="F18" s="577"/>
      <c r="G18" s="580"/>
    </row>
    <row r="19" spans="1:7" ht="57" x14ac:dyDescent="0.2">
      <c r="A19" s="731">
        <v>204</v>
      </c>
      <c r="B19" s="620" t="s">
        <v>418</v>
      </c>
      <c r="C19" s="621" t="s">
        <v>602</v>
      </c>
      <c r="D19" s="622" t="s">
        <v>29</v>
      </c>
      <c r="E19" s="623">
        <v>1728.95</v>
      </c>
      <c r="F19" s="577"/>
      <c r="G19" s="578"/>
    </row>
    <row r="20" spans="1:7" ht="42.75" x14ac:dyDescent="0.2">
      <c r="A20" s="732"/>
      <c r="B20" s="620" t="s">
        <v>419</v>
      </c>
      <c r="C20" s="621" t="s">
        <v>603</v>
      </c>
      <c r="D20" s="622" t="s">
        <v>29</v>
      </c>
      <c r="E20" s="630">
        <v>6051.36</v>
      </c>
      <c r="F20" s="577"/>
      <c r="G20" s="578"/>
    </row>
    <row r="21" spans="1:7" ht="27" customHeight="1" x14ac:dyDescent="0.2">
      <c r="A21" s="582">
        <v>404</v>
      </c>
      <c r="B21" s="620" t="s">
        <v>420</v>
      </c>
      <c r="C21" s="631" t="s">
        <v>604</v>
      </c>
      <c r="D21" s="622" t="s">
        <v>29</v>
      </c>
      <c r="E21" s="623">
        <v>864.48</v>
      </c>
      <c r="F21" s="577"/>
      <c r="G21" s="578"/>
    </row>
    <row r="22" spans="1:7" ht="15" x14ac:dyDescent="0.2">
      <c r="A22" s="581"/>
      <c r="B22" s="624">
        <v>2.4</v>
      </c>
      <c r="C22" s="625" t="s">
        <v>429</v>
      </c>
      <c r="D22" s="622"/>
      <c r="E22" s="632">
        <v>0</v>
      </c>
      <c r="F22" s="577"/>
      <c r="G22" s="580"/>
    </row>
    <row r="23" spans="1:7" ht="42.75" x14ac:dyDescent="0.2">
      <c r="A23" s="576">
        <v>205</v>
      </c>
      <c r="B23" s="620" t="s">
        <v>421</v>
      </c>
      <c r="C23" s="633" t="s">
        <v>611</v>
      </c>
      <c r="D23" s="622" t="s">
        <v>29</v>
      </c>
      <c r="E23" s="623">
        <v>7100</v>
      </c>
      <c r="F23" s="577"/>
      <c r="G23" s="578"/>
    </row>
    <row r="24" spans="1:7" s="542" customFormat="1" x14ac:dyDescent="0.2">
      <c r="A24" s="583"/>
      <c r="B24" s="620"/>
      <c r="C24" s="633"/>
      <c r="D24" s="622"/>
      <c r="E24" s="623"/>
      <c r="F24" s="577"/>
      <c r="G24" s="578"/>
    </row>
    <row r="25" spans="1:7" ht="15" x14ac:dyDescent="0.2">
      <c r="A25" s="584"/>
      <c r="B25" s="616">
        <v>3</v>
      </c>
      <c r="C25" s="634" t="s">
        <v>51</v>
      </c>
      <c r="D25" s="618"/>
      <c r="E25" s="619">
        <v>0</v>
      </c>
      <c r="F25" s="574"/>
      <c r="G25" s="575"/>
    </row>
    <row r="26" spans="1:7" x14ac:dyDescent="0.2">
      <c r="A26" s="576" t="s">
        <v>167</v>
      </c>
      <c r="B26" s="620">
        <v>3.1</v>
      </c>
      <c r="C26" s="621" t="s">
        <v>52</v>
      </c>
      <c r="D26" s="622" t="s">
        <v>21</v>
      </c>
      <c r="E26" s="623">
        <v>21</v>
      </c>
      <c r="F26" s="577"/>
      <c r="G26" s="578"/>
    </row>
    <row r="27" spans="1:7" ht="42.75" x14ac:dyDescent="0.2">
      <c r="A27" s="576" t="s">
        <v>167</v>
      </c>
      <c r="B27" s="620">
        <v>3.2</v>
      </c>
      <c r="C27" s="621" t="s">
        <v>462</v>
      </c>
      <c r="D27" s="622" t="s">
        <v>21</v>
      </c>
      <c r="E27" s="623">
        <v>51</v>
      </c>
      <c r="F27" s="577"/>
      <c r="G27" s="578"/>
    </row>
    <row r="28" spans="1:7" ht="42" customHeight="1" x14ac:dyDescent="0.2">
      <c r="A28" s="576" t="s">
        <v>167</v>
      </c>
      <c r="B28" s="620">
        <v>3.3</v>
      </c>
      <c r="C28" s="621" t="s">
        <v>557</v>
      </c>
      <c r="D28" s="622" t="s">
        <v>21</v>
      </c>
      <c r="E28" s="623">
        <v>1</v>
      </c>
      <c r="F28" s="577"/>
      <c r="G28" s="578"/>
    </row>
    <row r="29" spans="1:7" ht="42" customHeight="1" x14ac:dyDescent="0.2">
      <c r="A29" s="585" t="s">
        <v>563</v>
      </c>
      <c r="B29" s="620">
        <v>3.4</v>
      </c>
      <c r="C29" s="621" t="s">
        <v>463</v>
      </c>
      <c r="D29" s="622" t="s">
        <v>21</v>
      </c>
      <c r="E29" s="623">
        <v>32</v>
      </c>
      <c r="F29" s="577"/>
      <c r="G29" s="578"/>
    </row>
    <row r="30" spans="1:7" ht="42" customHeight="1" x14ac:dyDescent="0.2">
      <c r="A30" s="585" t="s">
        <v>563</v>
      </c>
      <c r="B30" s="620">
        <v>3.5</v>
      </c>
      <c r="C30" s="621" t="s">
        <v>558</v>
      </c>
      <c r="D30" s="622" t="s">
        <v>21</v>
      </c>
      <c r="E30" s="623">
        <v>1</v>
      </c>
      <c r="F30" s="577"/>
      <c r="G30" s="578"/>
    </row>
    <row r="31" spans="1:7" ht="42" customHeight="1" x14ac:dyDescent="0.2">
      <c r="A31" s="585" t="s">
        <v>564</v>
      </c>
      <c r="B31" s="620">
        <v>3.6</v>
      </c>
      <c r="C31" s="621" t="s">
        <v>464</v>
      </c>
      <c r="D31" s="622" t="s">
        <v>19</v>
      </c>
      <c r="E31" s="623">
        <v>44.95</v>
      </c>
      <c r="F31" s="577"/>
      <c r="G31" s="578"/>
    </row>
    <row r="32" spans="1:7" ht="42" customHeight="1" x14ac:dyDescent="0.2">
      <c r="A32" s="585" t="s">
        <v>564</v>
      </c>
      <c r="B32" s="620">
        <v>3.7</v>
      </c>
      <c r="C32" s="621" t="s">
        <v>556</v>
      </c>
      <c r="D32" s="622" t="s">
        <v>19</v>
      </c>
      <c r="E32" s="623">
        <v>1.73</v>
      </c>
      <c r="F32" s="577"/>
      <c r="G32" s="578"/>
    </row>
    <row r="33" spans="1:7" ht="42" customHeight="1" x14ac:dyDescent="0.2">
      <c r="A33" s="576" t="s">
        <v>565</v>
      </c>
      <c r="B33" s="620">
        <v>3.8</v>
      </c>
      <c r="C33" s="621" t="s">
        <v>53</v>
      </c>
      <c r="D33" s="622" t="s">
        <v>21</v>
      </c>
      <c r="E33" s="628">
        <v>208</v>
      </c>
      <c r="F33" s="577"/>
      <c r="G33" s="578"/>
    </row>
    <row r="34" spans="1:7" ht="42" customHeight="1" x14ac:dyDescent="0.2">
      <c r="A34" s="586">
        <v>809</v>
      </c>
      <c r="B34" s="620">
        <v>3.9</v>
      </c>
      <c r="C34" s="621" t="s">
        <v>607</v>
      </c>
      <c r="D34" s="622" t="s">
        <v>21</v>
      </c>
      <c r="E34" s="628">
        <v>19</v>
      </c>
      <c r="F34" s="577"/>
      <c r="G34" s="578"/>
    </row>
    <row r="35" spans="1:7" ht="42" customHeight="1" x14ac:dyDescent="0.2">
      <c r="A35" s="576" t="s">
        <v>567</v>
      </c>
      <c r="B35" s="635">
        <v>3.1</v>
      </c>
      <c r="C35" s="636" t="s">
        <v>599</v>
      </c>
      <c r="D35" s="637" t="s">
        <v>19</v>
      </c>
      <c r="E35" s="628">
        <v>111</v>
      </c>
      <c r="F35" s="577"/>
      <c r="G35" s="578"/>
    </row>
    <row r="36" spans="1:7" ht="42" customHeight="1" x14ac:dyDescent="0.2">
      <c r="A36" s="576" t="s">
        <v>567</v>
      </c>
      <c r="B36" s="620">
        <v>3.11</v>
      </c>
      <c r="C36" s="636" t="s">
        <v>598</v>
      </c>
      <c r="D36" s="637" t="s">
        <v>21</v>
      </c>
      <c r="E36" s="628">
        <v>111</v>
      </c>
      <c r="F36" s="577"/>
      <c r="G36" s="578"/>
    </row>
    <row r="37" spans="1:7" ht="42" customHeight="1" x14ac:dyDescent="0.2">
      <c r="A37" s="576" t="s">
        <v>567</v>
      </c>
      <c r="B37" s="620">
        <v>3.12</v>
      </c>
      <c r="C37" s="636" t="s">
        <v>600</v>
      </c>
      <c r="D37" s="637" t="s">
        <v>19</v>
      </c>
      <c r="E37" s="628">
        <v>148</v>
      </c>
      <c r="F37" s="577"/>
      <c r="G37" s="578"/>
    </row>
    <row r="38" spans="1:7" ht="42" customHeight="1" x14ac:dyDescent="0.2">
      <c r="A38" s="576" t="s">
        <v>567</v>
      </c>
      <c r="B38" s="620">
        <v>3.13</v>
      </c>
      <c r="C38" s="636" t="s">
        <v>601</v>
      </c>
      <c r="D38" s="638" t="s">
        <v>21</v>
      </c>
      <c r="E38" s="628">
        <v>148</v>
      </c>
      <c r="F38" s="577"/>
      <c r="G38" s="578"/>
    </row>
    <row r="39" spans="1:7" s="542" customFormat="1" x14ac:dyDescent="0.2">
      <c r="A39" s="576"/>
      <c r="B39" s="620"/>
      <c r="C39" s="636"/>
      <c r="D39" s="638"/>
      <c r="E39" s="628"/>
      <c r="F39" s="577"/>
      <c r="G39" s="578"/>
    </row>
    <row r="40" spans="1:7" ht="30" x14ac:dyDescent="0.2">
      <c r="A40" s="587"/>
      <c r="B40" s="616">
        <v>4</v>
      </c>
      <c r="C40" s="634" t="s">
        <v>431</v>
      </c>
      <c r="D40" s="618"/>
      <c r="E40" s="619">
        <v>0</v>
      </c>
      <c r="F40" s="574"/>
      <c r="G40" s="575"/>
    </row>
    <row r="41" spans="1:7" ht="28.5" x14ac:dyDescent="0.2">
      <c r="A41" s="588" t="s">
        <v>568</v>
      </c>
      <c r="B41" s="620">
        <v>4.0999999999999996</v>
      </c>
      <c r="C41" s="621" t="s">
        <v>571</v>
      </c>
      <c r="D41" s="622" t="s">
        <v>19</v>
      </c>
      <c r="E41" s="628">
        <v>2222</v>
      </c>
      <c r="F41" s="589"/>
      <c r="G41" s="578"/>
    </row>
    <row r="42" spans="1:7" x14ac:dyDescent="0.2">
      <c r="A42" s="582" t="s">
        <v>569</v>
      </c>
      <c r="B42" s="620">
        <v>4.2</v>
      </c>
      <c r="C42" s="621" t="s">
        <v>572</v>
      </c>
      <c r="D42" s="622" t="s">
        <v>19</v>
      </c>
      <c r="E42" s="628">
        <v>2041.19</v>
      </c>
      <c r="F42" s="589"/>
      <c r="G42" s="578"/>
    </row>
    <row r="43" spans="1:7" x14ac:dyDescent="0.2">
      <c r="A43" s="582" t="s">
        <v>569</v>
      </c>
      <c r="B43" s="620">
        <v>4.3</v>
      </c>
      <c r="C43" s="621" t="s">
        <v>583</v>
      </c>
      <c r="D43" s="622" t="s">
        <v>19</v>
      </c>
      <c r="E43" s="628">
        <v>277</v>
      </c>
      <c r="F43" s="589"/>
      <c r="G43" s="578"/>
    </row>
    <row r="44" spans="1:7" x14ac:dyDescent="0.2">
      <c r="A44" s="582" t="s">
        <v>569</v>
      </c>
      <c r="B44" s="620">
        <v>4.4000000000000004</v>
      </c>
      <c r="C44" s="621" t="s">
        <v>584</v>
      </c>
      <c r="D44" s="622" t="s">
        <v>19</v>
      </c>
      <c r="E44" s="628">
        <v>146</v>
      </c>
      <c r="F44" s="589"/>
      <c r="G44" s="578"/>
    </row>
    <row r="45" spans="1:7" x14ac:dyDescent="0.2">
      <c r="A45" s="582" t="s">
        <v>569</v>
      </c>
      <c r="B45" s="620">
        <v>4.5</v>
      </c>
      <c r="C45" s="621" t="s">
        <v>585</v>
      </c>
      <c r="D45" s="622" t="s">
        <v>19</v>
      </c>
      <c r="E45" s="628">
        <v>174</v>
      </c>
      <c r="F45" s="589"/>
      <c r="G45" s="578"/>
    </row>
    <row r="46" spans="1:7" x14ac:dyDescent="0.2">
      <c r="A46" s="582" t="s">
        <v>569</v>
      </c>
      <c r="B46" s="620">
        <v>4.5999999999999996</v>
      </c>
      <c r="C46" s="621" t="s">
        <v>582</v>
      </c>
      <c r="D46" s="622" t="s">
        <v>19</v>
      </c>
      <c r="E46" s="628">
        <v>457</v>
      </c>
      <c r="F46" s="589"/>
      <c r="G46" s="578"/>
    </row>
    <row r="47" spans="1:7" x14ac:dyDescent="0.2">
      <c r="A47" s="582" t="s">
        <v>570</v>
      </c>
      <c r="B47" s="620">
        <v>4.7</v>
      </c>
      <c r="C47" s="621" t="s">
        <v>432</v>
      </c>
      <c r="D47" s="622" t="s">
        <v>21</v>
      </c>
      <c r="E47" s="628">
        <v>305</v>
      </c>
      <c r="F47" s="577"/>
      <c r="G47" s="578"/>
    </row>
    <row r="48" spans="1:7" ht="28.5" x14ac:dyDescent="0.2">
      <c r="A48" s="582" t="s">
        <v>570</v>
      </c>
      <c r="B48" s="620">
        <v>4.8</v>
      </c>
      <c r="C48" s="621" t="s">
        <v>433</v>
      </c>
      <c r="D48" s="622" t="s">
        <v>21</v>
      </c>
      <c r="E48" s="628">
        <v>25</v>
      </c>
      <c r="F48" s="577"/>
      <c r="G48" s="578"/>
    </row>
    <row r="49" spans="1:7" x14ac:dyDescent="0.2">
      <c r="A49" s="582" t="s">
        <v>570</v>
      </c>
      <c r="B49" s="620">
        <v>4.9000000000000004</v>
      </c>
      <c r="C49" s="636" t="s">
        <v>503</v>
      </c>
      <c r="D49" s="622" t="s">
        <v>21</v>
      </c>
      <c r="E49" s="628">
        <v>19</v>
      </c>
      <c r="F49" s="577"/>
      <c r="G49" s="578"/>
    </row>
    <row r="50" spans="1:7" x14ac:dyDescent="0.2">
      <c r="A50" s="582" t="s">
        <v>570</v>
      </c>
      <c r="B50" s="639" t="s">
        <v>301</v>
      </c>
      <c r="C50" s="636" t="s">
        <v>504</v>
      </c>
      <c r="D50" s="622" t="s">
        <v>21</v>
      </c>
      <c r="E50" s="628">
        <v>8</v>
      </c>
      <c r="F50" s="577"/>
      <c r="G50" s="578"/>
    </row>
    <row r="51" spans="1:7" x14ac:dyDescent="0.2">
      <c r="A51" s="582" t="s">
        <v>570</v>
      </c>
      <c r="B51" s="620">
        <v>4.1100000000000003</v>
      </c>
      <c r="C51" s="636" t="s">
        <v>505</v>
      </c>
      <c r="D51" s="622" t="s">
        <v>21</v>
      </c>
      <c r="E51" s="628">
        <v>13</v>
      </c>
      <c r="F51" s="577"/>
      <c r="G51" s="578"/>
    </row>
    <row r="52" spans="1:7" x14ac:dyDescent="0.2">
      <c r="A52" s="582" t="s">
        <v>570</v>
      </c>
      <c r="B52" s="620">
        <v>4.12</v>
      </c>
      <c r="C52" s="640" t="s">
        <v>467</v>
      </c>
      <c r="D52" s="622" t="s">
        <v>21</v>
      </c>
      <c r="E52" s="628">
        <v>962</v>
      </c>
      <c r="F52" s="577"/>
      <c r="G52" s="578"/>
    </row>
    <row r="53" spans="1:7" x14ac:dyDescent="0.2">
      <c r="A53" s="582" t="s">
        <v>570</v>
      </c>
      <c r="B53" s="620">
        <v>4.13</v>
      </c>
      <c r="C53" s="641" t="s">
        <v>574</v>
      </c>
      <c r="D53" s="642" t="s">
        <v>21</v>
      </c>
      <c r="E53" s="628">
        <v>296</v>
      </c>
      <c r="F53" s="577"/>
      <c r="G53" s="578"/>
    </row>
    <row r="54" spans="1:7" x14ac:dyDescent="0.2">
      <c r="A54" s="582" t="s">
        <v>570</v>
      </c>
      <c r="B54" s="620">
        <v>4.1399999999999997</v>
      </c>
      <c r="C54" s="641" t="s">
        <v>573</v>
      </c>
      <c r="D54" s="643" t="s">
        <v>21</v>
      </c>
      <c r="E54" s="628">
        <v>112</v>
      </c>
      <c r="F54" s="577"/>
      <c r="G54" s="578"/>
    </row>
    <row r="55" spans="1:7" ht="15" thickBot="1" x14ac:dyDescent="0.25">
      <c r="A55" s="590" t="s">
        <v>570</v>
      </c>
      <c r="B55" s="644">
        <v>4.1500000000000004</v>
      </c>
      <c r="C55" s="641" t="s">
        <v>575</v>
      </c>
      <c r="D55" s="643" t="s">
        <v>21</v>
      </c>
      <c r="E55" s="645">
        <v>112</v>
      </c>
      <c r="F55" s="591"/>
      <c r="G55" s="592"/>
    </row>
    <row r="56" spans="1:7" ht="15" customHeight="1" thickBot="1" x14ac:dyDescent="0.25">
      <c r="A56" s="748" t="s">
        <v>615</v>
      </c>
      <c r="B56" s="749"/>
      <c r="C56" s="749"/>
      <c r="D56" s="749"/>
      <c r="E56" s="749"/>
      <c r="F56" s="749"/>
      <c r="G56" s="593"/>
    </row>
    <row r="57" spans="1:7" s="557" customFormat="1" ht="6.75" customHeight="1" thickBot="1" x14ac:dyDescent="0.25">
      <c r="A57" s="558"/>
      <c r="B57" s="559"/>
      <c r="C57" s="559"/>
      <c r="D57" s="559"/>
      <c r="E57" s="559"/>
      <c r="F57" s="559"/>
      <c r="G57" s="594"/>
    </row>
    <row r="58" spans="1:7" ht="15" customHeight="1" x14ac:dyDescent="0.2">
      <c r="A58" s="750" t="s">
        <v>105</v>
      </c>
      <c r="B58" s="751"/>
      <c r="C58" s="751"/>
      <c r="D58" s="751"/>
      <c r="E58" s="751"/>
      <c r="F58" s="752"/>
      <c r="G58" s="595"/>
    </row>
    <row r="59" spans="1:7" s="542" customFormat="1" ht="15" customHeight="1" x14ac:dyDescent="0.2">
      <c r="A59" s="725" t="s">
        <v>612</v>
      </c>
      <c r="B59" s="726"/>
      <c r="C59" s="726"/>
      <c r="D59" s="726"/>
      <c r="E59" s="727"/>
      <c r="F59" s="646">
        <v>0.16</v>
      </c>
      <c r="G59" s="596"/>
    </row>
    <row r="60" spans="1:7" ht="15" customHeight="1" thickBot="1" x14ac:dyDescent="0.25">
      <c r="A60" s="728" t="s">
        <v>341</v>
      </c>
      <c r="B60" s="729"/>
      <c r="C60" s="729"/>
      <c r="D60" s="729"/>
      <c r="E60" s="729"/>
      <c r="F60" s="730"/>
      <c r="G60" s="597"/>
    </row>
    <row r="61" spans="1:7" x14ac:dyDescent="0.2">
      <c r="A61" s="647"/>
      <c r="B61" s="648"/>
      <c r="C61" s="647"/>
      <c r="D61" s="647"/>
      <c r="E61" s="649"/>
      <c r="F61" s="650"/>
      <c r="G61" s="599"/>
    </row>
    <row r="62" spans="1:7" ht="15" thickBot="1" x14ac:dyDescent="0.25">
      <c r="A62" s="651"/>
      <c r="B62" s="647"/>
      <c r="C62" s="647"/>
      <c r="D62" s="647"/>
      <c r="E62" s="647"/>
      <c r="F62" s="647"/>
      <c r="G62" s="598"/>
    </row>
    <row r="63" spans="1:7" ht="15.75" customHeight="1" thickBot="1" x14ac:dyDescent="0.25">
      <c r="A63" s="563"/>
      <c r="B63" s="564"/>
      <c r="C63" s="564" t="s">
        <v>617</v>
      </c>
      <c r="D63" s="564"/>
      <c r="E63" s="564"/>
      <c r="F63" s="564"/>
      <c r="G63" s="564"/>
    </row>
    <row r="64" spans="1:7" ht="14.25" customHeight="1" thickBot="1" x14ac:dyDescent="0.25">
      <c r="A64" s="600"/>
      <c r="B64" s="652"/>
      <c r="C64" s="653"/>
      <c r="D64" s="653"/>
      <c r="E64" s="653"/>
      <c r="F64" s="653"/>
      <c r="G64" s="653"/>
    </row>
    <row r="65" spans="1:8" ht="42" customHeight="1" thickBot="1" x14ac:dyDescent="0.25">
      <c r="A65" s="601" t="s">
        <v>8</v>
      </c>
      <c r="B65" s="654" t="s">
        <v>9</v>
      </c>
      <c r="C65" s="655" t="s">
        <v>10</v>
      </c>
      <c r="D65" s="655" t="s">
        <v>11</v>
      </c>
      <c r="E65" s="655" t="s">
        <v>12</v>
      </c>
      <c r="F65" s="656" t="s">
        <v>13</v>
      </c>
      <c r="G65" s="657" t="s">
        <v>14</v>
      </c>
    </row>
    <row r="66" spans="1:8" ht="15" x14ac:dyDescent="0.2">
      <c r="A66" s="602"/>
      <c r="B66" s="616">
        <v>1</v>
      </c>
      <c r="C66" s="617" t="s">
        <v>55</v>
      </c>
      <c r="D66" s="618"/>
      <c r="E66" s="619"/>
      <c r="F66" s="574"/>
      <c r="G66" s="575"/>
    </row>
    <row r="67" spans="1:8" ht="28.5" x14ac:dyDescent="0.2">
      <c r="A67" s="588" t="s">
        <v>568</v>
      </c>
      <c r="B67" s="620">
        <v>1.1000000000000001</v>
      </c>
      <c r="C67" s="621" t="s">
        <v>586</v>
      </c>
      <c r="D67" s="658" t="s">
        <v>19</v>
      </c>
      <c r="E67" s="659">
        <v>2222</v>
      </c>
      <c r="F67" s="577"/>
      <c r="G67" s="592"/>
    </row>
    <row r="68" spans="1:8" x14ac:dyDescent="0.2">
      <c r="A68" s="582" t="s">
        <v>569</v>
      </c>
      <c r="B68" s="620">
        <v>1.2</v>
      </c>
      <c r="C68" s="621" t="s">
        <v>587</v>
      </c>
      <c r="D68" s="658" t="s">
        <v>19</v>
      </c>
      <c r="E68" s="659">
        <v>2041.19</v>
      </c>
      <c r="F68" s="577"/>
      <c r="G68" s="592"/>
    </row>
    <row r="69" spans="1:8" x14ac:dyDescent="0.2">
      <c r="A69" s="582" t="s">
        <v>569</v>
      </c>
      <c r="B69" s="620">
        <v>1.3</v>
      </c>
      <c r="C69" s="621" t="s">
        <v>588</v>
      </c>
      <c r="D69" s="658" t="s">
        <v>19</v>
      </c>
      <c r="E69" s="659">
        <v>277</v>
      </c>
      <c r="F69" s="577"/>
      <c r="G69" s="592"/>
    </row>
    <row r="70" spans="1:8" x14ac:dyDescent="0.2">
      <c r="A70" s="582" t="s">
        <v>569</v>
      </c>
      <c r="B70" s="620">
        <v>1.4</v>
      </c>
      <c r="C70" s="621" t="s">
        <v>589</v>
      </c>
      <c r="D70" s="658" t="s">
        <v>19</v>
      </c>
      <c r="E70" s="659">
        <v>146</v>
      </c>
      <c r="F70" s="577"/>
      <c r="G70" s="592"/>
    </row>
    <row r="71" spans="1:8" x14ac:dyDescent="0.2">
      <c r="A71" s="582" t="s">
        <v>569</v>
      </c>
      <c r="B71" s="620">
        <v>1.5</v>
      </c>
      <c r="C71" s="621" t="s">
        <v>590</v>
      </c>
      <c r="D71" s="658" t="s">
        <v>19</v>
      </c>
      <c r="E71" s="659">
        <v>174</v>
      </c>
      <c r="F71" s="577"/>
      <c r="G71" s="592"/>
    </row>
    <row r="72" spans="1:8" x14ac:dyDescent="0.2">
      <c r="A72" s="582" t="s">
        <v>569</v>
      </c>
      <c r="B72" s="620">
        <v>1.6</v>
      </c>
      <c r="C72" s="621" t="s">
        <v>591</v>
      </c>
      <c r="D72" s="658" t="s">
        <v>19</v>
      </c>
      <c r="E72" s="659">
        <v>457</v>
      </c>
      <c r="F72" s="577"/>
      <c r="G72" s="592"/>
    </row>
    <row r="73" spans="1:8" x14ac:dyDescent="0.2">
      <c r="A73" s="582" t="s">
        <v>570</v>
      </c>
      <c r="B73" s="620">
        <v>1.7</v>
      </c>
      <c r="C73" s="621" t="s">
        <v>592</v>
      </c>
      <c r="D73" s="622" t="s">
        <v>21</v>
      </c>
      <c r="E73" s="659">
        <v>305</v>
      </c>
      <c r="F73" s="577"/>
      <c r="G73" s="592"/>
    </row>
    <row r="74" spans="1:8" x14ac:dyDescent="0.2">
      <c r="A74" s="582" t="s">
        <v>570</v>
      </c>
      <c r="B74" s="620">
        <v>1.8</v>
      </c>
      <c r="C74" s="621" t="s">
        <v>593</v>
      </c>
      <c r="D74" s="622" t="s">
        <v>21</v>
      </c>
      <c r="E74" s="659">
        <v>25</v>
      </c>
      <c r="F74" s="577"/>
      <c r="G74" s="592"/>
    </row>
    <row r="75" spans="1:8" x14ac:dyDescent="0.2">
      <c r="A75" s="582" t="s">
        <v>570</v>
      </c>
      <c r="B75" s="620">
        <v>1.9</v>
      </c>
      <c r="C75" s="621" t="s">
        <v>506</v>
      </c>
      <c r="D75" s="622" t="s">
        <v>21</v>
      </c>
      <c r="E75" s="659">
        <v>19</v>
      </c>
      <c r="F75" s="577"/>
      <c r="G75" s="592"/>
    </row>
    <row r="76" spans="1:8" x14ac:dyDescent="0.2">
      <c r="A76" s="582" t="s">
        <v>570</v>
      </c>
      <c r="B76" s="635">
        <v>1.1000000000000001</v>
      </c>
      <c r="C76" s="621" t="s">
        <v>507</v>
      </c>
      <c r="D76" s="622" t="s">
        <v>21</v>
      </c>
      <c r="E76" s="659">
        <v>8</v>
      </c>
      <c r="F76" s="577"/>
      <c r="G76" s="592"/>
    </row>
    <row r="77" spans="1:8" x14ac:dyDescent="0.2">
      <c r="A77" s="582" t="s">
        <v>570</v>
      </c>
      <c r="B77" s="620">
        <v>1.1100000000000001</v>
      </c>
      <c r="C77" s="621" t="s">
        <v>508</v>
      </c>
      <c r="D77" s="622" t="s">
        <v>21</v>
      </c>
      <c r="E77" s="659">
        <v>13</v>
      </c>
      <c r="F77" s="577"/>
      <c r="G77" s="592"/>
    </row>
    <row r="78" spans="1:8" x14ac:dyDescent="0.2">
      <c r="A78" s="582" t="s">
        <v>570</v>
      </c>
      <c r="B78" s="620">
        <v>1.1200000000000001</v>
      </c>
      <c r="C78" s="621" t="s">
        <v>467</v>
      </c>
      <c r="D78" s="622" t="s">
        <v>21</v>
      </c>
      <c r="E78" s="660">
        <v>961</v>
      </c>
      <c r="F78" s="577"/>
      <c r="G78" s="592"/>
    </row>
    <row r="79" spans="1:8" x14ac:dyDescent="0.2">
      <c r="A79" s="582" t="s">
        <v>570</v>
      </c>
      <c r="B79" s="620">
        <v>1.1299999999999999</v>
      </c>
      <c r="C79" s="621" t="s">
        <v>594</v>
      </c>
      <c r="D79" s="622" t="s">
        <v>21</v>
      </c>
      <c r="E79" s="660">
        <v>296</v>
      </c>
      <c r="F79" s="577"/>
      <c r="G79" s="592"/>
    </row>
    <row r="80" spans="1:8" x14ac:dyDescent="0.2">
      <c r="A80" s="582" t="s">
        <v>570</v>
      </c>
      <c r="B80" s="620">
        <v>1.1399999999999999</v>
      </c>
      <c r="C80" s="621" t="s">
        <v>595</v>
      </c>
      <c r="D80" s="622" t="s">
        <v>21</v>
      </c>
      <c r="E80" s="660">
        <v>112</v>
      </c>
      <c r="F80" s="577"/>
      <c r="G80" s="592"/>
      <c r="H80" s="557"/>
    </row>
    <row r="81" spans="1:9" x14ac:dyDescent="0.2">
      <c r="A81" s="582" t="s">
        <v>570</v>
      </c>
      <c r="B81" s="620">
        <v>1.1499999999999999</v>
      </c>
      <c r="C81" s="621" t="s">
        <v>596</v>
      </c>
      <c r="D81" s="622" t="s">
        <v>21</v>
      </c>
      <c r="E81" s="659">
        <v>112</v>
      </c>
      <c r="F81" s="577"/>
      <c r="G81" s="592"/>
    </row>
    <row r="82" spans="1:9" s="557" customFormat="1" ht="5.25" customHeight="1" x14ac:dyDescent="0.2">
      <c r="A82" s="590"/>
      <c r="B82" s="620"/>
      <c r="C82" s="641"/>
      <c r="D82" s="622"/>
      <c r="E82" s="659"/>
      <c r="F82" s="577"/>
      <c r="G82" s="603"/>
    </row>
    <row r="83" spans="1:9" ht="15" customHeight="1" x14ac:dyDescent="0.25">
      <c r="A83" s="740" t="s">
        <v>616</v>
      </c>
      <c r="B83" s="741"/>
      <c r="C83" s="741"/>
      <c r="D83" s="741"/>
      <c r="E83" s="741"/>
      <c r="F83" s="742"/>
      <c r="G83" s="604"/>
    </row>
    <row r="84" spans="1:9" s="557" customFormat="1" ht="6.75" customHeight="1" x14ac:dyDescent="0.25">
      <c r="A84" s="661"/>
      <c r="B84" s="662"/>
      <c r="C84" s="662"/>
      <c r="D84" s="662"/>
      <c r="E84" s="662"/>
      <c r="F84" s="663"/>
      <c r="G84" s="605"/>
    </row>
    <row r="85" spans="1:9" ht="14.25" customHeight="1" x14ac:dyDescent="0.2">
      <c r="A85" s="736" t="s">
        <v>196</v>
      </c>
      <c r="B85" s="737"/>
      <c r="C85" s="737"/>
      <c r="D85" s="737"/>
      <c r="E85" s="737"/>
      <c r="F85" s="737"/>
      <c r="G85" s="606"/>
    </row>
    <row r="86" spans="1:9" ht="15.75" customHeight="1" thickBot="1" x14ac:dyDescent="0.25">
      <c r="A86" s="738" t="s">
        <v>562</v>
      </c>
      <c r="B86" s="739"/>
      <c r="C86" s="739"/>
      <c r="D86" s="739"/>
      <c r="E86" s="739"/>
      <c r="F86" s="739"/>
      <c r="G86" s="607"/>
      <c r="H86" s="557"/>
      <c r="I86" s="565"/>
    </row>
    <row r="87" spans="1:9" s="557" customFormat="1" ht="15.75" customHeight="1" thickBot="1" x14ac:dyDescent="0.25">
      <c r="A87" s="664"/>
      <c r="B87" s="664"/>
      <c r="C87" s="664"/>
      <c r="D87" s="664"/>
      <c r="E87" s="664"/>
      <c r="F87" s="664"/>
      <c r="G87" s="608"/>
    </row>
    <row r="88" spans="1:9" s="557" customFormat="1" ht="15.75" customHeight="1" thickBot="1" x14ac:dyDescent="0.25">
      <c r="A88" s="733" t="s">
        <v>618</v>
      </c>
      <c r="B88" s="734"/>
      <c r="C88" s="734"/>
      <c r="D88" s="734"/>
      <c r="E88" s="734"/>
      <c r="F88" s="735"/>
      <c r="G88" s="609"/>
    </row>
  </sheetData>
  <sheetProtection algorithmName="SHA-512" hashValue="QJFKor5rA1j8Uc0V7Hp7n1wxiyvRkBKWsb7+qxq8kSW5SZdbqA32njOm59VC3j4zyD+t1ASUWVePXW1VmOknFw==" saltValue="2qFxh/4Z2hZEZtTCajbzgA==" spinCount="100000" sheet="1" objects="1" scenarios="1"/>
  <mergeCells count="12">
    <mergeCell ref="A16:A17"/>
    <mergeCell ref="A13:A14"/>
    <mergeCell ref="C1:G1"/>
    <mergeCell ref="A56:F56"/>
    <mergeCell ref="A58:F58"/>
    <mergeCell ref="A59:E59"/>
    <mergeCell ref="A60:F60"/>
    <mergeCell ref="A19:A20"/>
    <mergeCell ref="A88:F88"/>
    <mergeCell ref="A85:F85"/>
    <mergeCell ref="A86:F86"/>
    <mergeCell ref="A83:F83"/>
  </mergeCells>
  <printOptions horizontalCentered="1"/>
  <pageMargins left="0.27559055118110237" right="0.15748031496062992" top="0.31496062992125984" bottom="0.19685039370078741" header="0.23622047244094491" footer="0.19685039370078741"/>
  <pageSetup scale="37"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37"/>
  <sheetViews>
    <sheetView topLeftCell="A19" zoomScaleSheetLayoutView="100" workbookViewId="0">
      <selection activeCell="I34" sqref="I34"/>
    </sheetView>
  </sheetViews>
  <sheetFormatPr baseColWidth="10" defaultColWidth="11.42578125" defaultRowHeight="14.25" x14ac:dyDescent="0.2"/>
  <cols>
    <col min="1" max="1" width="11.42578125" style="1"/>
    <col min="2" max="2" width="6.28515625" style="40" customWidth="1"/>
    <col min="3" max="3" width="50.28515625" style="1" customWidth="1"/>
    <col min="4" max="4" width="7.28515625" style="1" customWidth="1"/>
    <col min="5" max="5" width="10.28515625" style="1" customWidth="1"/>
    <col min="6" max="6" width="12.42578125" style="1" customWidth="1"/>
    <col min="7" max="7" width="18.7109375" style="1" bestFit="1" customWidth="1"/>
    <col min="8" max="16384" width="11.42578125" style="1"/>
  </cols>
  <sheetData>
    <row r="1" spans="1:7" ht="24" customHeight="1" x14ac:dyDescent="0.2">
      <c r="A1" s="675" t="s">
        <v>7</v>
      </c>
      <c r="B1" s="675"/>
      <c r="C1" s="675"/>
      <c r="D1" s="675"/>
      <c r="E1" s="675"/>
      <c r="F1" s="675"/>
      <c r="G1" s="675"/>
    </row>
    <row r="2" spans="1:7" ht="24" customHeight="1" x14ac:dyDescent="0.2">
      <c r="A2" s="675" t="s">
        <v>120</v>
      </c>
      <c r="B2" s="675"/>
      <c r="C2" s="675"/>
      <c r="D2" s="675"/>
      <c r="E2" s="675"/>
      <c r="F2" s="675"/>
      <c r="G2" s="675"/>
    </row>
    <row r="3" spans="1:7" ht="24" customHeight="1" x14ac:dyDescent="0.2">
      <c r="A3" s="675" t="s">
        <v>166</v>
      </c>
      <c r="B3" s="675"/>
      <c r="C3" s="675"/>
      <c r="D3" s="675"/>
      <c r="E3" s="675"/>
      <c r="F3" s="675"/>
      <c r="G3" s="675"/>
    </row>
    <row r="4" spans="1:7" ht="24" customHeight="1" x14ac:dyDescent="0.2">
      <c r="A4" s="675" t="s">
        <v>79</v>
      </c>
      <c r="B4" s="675"/>
      <c r="C4" s="675"/>
      <c r="D4" s="675"/>
      <c r="E4" s="675"/>
      <c r="F4" s="675"/>
      <c r="G4" s="675"/>
    </row>
    <row r="5" spans="1:7" ht="14.25" customHeight="1" thickBot="1" x14ac:dyDescent="0.25">
      <c r="B5" s="2"/>
      <c r="C5" s="3"/>
      <c r="D5" s="3"/>
      <c r="E5" s="3"/>
      <c r="F5" s="3"/>
      <c r="G5" s="3"/>
    </row>
    <row r="6" spans="1:7" ht="39.75" customHeight="1" thickBot="1" x14ac:dyDescent="0.25">
      <c r="A6" s="111" t="s">
        <v>8</v>
      </c>
      <c r="B6" s="5" t="s">
        <v>9</v>
      </c>
      <c r="C6" s="6" t="s">
        <v>10</v>
      </c>
      <c r="D6" s="6" t="s">
        <v>11</v>
      </c>
      <c r="E6" s="6" t="s">
        <v>12</v>
      </c>
      <c r="F6" s="4" t="s">
        <v>13</v>
      </c>
      <c r="G6" s="7" t="s">
        <v>14</v>
      </c>
    </row>
    <row r="7" spans="1:7" ht="15" x14ac:dyDescent="0.25">
      <c r="A7" s="117"/>
      <c r="B7" s="114">
        <v>1</v>
      </c>
      <c r="C7" s="38" t="s">
        <v>55</v>
      </c>
      <c r="D7" s="26"/>
      <c r="E7" s="26"/>
      <c r="F7" s="29"/>
      <c r="G7" s="30" t="e">
        <f>SUM(G8:G26)</f>
        <v>#REF!</v>
      </c>
    </row>
    <row r="8" spans="1:7" x14ac:dyDescent="0.2">
      <c r="A8" s="677" t="s">
        <v>56</v>
      </c>
      <c r="B8" s="82">
        <v>1.1000000000000001</v>
      </c>
      <c r="C8" s="32" t="str">
        <f>+obra!C36</f>
        <v>Tubería 6"</v>
      </c>
      <c r="D8" s="14" t="s">
        <v>19</v>
      </c>
      <c r="E8" s="31">
        <f>+obra!E36</f>
        <v>1040</v>
      </c>
      <c r="F8" s="16">
        <v>22205</v>
      </c>
      <c r="G8" s="17">
        <f>E8*F8</f>
        <v>23093200</v>
      </c>
    </row>
    <row r="9" spans="1:7" x14ac:dyDescent="0.2">
      <c r="A9" s="678"/>
      <c r="B9" s="82">
        <v>1.2</v>
      </c>
      <c r="C9" s="32" t="str">
        <f>+obra!C37</f>
        <v>Tubería 8"</v>
      </c>
      <c r="D9" s="14" t="s">
        <v>19</v>
      </c>
      <c r="E9" s="31">
        <f>+obra!E37</f>
        <v>704</v>
      </c>
      <c r="F9" s="16">
        <v>32459</v>
      </c>
      <c r="G9" s="17">
        <f t="shared" ref="G9:G18" si="0">E9*F9</f>
        <v>22851136</v>
      </c>
    </row>
    <row r="10" spans="1:7" x14ac:dyDescent="0.2">
      <c r="A10" s="678"/>
      <c r="B10" s="82">
        <v>1.3</v>
      </c>
      <c r="C10" s="32" t="str">
        <f>+obra!C38</f>
        <v>Tubería 10"</v>
      </c>
      <c r="D10" s="14" t="s">
        <v>19</v>
      </c>
      <c r="E10" s="31" t="e">
        <f>+obra!E38</f>
        <v>#REF!</v>
      </c>
      <c r="F10" s="16">
        <v>47187</v>
      </c>
      <c r="G10" s="17" t="e">
        <f t="shared" si="0"/>
        <v>#REF!</v>
      </c>
    </row>
    <row r="11" spans="1:7" x14ac:dyDescent="0.2">
      <c r="A11" s="678"/>
      <c r="B11" s="82">
        <v>1.4</v>
      </c>
      <c r="C11" s="32" t="str">
        <f>+obra!C39</f>
        <v>Tubería 12"</v>
      </c>
      <c r="D11" s="14" t="s">
        <v>19</v>
      </c>
      <c r="E11" s="31" t="e">
        <f>+obra!E39</f>
        <v>#REF!</v>
      </c>
      <c r="F11" s="16">
        <v>69767</v>
      </c>
      <c r="G11" s="17" t="e">
        <f t="shared" si="0"/>
        <v>#REF!</v>
      </c>
    </row>
    <row r="12" spans="1:7" x14ac:dyDescent="0.2">
      <c r="A12" s="678"/>
      <c r="B12" s="82">
        <v>1.5</v>
      </c>
      <c r="C12" s="32" t="str">
        <f>+obra!C40</f>
        <v>Tubería 14"</v>
      </c>
      <c r="D12" s="14" t="s">
        <v>19</v>
      </c>
      <c r="E12" s="31" t="e">
        <f>+obra!E40</f>
        <v>#REF!</v>
      </c>
      <c r="F12" s="16">
        <v>80625</v>
      </c>
      <c r="G12" s="17" t="e">
        <f t="shared" si="0"/>
        <v>#REF!</v>
      </c>
    </row>
    <row r="13" spans="1:7" x14ac:dyDescent="0.2">
      <c r="A13" s="678"/>
      <c r="B13" s="82">
        <v>1.6</v>
      </c>
      <c r="C13" s="32" t="str">
        <f>+obra!C41</f>
        <v>Tubería 16"</v>
      </c>
      <c r="D13" s="14" t="s">
        <v>19</v>
      </c>
      <c r="E13" s="31" t="e">
        <f>+obra!E41</f>
        <v>#REF!</v>
      </c>
      <c r="F13" s="16">
        <v>108062</v>
      </c>
      <c r="G13" s="17" t="e">
        <f t="shared" si="0"/>
        <v>#REF!</v>
      </c>
    </row>
    <row r="14" spans="1:7" x14ac:dyDescent="0.2">
      <c r="A14" s="678"/>
      <c r="B14" s="82">
        <v>1.7</v>
      </c>
      <c r="C14" s="32" t="str">
        <f>+obra!C42</f>
        <v>Tubería 18"</v>
      </c>
      <c r="D14" s="14" t="s">
        <v>19</v>
      </c>
      <c r="E14" s="31" t="e">
        <f>+obra!E42</f>
        <v>#REF!</v>
      </c>
      <c r="F14" s="16">
        <v>142129</v>
      </c>
      <c r="G14" s="17" t="e">
        <f t="shared" si="0"/>
        <v>#REF!</v>
      </c>
    </row>
    <row r="15" spans="1:7" x14ac:dyDescent="0.2">
      <c r="A15" s="678"/>
      <c r="B15" s="82">
        <v>1.8</v>
      </c>
      <c r="C15" s="32" t="str">
        <f>+obra!C43</f>
        <v>Tubería 20"</v>
      </c>
      <c r="D15" s="14" t="s">
        <v>19</v>
      </c>
      <c r="E15" s="31" t="e">
        <f>+obra!E43</f>
        <v>#REF!</v>
      </c>
      <c r="F15" s="16">
        <v>176419</v>
      </c>
      <c r="G15" s="17" t="e">
        <f t="shared" si="0"/>
        <v>#REF!</v>
      </c>
    </row>
    <row r="16" spans="1:7" x14ac:dyDescent="0.2">
      <c r="A16" s="678"/>
      <c r="B16" s="82">
        <v>1.9</v>
      </c>
      <c r="C16" s="32" t="str">
        <f>+obra!C44</f>
        <v>Tubería 24"</v>
      </c>
      <c r="D16" s="14" t="s">
        <v>19</v>
      </c>
      <c r="E16" s="31" t="e">
        <f>+obra!E44</f>
        <v>#REF!</v>
      </c>
      <c r="F16" s="24">
        <v>245000</v>
      </c>
      <c r="G16" s="17" t="e">
        <f t="shared" si="0"/>
        <v>#REF!</v>
      </c>
    </row>
    <row r="17" spans="1:7" x14ac:dyDescent="0.2">
      <c r="A17" s="678"/>
      <c r="B17" s="115">
        <v>1.1000000000000001</v>
      </c>
      <c r="C17" s="32" t="str">
        <f>+obra!C45</f>
        <v>Tubería 26"</v>
      </c>
      <c r="D17" s="14" t="s">
        <v>19</v>
      </c>
      <c r="E17" s="31" t="e">
        <f>+obra!E45</f>
        <v>#REF!</v>
      </c>
      <c r="F17" s="24">
        <v>318000</v>
      </c>
      <c r="G17" s="17" t="e">
        <f t="shared" si="0"/>
        <v>#REF!</v>
      </c>
    </row>
    <row r="18" spans="1:7" x14ac:dyDescent="0.2">
      <c r="A18" s="678"/>
      <c r="B18" s="82">
        <v>1.1100000000000001</v>
      </c>
      <c r="C18" s="32" t="str">
        <f>+obra!C46</f>
        <v>Tubería 34"</v>
      </c>
      <c r="D18" s="14" t="s">
        <v>19</v>
      </c>
      <c r="E18" s="31" t="e">
        <f>+obra!E46</f>
        <v>#REF!</v>
      </c>
      <c r="F18" s="16">
        <v>345000</v>
      </c>
      <c r="G18" s="17" t="e">
        <f t="shared" si="0"/>
        <v>#REF!</v>
      </c>
    </row>
    <row r="19" spans="1:7" x14ac:dyDescent="0.2">
      <c r="A19" s="104"/>
      <c r="B19" s="115">
        <v>1.1299999999999999</v>
      </c>
      <c r="C19" s="32" t="s">
        <v>152</v>
      </c>
      <c r="D19" s="39" t="s">
        <v>21</v>
      </c>
      <c r="E19" s="31">
        <f>+obra!E47</f>
        <v>108</v>
      </c>
      <c r="F19" s="16">
        <v>54575</v>
      </c>
      <c r="G19" s="17">
        <f>+E19*F19</f>
        <v>5894100</v>
      </c>
    </row>
    <row r="20" spans="1:7" x14ac:dyDescent="0.2">
      <c r="A20" s="104"/>
      <c r="B20" s="82">
        <v>1.1399999999999999</v>
      </c>
      <c r="C20" s="32" t="s">
        <v>153</v>
      </c>
      <c r="D20" s="39" t="s">
        <v>21</v>
      </c>
      <c r="E20" s="31" t="e">
        <f>+obra!E48</f>
        <v>#REF!</v>
      </c>
      <c r="F20" s="16">
        <v>63283</v>
      </c>
      <c r="G20" s="17" t="e">
        <f t="shared" ref="G20:G25" si="1">+E20*F20</f>
        <v>#REF!</v>
      </c>
    </row>
    <row r="21" spans="1:7" x14ac:dyDescent="0.2">
      <c r="A21" s="104"/>
      <c r="B21" s="116">
        <v>1.1499999999999999</v>
      </c>
      <c r="C21" s="32" t="s">
        <v>154</v>
      </c>
      <c r="D21" s="39" t="s">
        <v>21</v>
      </c>
      <c r="E21" s="31">
        <f>+obra!E49</f>
        <v>25</v>
      </c>
      <c r="F21" s="16">
        <v>98110</v>
      </c>
      <c r="G21" s="17">
        <f t="shared" si="1"/>
        <v>2452750</v>
      </c>
    </row>
    <row r="22" spans="1:7" x14ac:dyDescent="0.2">
      <c r="A22" s="104"/>
      <c r="B22" s="115">
        <v>1.1599999999999999</v>
      </c>
      <c r="C22" s="32" t="s">
        <v>155</v>
      </c>
      <c r="D22" s="39" t="s">
        <v>21</v>
      </c>
      <c r="E22" s="31">
        <f>+obra!E50</f>
        <v>19</v>
      </c>
      <c r="F22" s="16">
        <v>147710</v>
      </c>
      <c r="G22" s="17">
        <f t="shared" si="1"/>
        <v>2806490</v>
      </c>
    </row>
    <row r="23" spans="1:7" x14ac:dyDescent="0.2">
      <c r="A23" s="104"/>
      <c r="B23" s="82">
        <v>1.17</v>
      </c>
      <c r="C23" s="32" t="s">
        <v>156</v>
      </c>
      <c r="D23" s="39" t="s">
        <v>21</v>
      </c>
      <c r="E23" s="31">
        <f>+obra!E51</f>
        <v>8</v>
      </c>
      <c r="F23" s="16">
        <v>161958</v>
      </c>
      <c r="G23" s="17">
        <f t="shared" si="1"/>
        <v>1295664</v>
      </c>
    </row>
    <row r="24" spans="1:7" x14ac:dyDescent="0.2">
      <c r="A24" s="104"/>
      <c r="B24" s="116">
        <v>1.18</v>
      </c>
      <c r="C24" s="32" t="s">
        <v>157</v>
      </c>
      <c r="D24" s="39" t="s">
        <v>21</v>
      </c>
      <c r="E24" s="31" t="e">
        <f>+obra!E52</f>
        <v>#REF!</v>
      </c>
      <c r="F24" s="16">
        <v>173233</v>
      </c>
      <c r="G24" s="17" t="e">
        <f t="shared" si="1"/>
        <v>#REF!</v>
      </c>
    </row>
    <row r="25" spans="1:7" x14ac:dyDescent="0.2">
      <c r="A25" s="104"/>
      <c r="B25" s="115">
        <v>1.19</v>
      </c>
      <c r="C25" s="32" t="s">
        <v>158</v>
      </c>
      <c r="D25" s="39" t="s">
        <v>21</v>
      </c>
      <c r="E25" s="31">
        <f>+obra!E53</f>
        <v>13</v>
      </c>
      <c r="F25" s="16">
        <v>264270</v>
      </c>
      <c r="G25" s="17">
        <f t="shared" si="1"/>
        <v>3435510</v>
      </c>
    </row>
    <row r="26" spans="1:7" x14ac:dyDescent="0.2">
      <c r="A26" s="104"/>
      <c r="B26" s="82">
        <v>1.2</v>
      </c>
      <c r="C26" s="32" t="s">
        <v>159</v>
      </c>
      <c r="D26" s="39" t="s">
        <v>21</v>
      </c>
      <c r="E26" s="31" t="e">
        <f>+obra!E54</f>
        <v>#REF!</v>
      </c>
      <c r="F26" s="16">
        <v>268455</v>
      </c>
      <c r="G26" s="17" t="e">
        <f>+E26*F26</f>
        <v>#REF!</v>
      </c>
    </row>
    <row r="27" spans="1:7" ht="15" thickBot="1" x14ac:dyDescent="0.25">
      <c r="A27" s="118"/>
      <c r="B27" s="112"/>
      <c r="C27" s="92"/>
      <c r="D27" s="93"/>
      <c r="E27" s="94"/>
      <c r="F27" s="113"/>
      <c r="G27" s="79"/>
    </row>
    <row r="28" spans="1:7" ht="15" customHeight="1" x14ac:dyDescent="0.25">
      <c r="A28" s="52"/>
      <c r="B28" s="679" t="s">
        <v>70</v>
      </c>
      <c r="C28" s="680"/>
      <c r="D28" s="680"/>
      <c r="E28" s="680"/>
      <c r="F28" s="72"/>
      <c r="G28" s="54" t="e">
        <f>ROUND(+G7,0)</f>
        <v>#REF!</v>
      </c>
    </row>
    <row r="29" spans="1:7" ht="15" customHeight="1" x14ac:dyDescent="0.25">
      <c r="A29" s="55"/>
      <c r="B29" s="681" t="s">
        <v>105</v>
      </c>
      <c r="C29" s="682"/>
      <c r="D29" s="682"/>
      <c r="E29" s="682"/>
      <c r="F29" s="46">
        <v>0.08</v>
      </c>
      <c r="G29" s="70" t="e">
        <f>ROUND(+F29*G28,0)</f>
        <v>#REF!</v>
      </c>
    </row>
    <row r="30" spans="1:7" ht="15" customHeight="1" x14ac:dyDescent="0.2">
      <c r="A30" s="55"/>
      <c r="B30" s="681" t="s">
        <v>114</v>
      </c>
      <c r="C30" s="682"/>
      <c r="D30" s="682"/>
      <c r="E30" s="682"/>
      <c r="F30" s="46"/>
      <c r="G30" s="60" t="e">
        <f>+G29+G28</f>
        <v>#REF!</v>
      </c>
    </row>
    <row r="31" spans="1:7" ht="15" customHeight="1" x14ac:dyDescent="0.2">
      <c r="A31" s="55"/>
      <c r="B31" s="681" t="s">
        <v>75</v>
      </c>
      <c r="C31" s="682"/>
      <c r="D31" s="682"/>
      <c r="E31" s="682"/>
      <c r="F31" s="46">
        <v>0.05</v>
      </c>
      <c r="G31" s="60" t="e">
        <f>ROUND(G30*5%,0)</f>
        <v>#REF!</v>
      </c>
    </row>
    <row r="32" spans="1:7" ht="15" x14ac:dyDescent="0.25">
      <c r="A32" s="55"/>
      <c r="B32" s="681" t="s">
        <v>115</v>
      </c>
      <c r="C32" s="682"/>
      <c r="D32" s="682"/>
      <c r="E32" s="682"/>
      <c r="F32" s="71"/>
      <c r="G32" s="67" t="e">
        <f>SUM(G30:G31)</f>
        <v>#REF!</v>
      </c>
    </row>
    <row r="33" spans="1:7" x14ac:dyDescent="0.2">
      <c r="A33" s="55"/>
      <c r="B33" s="681" t="s">
        <v>116</v>
      </c>
      <c r="C33" s="682"/>
      <c r="D33" s="682"/>
      <c r="E33" s="682"/>
      <c r="F33" s="73">
        <v>0.03</v>
      </c>
      <c r="G33" s="60" t="e">
        <f>ROUND(+G32*F33,0)</f>
        <v>#REF!</v>
      </c>
    </row>
    <row r="34" spans="1:7" ht="15" x14ac:dyDescent="0.25">
      <c r="A34" s="55"/>
      <c r="B34" s="681" t="s">
        <v>117</v>
      </c>
      <c r="C34" s="682"/>
      <c r="D34" s="682"/>
      <c r="E34" s="682"/>
      <c r="F34" s="73">
        <v>0.98</v>
      </c>
      <c r="G34" s="75" t="e">
        <f>+G33+G32</f>
        <v>#REF!</v>
      </c>
    </row>
    <row r="35" spans="1:7" x14ac:dyDescent="0.2">
      <c r="A35" s="55"/>
      <c r="B35" s="681" t="s">
        <v>112</v>
      </c>
      <c r="C35" s="682"/>
      <c r="D35" s="682"/>
      <c r="E35" s="682"/>
      <c r="F35" s="73">
        <v>0.02</v>
      </c>
      <c r="G35" s="60" t="e">
        <f>ROUND(+F35*G34/F34,0)</f>
        <v>#REF!</v>
      </c>
    </row>
    <row r="36" spans="1:7" ht="15.75" thickBot="1" x14ac:dyDescent="0.3">
      <c r="A36" s="61"/>
      <c r="B36" s="688" t="s">
        <v>118</v>
      </c>
      <c r="C36" s="689"/>
      <c r="D36" s="689"/>
      <c r="E36" s="689"/>
      <c r="F36" s="74">
        <v>1</v>
      </c>
      <c r="G36" s="62" t="e">
        <f>+G34+G35</f>
        <v>#REF!</v>
      </c>
    </row>
    <row r="37" spans="1:7" x14ac:dyDescent="0.2">
      <c r="B37" s="37"/>
      <c r="C37" s="37"/>
      <c r="D37" s="37"/>
      <c r="E37" s="37"/>
      <c r="F37" s="45"/>
      <c r="G37" s="47"/>
    </row>
  </sheetData>
  <mergeCells count="14">
    <mergeCell ref="B34:E34"/>
    <mergeCell ref="B35:E35"/>
    <mergeCell ref="B36:E36"/>
    <mergeCell ref="B31:E31"/>
    <mergeCell ref="B30:E30"/>
    <mergeCell ref="B29:E29"/>
    <mergeCell ref="A2:G2"/>
    <mergeCell ref="B32:E32"/>
    <mergeCell ref="B33:E33"/>
    <mergeCell ref="A1:G1"/>
    <mergeCell ref="A4:G4"/>
    <mergeCell ref="A3:G3"/>
    <mergeCell ref="A8:A18"/>
    <mergeCell ref="B28:E28"/>
  </mergeCells>
  <phoneticPr fontId="23" type="noConversion"/>
  <printOptions horizontalCentered="1"/>
  <pageMargins left="0.47244094488188981" right="0.47244094488188981" top="0.74803149606299213" bottom="0.74803149606299213" header="0.31496062992125984" footer="0.31496062992125984"/>
  <pageSetup scale="82"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zoomScaleSheetLayoutView="90" workbookViewId="0">
      <selection activeCell="E9" sqref="E9"/>
    </sheetView>
  </sheetViews>
  <sheetFormatPr baseColWidth="10" defaultColWidth="11.42578125" defaultRowHeight="14.25" x14ac:dyDescent="0.2"/>
  <cols>
    <col min="1" max="1" width="11.42578125" style="1"/>
    <col min="2" max="2" width="6.28515625" style="40" customWidth="1"/>
    <col min="3" max="3" width="50.28515625" style="1" customWidth="1"/>
    <col min="4" max="4" width="7.28515625" style="1" customWidth="1"/>
    <col min="5" max="5" width="10.28515625" style="1" customWidth="1"/>
    <col min="6" max="6" width="12.42578125" style="1" customWidth="1"/>
    <col min="7" max="7" width="18.7109375" style="1" bestFit="1" customWidth="1"/>
    <col min="8" max="9" width="11.42578125" style="1"/>
    <col min="10" max="10" width="43.7109375" style="1" customWidth="1"/>
    <col min="11" max="16384" width="11.42578125" style="1"/>
  </cols>
  <sheetData>
    <row r="1" spans="1:7" ht="24" customHeight="1" x14ac:dyDescent="0.2">
      <c r="A1" s="675" t="s">
        <v>7</v>
      </c>
      <c r="B1" s="675"/>
      <c r="C1" s="675"/>
      <c r="D1" s="675"/>
      <c r="E1" s="675"/>
      <c r="F1" s="675"/>
      <c r="G1" s="675"/>
    </row>
    <row r="2" spans="1:7" ht="24" customHeight="1" x14ac:dyDescent="0.2">
      <c r="A2" s="711" t="s">
        <v>382</v>
      </c>
      <c r="B2" s="711"/>
      <c r="C2" s="711"/>
      <c r="D2" s="711"/>
      <c r="E2" s="711"/>
      <c r="F2" s="711"/>
      <c r="G2" s="711"/>
    </row>
    <row r="3" spans="1:7" ht="24" customHeight="1" x14ac:dyDescent="0.2">
      <c r="A3" s="711" t="s">
        <v>383</v>
      </c>
      <c r="B3" s="711"/>
      <c r="C3" s="711"/>
      <c r="D3" s="711"/>
      <c r="E3" s="711"/>
      <c r="F3" s="711"/>
      <c r="G3" s="711"/>
    </row>
    <row r="4" spans="1:7" ht="24" customHeight="1" x14ac:dyDescent="0.2">
      <c r="A4" s="675"/>
      <c r="B4" s="675"/>
      <c r="C4" s="675"/>
      <c r="D4" s="675"/>
      <c r="E4" s="675"/>
      <c r="F4" s="675"/>
      <c r="G4" s="675"/>
    </row>
    <row r="5" spans="1:7" ht="14.25" customHeight="1" thickBot="1" x14ac:dyDescent="0.25">
      <c r="B5" s="2"/>
      <c r="C5" s="3"/>
      <c r="D5" s="3"/>
      <c r="E5" s="3"/>
      <c r="F5" s="3"/>
      <c r="G5" s="3"/>
    </row>
    <row r="6" spans="1:7" ht="39.75" customHeight="1" thickBot="1" x14ac:dyDescent="0.25">
      <c r="A6" s="111" t="s">
        <v>8</v>
      </c>
      <c r="B6" s="5" t="s">
        <v>9</v>
      </c>
      <c r="C6" s="6" t="s">
        <v>10</v>
      </c>
      <c r="D6" s="6" t="s">
        <v>11</v>
      </c>
      <c r="E6" s="6" t="s">
        <v>12</v>
      </c>
      <c r="F6" s="4" t="s">
        <v>13</v>
      </c>
      <c r="G6" s="7" t="s">
        <v>14</v>
      </c>
    </row>
    <row r="7" spans="1:7" ht="15" x14ac:dyDescent="0.25">
      <c r="A7" s="114"/>
      <c r="B7" s="114">
        <v>1</v>
      </c>
      <c r="C7" s="38" t="s">
        <v>55</v>
      </c>
      <c r="D7" s="26"/>
      <c r="E7" s="26"/>
      <c r="F7" s="29"/>
      <c r="G7" s="30" t="e">
        <f>SUM(G8:G19)</f>
        <v>#REF!</v>
      </c>
    </row>
    <row r="8" spans="1:7" ht="28.5" x14ac:dyDescent="0.2">
      <c r="A8" s="125" t="s">
        <v>89</v>
      </c>
      <c r="B8" s="82">
        <v>1.1000000000000001</v>
      </c>
      <c r="C8" s="32" t="str">
        <f>+obra!C36</f>
        <v>Tubería 6"</v>
      </c>
      <c r="D8" s="14" t="s">
        <v>19</v>
      </c>
      <c r="E8" s="128">
        <f>+'Presupuesto Obra_MATA'!E39</f>
        <v>1040</v>
      </c>
      <c r="F8" s="16">
        <v>25007.424999999999</v>
      </c>
      <c r="G8" s="17">
        <f t="shared" ref="G8:G24" si="0">E8*F8</f>
        <v>26007722</v>
      </c>
    </row>
    <row r="9" spans="1:7" x14ac:dyDescent="0.2">
      <c r="A9" s="208" t="s">
        <v>67</v>
      </c>
      <c r="B9" s="82">
        <v>1.2</v>
      </c>
      <c r="C9" s="32" t="str">
        <f>+obra!C37</f>
        <v>Tubería 8"</v>
      </c>
      <c r="D9" s="14" t="s">
        <v>19</v>
      </c>
      <c r="E9" s="128">
        <f>+'Presupuesto Obra_MATA'!E40</f>
        <v>704</v>
      </c>
      <c r="F9" s="16">
        <v>36557.182500000003</v>
      </c>
      <c r="G9" s="17">
        <f t="shared" si="0"/>
        <v>25736256.48</v>
      </c>
    </row>
    <row r="10" spans="1:7" hidden="1" x14ac:dyDescent="0.2">
      <c r="A10" s="208" t="s">
        <v>67</v>
      </c>
      <c r="B10" s="82">
        <v>1.3</v>
      </c>
      <c r="C10" s="32" t="str">
        <f>+obra!C38</f>
        <v>Tubería 10"</v>
      </c>
      <c r="D10" s="14" t="s">
        <v>19</v>
      </c>
      <c r="E10" s="128" t="e">
        <f>+'Presupuesto Obra_MATA'!#REF!</f>
        <v>#REF!</v>
      </c>
      <c r="F10" s="16" t="e">
        <f>+'Presupuesto Obra_MATA'!#REF!</f>
        <v>#REF!</v>
      </c>
      <c r="G10" s="17" t="e">
        <f t="shared" si="0"/>
        <v>#REF!</v>
      </c>
    </row>
    <row r="11" spans="1:7" hidden="1" x14ac:dyDescent="0.2">
      <c r="A11" s="208" t="s">
        <v>67</v>
      </c>
      <c r="B11" s="82">
        <v>1.4</v>
      </c>
      <c r="C11" s="32" t="str">
        <f>+obra!C39</f>
        <v>Tubería 12"</v>
      </c>
      <c r="D11" s="14" t="s">
        <v>19</v>
      </c>
      <c r="E11" s="128">
        <f>+'Presupuesto Obra_MATA'!E41</f>
        <v>277</v>
      </c>
      <c r="F11" s="16" t="e">
        <f>+'Presupuesto Obra_MATA'!F41</f>
        <v>#REF!</v>
      </c>
      <c r="G11" s="17" t="e">
        <f t="shared" si="0"/>
        <v>#REF!</v>
      </c>
    </row>
    <row r="12" spans="1:7" hidden="1" x14ac:dyDescent="0.2">
      <c r="A12" s="208" t="s">
        <v>67</v>
      </c>
      <c r="B12" s="82">
        <v>1.5</v>
      </c>
      <c r="C12" s="32" t="str">
        <f>+obra!C40</f>
        <v>Tubería 14"</v>
      </c>
      <c r="D12" s="14" t="s">
        <v>19</v>
      </c>
      <c r="E12" s="128" t="e">
        <f>+'Presupuesto Obra_MATA'!#REF!</f>
        <v>#REF!</v>
      </c>
      <c r="F12" s="16" t="e">
        <f>+'Presupuesto Obra_MATA'!#REF!</f>
        <v>#REF!</v>
      </c>
      <c r="G12" s="17" t="e">
        <f t="shared" si="0"/>
        <v>#REF!</v>
      </c>
    </row>
    <row r="13" spans="1:7" hidden="1" x14ac:dyDescent="0.2">
      <c r="A13" s="208" t="s">
        <v>67</v>
      </c>
      <c r="B13" s="82">
        <v>1.6</v>
      </c>
      <c r="C13" s="32" t="s">
        <v>62</v>
      </c>
      <c r="D13" s="14" t="s">
        <v>19</v>
      </c>
      <c r="E13" s="128" t="e">
        <f>+'Presupuesto Obra_MATA'!#REF!</f>
        <v>#REF!</v>
      </c>
      <c r="F13" s="16" t="e">
        <f>+'Presupuesto Obra_MATA'!#REF!</f>
        <v>#REF!</v>
      </c>
      <c r="G13" s="17" t="e">
        <f t="shared" si="0"/>
        <v>#REF!</v>
      </c>
    </row>
    <row r="14" spans="1:7" hidden="1" x14ac:dyDescent="0.2">
      <c r="A14" s="208" t="s">
        <v>67</v>
      </c>
      <c r="B14" s="82">
        <v>1.7</v>
      </c>
      <c r="C14" s="32" t="s">
        <v>64</v>
      </c>
      <c r="D14" s="14" t="s">
        <v>19</v>
      </c>
      <c r="E14" s="128" t="e">
        <f>+'Presupuesto Obra_MATA'!#REF!</f>
        <v>#REF!</v>
      </c>
      <c r="F14" s="16" t="e">
        <f>+'Presupuesto Obra_MATA'!#REF!</f>
        <v>#REF!</v>
      </c>
      <c r="G14" s="17" t="e">
        <f t="shared" si="0"/>
        <v>#REF!</v>
      </c>
    </row>
    <row r="15" spans="1:7" hidden="1" x14ac:dyDescent="0.2">
      <c r="A15" s="208" t="s">
        <v>67</v>
      </c>
      <c r="B15" s="82">
        <v>1.8</v>
      </c>
      <c r="C15" s="32" t="s">
        <v>369</v>
      </c>
      <c r="D15" s="14" t="s">
        <v>19</v>
      </c>
      <c r="E15" s="128" t="e">
        <f>+'Presupuesto Obra_MATA'!#REF!</f>
        <v>#REF!</v>
      </c>
      <c r="F15" s="16" t="e">
        <f>+'Presupuesto Obra_MATA'!#REF!</f>
        <v>#REF!</v>
      </c>
      <c r="G15" s="17" t="e">
        <f t="shared" si="0"/>
        <v>#REF!</v>
      </c>
    </row>
    <row r="16" spans="1:7" hidden="1" x14ac:dyDescent="0.2">
      <c r="A16" s="208" t="s">
        <v>67</v>
      </c>
      <c r="B16" s="82">
        <v>1.9</v>
      </c>
      <c r="C16" s="32" t="s">
        <v>370</v>
      </c>
      <c r="D16" s="14" t="s">
        <v>19</v>
      </c>
      <c r="E16" s="128" t="e">
        <f>+'Presupuesto Obra_MATA'!#REF!</f>
        <v>#REF!</v>
      </c>
      <c r="F16" s="16" t="e">
        <f>+'Presupuesto Obra_MATA'!#REF!</f>
        <v>#REF!</v>
      </c>
      <c r="G16" s="17" t="e">
        <f t="shared" si="0"/>
        <v>#REF!</v>
      </c>
    </row>
    <row r="17" spans="1:10" x14ac:dyDescent="0.2">
      <c r="A17" s="208" t="s">
        <v>67</v>
      </c>
      <c r="B17" s="82">
        <v>2</v>
      </c>
      <c r="C17" s="32" t="s">
        <v>152</v>
      </c>
      <c r="D17" s="39" t="s">
        <v>21</v>
      </c>
      <c r="E17" s="128">
        <f>+'Presupuesto Obra_MATA'!E45</f>
        <v>108</v>
      </c>
      <c r="F17" s="16">
        <v>54575</v>
      </c>
      <c r="G17" s="17">
        <f t="shared" si="0"/>
        <v>5894100</v>
      </c>
    </row>
    <row r="18" spans="1:10" hidden="1" x14ac:dyDescent="0.2">
      <c r="A18" s="208" t="s">
        <v>67</v>
      </c>
      <c r="B18" s="82">
        <v>2.1</v>
      </c>
      <c r="C18" s="32" t="s">
        <v>153</v>
      </c>
      <c r="D18" s="39" t="s">
        <v>21</v>
      </c>
      <c r="E18" s="128" t="e">
        <f>+'Presupuesto Obra_MATA'!#REF!</f>
        <v>#REF!</v>
      </c>
      <c r="F18" s="16" t="e">
        <f>+'Presupuesto Obra_MATA'!#REF!</f>
        <v>#REF!</v>
      </c>
      <c r="G18" s="17" t="e">
        <f t="shared" si="0"/>
        <v>#REF!</v>
      </c>
    </row>
    <row r="19" spans="1:10" x14ac:dyDescent="0.2">
      <c r="A19" s="208" t="s">
        <v>67</v>
      </c>
      <c r="B19" s="82">
        <v>2.2000000000000002</v>
      </c>
      <c r="C19" s="32" t="s">
        <v>154</v>
      </c>
      <c r="D19" s="39" t="s">
        <v>21</v>
      </c>
      <c r="E19" s="128">
        <f>+'Presupuesto Obra_MATA'!E46</f>
        <v>25</v>
      </c>
      <c r="F19" s="16">
        <v>98111</v>
      </c>
      <c r="G19" s="17">
        <f t="shared" si="0"/>
        <v>2452775</v>
      </c>
    </row>
    <row r="20" spans="1:10" hidden="1" x14ac:dyDescent="0.2">
      <c r="A20" s="104"/>
      <c r="B20" s="82">
        <v>2.2999999999999998</v>
      </c>
      <c r="C20" s="32" t="s">
        <v>155</v>
      </c>
      <c r="D20" s="39" t="s">
        <v>21</v>
      </c>
      <c r="E20" s="128" t="e">
        <f>+'Presupuesto Obra_MATA'!#REF!</f>
        <v>#REF!</v>
      </c>
      <c r="F20" s="16" t="e">
        <f>+'Presupuesto Obra_MATA'!#REF!</f>
        <v>#REF!</v>
      </c>
      <c r="G20" s="17" t="e">
        <f t="shared" si="0"/>
        <v>#REF!</v>
      </c>
    </row>
    <row r="21" spans="1:10" hidden="1" x14ac:dyDescent="0.2">
      <c r="A21" s="104"/>
      <c r="B21" s="82">
        <v>1.3</v>
      </c>
      <c r="C21" s="32" t="s">
        <v>156</v>
      </c>
      <c r="D21" s="39" t="s">
        <v>21</v>
      </c>
      <c r="E21" s="128" t="e">
        <f>+'Presupuesto Obra_MATA'!#REF!</f>
        <v>#REF!</v>
      </c>
      <c r="F21" s="16" t="e">
        <f>+'Presupuesto Obra_MATA'!#REF!</f>
        <v>#REF!</v>
      </c>
      <c r="G21" s="17" t="e">
        <f t="shared" si="0"/>
        <v>#REF!</v>
      </c>
    </row>
    <row r="22" spans="1:10" hidden="1" x14ac:dyDescent="0.2">
      <c r="A22" s="104"/>
      <c r="B22" s="82">
        <v>1.3</v>
      </c>
      <c r="C22" s="32" t="s">
        <v>158</v>
      </c>
      <c r="D22" s="39" t="s">
        <v>21</v>
      </c>
      <c r="E22" s="128" t="e">
        <f>+'Presupuesto Obra_MATA'!#REF!</f>
        <v>#REF!</v>
      </c>
      <c r="F22" s="16" t="e">
        <f>+'Presupuesto Obra_MATA'!#REF!</f>
        <v>#REF!</v>
      </c>
      <c r="G22" s="17" t="e">
        <f t="shared" si="0"/>
        <v>#REF!</v>
      </c>
    </row>
    <row r="23" spans="1:10" hidden="1" x14ac:dyDescent="0.2">
      <c r="A23" s="104"/>
      <c r="B23" s="82">
        <v>1.3</v>
      </c>
      <c r="C23" s="32" t="s">
        <v>371</v>
      </c>
      <c r="D23" s="39" t="s">
        <v>21</v>
      </c>
      <c r="E23" s="128" t="e">
        <f>+'Presupuesto Obra_MATA'!#REF!</f>
        <v>#REF!</v>
      </c>
      <c r="F23" s="16" t="e">
        <f>+'Presupuesto Obra_MATA'!#REF!</f>
        <v>#REF!</v>
      </c>
      <c r="G23" s="17" t="e">
        <f t="shared" si="0"/>
        <v>#REF!</v>
      </c>
    </row>
    <row r="24" spans="1:10" hidden="1" x14ac:dyDescent="0.2">
      <c r="A24" s="104"/>
      <c r="B24" s="82">
        <v>1.3</v>
      </c>
      <c r="C24" s="32" t="s">
        <v>372</v>
      </c>
      <c r="D24" s="39" t="s">
        <v>21</v>
      </c>
      <c r="E24" s="128" t="e">
        <f>+'Presupuesto Obra_MATA'!#REF!</f>
        <v>#REF!</v>
      </c>
      <c r="F24" s="16" t="e">
        <f>+'Presupuesto Obra_MATA'!#REF!</f>
        <v>#REF!</v>
      </c>
      <c r="G24" s="17" t="e">
        <f t="shared" si="0"/>
        <v>#REF!</v>
      </c>
    </row>
    <row r="25" spans="1:10" ht="15" x14ac:dyDescent="0.25">
      <c r="A25" s="296"/>
      <c r="B25" s="753" t="s">
        <v>340</v>
      </c>
      <c r="C25" s="754"/>
      <c r="D25" s="754"/>
      <c r="E25" s="754"/>
      <c r="F25" s="293"/>
      <c r="G25" s="120" t="e">
        <f>ROUND(+G7,0)</f>
        <v>#REF!</v>
      </c>
    </row>
    <row r="26" spans="1:10" x14ac:dyDescent="0.2">
      <c r="A26" s="296"/>
      <c r="B26" s="681" t="s">
        <v>105</v>
      </c>
      <c r="C26" s="682"/>
      <c r="D26" s="682"/>
      <c r="E26" s="682"/>
      <c r="F26" s="292">
        <v>0.08</v>
      </c>
      <c r="G26" s="16" t="e">
        <f>+G25*F26</f>
        <v>#REF!</v>
      </c>
    </row>
    <row r="27" spans="1:10" ht="12.95" customHeight="1" x14ac:dyDescent="0.2">
      <c r="A27" s="296"/>
      <c r="B27" s="755" t="s">
        <v>341</v>
      </c>
      <c r="C27" s="755"/>
      <c r="D27" s="755"/>
      <c r="E27" s="756"/>
      <c r="F27" s="292"/>
      <c r="G27" s="310" t="e">
        <f>+G25+G26</f>
        <v>#REF!</v>
      </c>
    </row>
    <row r="28" spans="1:10" hidden="1" x14ac:dyDescent="0.2">
      <c r="A28" s="296"/>
      <c r="B28" s="681" t="s">
        <v>106</v>
      </c>
      <c r="C28" s="682"/>
      <c r="D28" s="682"/>
      <c r="E28" s="682"/>
      <c r="F28" s="292">
        <v>0.05</v>
      </c>
      <c r="G28" s="16">
        <v>0</v>
      </c>
    </row>
    <row r="29" spans="1:10" ht="15" hidden="1" x14ac:dyDescent="0.2">
      <c r="A29" s="296"/>
      <c r="B29" s="681" t="s">
        <v>342</v>
      </c>
      <c r="C29" s="682"/>
      <c r="D29" s="682"/>
      <c r="E29" s="682"/>
      <c r="F29" s="294"/>
      <c r="G29" s="310" t="e">
        <f>+G27+G28</f>
        <v>#REF!</v>
      </c>
    </row>
    <row r="30" spans="1:10" x14ac:dyDescent="0.2">
      <c r="A30" s="296"/>
      <c r="B30" s="681" t="s">
        <v>316</v>
      </c>
      <c r="C30" s="682"/>
      <c r="D30" s="682"/>
      <c r="E30" s="682"/>
      <c r="F30" s="295">
        <v>0.03</v>
      </c>
      <c r="G30" s="16" t="e">
        <f>+G29*F30</f>
        <v>#REF!</v>
      </c>
    </row>
    <row r="31" spans="1:10" ht="21" hidden="1" x14ac:dyDescent="0.35">
      <c r="A31" s="296"/>
      <c r="B31" s="681" t="s">
        <v>343</v>
      </c>
      <c r="C31" s="682"/>
      <c r="D31" s="682"/>
      <c r="E31" s="682"/>
      <c r="F31" s="295">
        <v>0.98</v>
      </c>
      <c r="G31" s="310" t="e">
        <f>+G29+G30</f>
        <v>#REF!</v>
      </c>
      <c r="J31" s="347">
        <v>105526348.35179675</v>
      </c>
    </row>
    <row r="32" spans="1:10" hidden="1" x14ac:dyDescent="0.2">
      <c r="A32" s="296"/>
      <c r="B32" s="681" t="s">
        <v>112</v>
      </c>
      <c r="C32" s="682"/>
      <c r="D32" s="682"/>
      <c r="E32" s="682"/>
      <c r="F32" s="295">
        <v>0.02</v>
      </c>
      <c r="G32" s="16" t="e">
        <f>+F32*G31/F31*0</f>
        <v>#REF!</v>
      </c>
    </row>
    <row r="33" spans="1:10" ht="12.95" customHeight="1" x14ac:dyDescent="0.2">
      <c r="A33" s="297"/>
      <c r="B33" s="757" t="s">
        <v>315</v>
      </c>
      <c r="C33" s="757"/>
      <c r="D33" s="757"/>
      <c r="E33" s="757"/>
      <c r="F33" s="311">
        <v>1</v>
      </c>
      <c r="G33" s="310" t="e">
        <f>+G31+G32</f>
        <v>#REF!</v>
      </c>
    </row>
    <row r="35" spans="1:10" ht="21" x14ac:dyDescent="0.35">
      <c r="J35" s="347"/>
    </row>
  </sheetData>
  <mergeCells count="13">
    <mergeCell ref="B27:E27"/>
    <mergeCell ref="B33:E33"/>
    <mergeCell ref="B28:E28"/>
    <mergeCell ref="B29:E29"/>
    <mergeCell ref="B30:E30"/>
    <mergeCell ref="B31:E31"/>
    <mergeCell ref="B32:E32"/>
    <mergeCell ref="B25:E25"/>
    <mergeCell ref="B26:E26"/>
    <mergeCell ref="A1:G1"/>
    <mergeCell ref="A4:G4"/>
    <mergeCell ref="A2:G2"/>
    <mergeCell ref="A3:G3"/>
  </mergeCells>
  <phoneticPr fontId="23" type="noConversion"/>
  <printOptions horizontalCentered="1"/>
  <pageMargins left="0.47244094488188981" right="0.47244094488188981" top="0.74803149606299213" bottom="0.74803149606299213" header="0.31496062992125984" footer="0.31496062992125984"/>
  <pageSetup scale="82"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opLeftCell="A34" zoomScale="73" zoomScaleNormal="73" zoomScaleSheetLayoutView="80" workbookViewId="0">
      <selection activeCell="E9" sqref="E9"/>
    </sheetView>
  </sheetViews>
  <sheetFormatPr baseColWidth="10" defaultColWidth="11.42578125" defaultRowHeight="14.25" x14ac:dyDescent="0.2"/>
  <cols>
    <col min="1" max="1" width="6.28515625" style="40" customWidth="1"/>
    <col min="2" max="2" width="32.140625" style="1" customWidth="1"/>
    <col min="3" max="3" width="7.28515625" style="1" customWidth="1"/>
    <col min="4" max="4" width="14.140625" style="317" customWidth="1"/>
    <col min="5" max="5" width="58.7109375" style="1" customWidth="1"/>
    <col min="6" max="6" width="23" style="1" customWidth="1"/>
    <col min="7" max="16384" width="11.42578125" style="1"/>
  </cols>
  <sheetData>
    <row r="1" spans="1:7" ht="24" customHeight="1" x14ac:dyDescent="0.2">
      <c r="A1" s="675" t="s">
        <v>7</v>
      </c>
      <c r="B1" s="675"/>
      <c r="C1" s="675"/>
      <c r="D1" s="675"/>
      <c r="E1" s="675"/>
    </row>
    <row r="2" spans="1:7" ht="24" customHeight="1" x14ac:dyDescent="0.2">
      <c r="B2" s="711" t="s">
        <v>382</v>
      </c>
      <c r="C2" s="711"/>
      <c r="D2" s="711"/>
      <c r="E2" s="711"/>
      <c r="F2" s="123"/>
      <c r="G2" s="123"/>
    </row>
    <row r="3" spans="1:7" ht="24" customHeight="1" x14ac:dyDescent="0.2">
      <c r="B3" s="711" t="s">
        <v>383</v>
      </c>
      <c r="C3" s="711"/>
      <c r="D3" s="711"/>
      <c r="E3" s="711"/>
      <c r="F3" s="123"/>
      <c r="G3" s="123"/>
    </row>
    <row r="4" spans="1:7" ht="14.25" customHeight="1" thickBot="1" x14ac:dyDescent="0.25">
      <c r="A4" s="2"/>
      <c r="B4" s="3"/>
      <c r="C4" s="3"/>
      <c r="D4" s="312"/>
      <c r="E4" s="3"/>
    </row>
    <row r="5" spans="1:7" ht="39.75" customHeight="1" thickBot="1" x14ac:dyDescent="0.25">
      <c r="A5" s="5" t="s">
        <v>9</v>
      </c>
      <c r="B5" s="6" t="s">
        <v>10</v>
      </c>
      <c r="C5" s="6" t="s">
        <v>11</v>
      </c>
      <c r="D5" s="313" t="s">
        <v>12</v>
      </c>
      <c r="E5" s="4" t="s">
        <v>162</v>
      </c>
    </row>
    <row r="6" spans="1:7" ht="15" x14ac:dyDescent="0.25">
      <c r="A6" s="324">
        <v>1</v>
      </c>
      <c r="B6" s="19" t="s">
        <v>20</v>
      </c>
      <c r="C6" s="20"/>
      <c r="D6" s="314"/>
      <c r="E6" s="89"/>
    </row>
    <row r="7" spans="1:7" ht="71.25" x14ac:dyDescent="0.2">
      <c r="A7" s="12">
        <v>1.1000000000000001</v>
      </c>
      <c r="B7" s="86" t="s">
        <v>312</v>
      </c>
      <c r="C7" s="14" t="s">
        <v>29</v>
      </c>
      <c r="D7" s="286">
        <f>+'Presupuesto Obra_MATA'!E9</f>
        <v>19</v>
      </c>
      <c r="E7" s="88" t="s">
        <v>380</v>
      </c>
    </row>
    <row r="8" spans="1:7" ht="42.75" x14ac:dyDescent="0.2">
      <c r="A8" s="34" t="s">
        <v>180</v>
      </c>
      <c r="B8" s="86" t="s">
        <v>83</v>
      </c>
      <c r="C8" s="14" t="s">
        <v>19</v>
      </c>
      <c r="D8" s="286">
        <f>+'Presupuesto Obra_MATA'!E10</f>
        <v>0</v>
      </c>
      <c r="E8" s="88" t="s">
        <v>402</v>
      </c>
    </row>
    <row r="9" spans="1:7" ht="42.75" x14ac:dyDescent="0.2">
      <c r="A9" s="34" t="s">
        <v>181</v>
      </c>
      <c r="B9" s="106" t="str">
        <f>+'Presupuesto Obra_MATA'!C11</f>
        <v>Demolición mecánica, retiro y botada de  pavimento flexible e = &lt;= 12cm</v>
      </c>
      <c r="C9" s="14" t="str">
        <f>+'Presupuesto Obra_MATA'!D11</f>
        <v>m2</v>
      </c>
      <c r="D9" s="286">
        <f>+'Presupuesto Obra_MATA'!E11</f>
        <v>0</v>
      </c>
      <c r="E9" s="88" t="s">
        <v>163</v>
      </c>
    </row>
    <row r="10" spans="1:7" ht="15" x14ac:dyDescent="0.25">
      <c r="A10" s="324">
        <v>2</v>
      </c>
      <c r="B10" s="19" t="s">
        <v>23</v>
      </c>
      <c r="C10" s="20"/>
      <c r="D10" s="314" t="s">
        <v>24</v>
      </c>
      <c r="E10" s="89"/>
    </row>
    <row r="11" spans="1:7" ht="15" x14ac:dyDescent="0.25">
      <c r="A11" s="250">
        <v>2.1</v>
      </c>
      <c r="B11" s="28" t="s">
        <v>86</v>
      </c>
      <c r="C11" s="26"/>
      <c r="D11" s="315"/>
      <c r="E11" s="90"/>
    </row>
    <row r="12" spans="1:7" x14ac:dyDescent="0.2">
      <c r="A12" s="34" t="s">
        <v>376</v>
      </c>
      <c r="B12" s="110" t="s">
        <v>92</v>
      </c>
      <c r="C12" s="39" t="s">
        <v>22</v>
      </c>
      <c r="D12" s="286">
        <f>+'Presupuesto Obra_MATA'!E16</f>
        <v>5816</v>
      </c>
      <c r="E12" s="762" t="s">
        <v>344</v>
      </c>
    </row>
    <row r="13" spans="1:7" x14ac:dyDescent="0.2">
      <c r="A13" s="291" t="s">
        <v>377</v>
      </c>
      <c r="B13" s="110" t="s">
        <v>91</v>
      </c>
      <c r="C13" s="39" t="s">
        <v>22</v>
      </c>
      <c r="D13" s="286">
        <f>+'Presupuesto Obra_MATA'!E17</f>
        <v>185</v>
      </c>
      <c r="E13" s="763"/>
    </row>
    <row r="14" spans="1:7" ht="15" customHeight="1" x14ac:dyDescent="0.25">
      <c r="A14" s="250">
        <v>3.2</v>
      </c>
      <c r="B14" s="28" t="s">
        <v>26</v>
      </c>
      <c r="C14" s="26"/>
      <c r="D14" s="315"/>
      <c r="E14" s="90"/>
    </row>
    <row r="15" spans="1:7" ht="26.25" customHeight="1" x14ac:dyDescent="0.2">
      <c r="A15" s="34" t="s">
        <v>332</v>
      </c>
      <c r="B15" s="25" t="s">
        <v>28</v>
      </c>
      <c r="C15" s="14" t="s">
        <v>29</v>
      </c>
      <c r="D15" s="286">
        <f>+'Presupuesto Obra_MATA'!E19</f>
        <v>4511.3367727035939</v>
      </c>
      <c r="E15" s="758" t="s">
        <v>345</v>
      </c>
    </row>
    <row r="16" spans="1:7" ht="30" customHeight="1" x14ac:dyDescent="0.2">
      <c r="A16" s="34" t="s">
        <v>333</v>
      </c>
      <c r="B16" s="25" t="s">
        <v>31</v>
      </c>
      <c r="C16" s="14" t="s">
        <v>29</v>
      </c>
      <c r="D16" s="286">
        <f>+'Presupuesto Obra_MATA'!E20</f>
        <v>705</v>
      </c>
      <c r="E16" s="759"/>
    </row>
    <row r="17" spans="1:5" ht="15" customHeight="1" x14ac:dyDescent="0.25">
      <c r="A17" s="250">
        <v>3.3</v>
      </c>
      <c r="B17" s="28" t="s">
        <v>33</v>
      </c>
      <c r="C17" s="26"/>
      <c r="D17" s="315"/>
      <c r="E17" s="90"/>
    </row>
    <row r="18" spans="1:5" ht="57" x14ac:dyDescent="0.2">
      <c r="A18" s="34" t="s">
        <v>334</v>
      </c>
      <c r="B18" s="25" t="s">
        <v>36</v>
      </c>
      <c r="C18" s="14" t="s">
        <v>29</v>
      </c>
      <c r="D18" s="286">
        <f>+'Presupuesto Obra_MATA'!E22</f>
        <v>1029</v>
      </c>
      <c r="E18" s="88" t="s">
        <v>346</v>
      </c>
    </row>
    <row r="19" spans="1:5" ht="57" x14ac:dyDescent="0.2">
      <c r="A19" s="34" t="s">
        <v>335</v>
      </c>
      <c r="B19" s="106" t="s">
        <v>38</v>
      </c>
      <c r="C19" s="14" t="s">
        <v>29</v>
      </c>
      <c r="D19" s="286">
        <f>+'Presupuesto Obra_MATA'!E23</f>
        <v>3601.4999999999995</v>
      </c>
      <c r="E19" s="88" t="s">
        <v>319</v>
      </c>
    </row>
    <row r="20" spans="1:5" ht="43.5" customHeight="1" x14ac:dyDescent="0.2">
      <c r="A20" s="34" t="s">
        <v>336</v>
      </c>
      <c r="B20" s="85" t="s">
        <v>41</v>
      </c>
      <c r="C20" s="14" t="s">
        <v>29</v>
      </c>
      <c r="D20" s="286" t="e">
        <f>+'Presupuesto Obra_MATA'!#REF!</f>
        <v>#REF!</v>
      </c>
      <c r="E20" s="88" t="s">
        <v>320</v>
      </c>
    </row>
    <row r="21" spans="1:5" ht="55.5" customHeight="1" x14ac:dyDescent="0.2">
      <c r="A21" s="34" t="s">
        <v>337</v>
      </c>
      <c r="B21" s="85" t="str">
        <f>+'Presupuesto Obra_MATA'!C24</f>
        <v>Suministro, transporte y colocación de lleno con Triturado</v>
      </c>
      <c r="C21" s="14" t="s">
        <v>29</v>
      </c>
      <c r="D21" s="286">
        <f>+'Presupuesto Obra_MATA'!E24</f>
        <v>514.5</v>
      </c>
      <c r="E21" s="88" t="s">
        <v>321</v>
      </c>
    </row>
    <row r="22" spans="1:5" ht="15" x14ac:dyDescent="0.25">
      <c r="A22" s="250">
        <v>4.4000000000000004</v>
      </c>
      <c r="B22" s="28" t="s">
        <v>42</v>
      </c>
      <c r="C22" s="26"/>
      <c r="D22" s="315"/>
      <c r="E22" s="90"/>
    </row>
    <row r="23" spans="1:5" ht="42.75" x14ac:dyDescent="0.2">
      <c r="A23" s="34" t="s">
        <v>338</v>
      </c>
      <c r="B23" s="35" t="s">
        <v>44</v>
      </c>
      <c r="C23" s="14" t="s">
        <v>29</v>
      </c>
      <c r="D23" s="286">
        <f>+'Presupuesto Obra_MATA'!E26</f>
        <v>4258.6735454071877</v>
      </c>
      <c r="E23" s="88" t="s">
        <v>347</v>
      </c>
    </row>
    <row r="24" spans="1:5" ht="15" x14ac:dyDescent="0.25">
      <c r="A24" s="324">
        <v>3</v>
      </c>
      <c r="B24" s="33" t="s">
        <v>45</v>
      </c>
      <c r="C24" s="20"/>
      <c r="D24" s="314"/>
      <c r="E24" s="89"/>
    </row>
    <row r="25" spans="1:5" ht="42.75" x14ac:dyDescent="0.2">
      <c r="A25" s="34" t="s">
        <v>85</v>
      </c>
      <c r="B25" s="32" t="s">
        <v>47</v>
      </c>
      <c r="C25" s="14" t="s">
        <v>29</v>
      </c>
      <c r="D25" s="286" t="e">
        <f>+'Presupuesto Obra_MATA'!#REF!</f>
        <v>#REF!</v>
      </c>
      <c r="E25" s="88" t="s">
        <v>348</v>
      </c>
    </row>
    <row r="26" spans="1:5" ht="57.95" customHeight="1" x14ac:dyDescent="0.2">
      <c r="A26" s="34" t="s">
        <v>25</v>
      </c>
      <c r="B26" s="32" t="s">
        <v>50</v>
      </c>
      <c r="C26" s="14" t="s">
        <v>29</v>
      </c>
      <c r="D26" s="286" t="e">
        <f>+'Presupuesto Obra_MATA'!#REF!</f>
        <v>#REF!</v>
      </c>
      <c r="E26" s="88" t="s">
        <v>349</v>
      </c>
    </row>
    <row r="27" spans="1:5" ht="15" x14ac:dyDescent="0.25">
      <c r="A27" s="324">
        <v>4</v>
      </c>
      <c r="B27" s="33" t="s">
        <v>51</v>
      </c>
      <c r="C27" s="20"/>
      <c r="D27" s="314"/>
      <c r="E27" s="89"/>
    </row>
    <row r="28" spans="1:5" ht="43.5" customHeight="1" x14ac:dyDescent="0.2">
      <c r="A28" s="34" t="s">
        <v>46</v>
      </c>
      <c r="B28" s="83" t="s">
        <v>177</v>
      </c>
      <c r="C28" s="39" t="s">
        <v>19</v>
      </c>
      <c r="D28" s="286" t="e">
        <f>+'Presupuesto Obra_MATA'!#REF!</f>
        <v>#REF!</v>
      </c>
      <c r="E28" s="88" t="s">
        <v>322</v>
      </c>
    </row>
    <row r="29" spans="1:5" ht="49.5" customHeight="1" x14ac:dyDescent="0.2">
      <c r="A29" s="34" t="s">
        <v>286</v>
      </c>
      <c r="B29" s="83" t="s">
        <v>176</v>
      </c>
      <c r="C29" s="39" t="s">
        <v>21</v>
      </c>
      <c r="D29" s="286" t="e">
        <f>+'Presupuesto Obra_MATA'!#REF!</f>
        <v>#REF!</v>
      </c>
      <c r="E29" s="88" t="s">
        <v>322</v>
      </c>
    </row>
    <row r="30" spans="1:5" ht="49.5" customHeight="1" x14ac:dyDescent="0.2">
      <c r="A30" s="34" t="s">
        <v>288</v>
      </c>
      <c r="B30" s="83" t="s">
        <v>52</v>
      </c>
      <c r="C30" s="39" t="s">
        <v>21</v>
      </c>
      <c r="D30" s="286">
        <f>+'Presupuesto Obra_MATA'!E28</f>
        <v>10</v>
      </c>
      <c r="E30" s="88" t="s">
        <v>350</v>
      </c>
    </row>
    <row r="31" spans="1:5" ht="49.5" customHeight="1" x14ac:dyDescent="0.2">
      <c r="A31" s="34" t="s">
        <v>49</v>
      </c>
      <c r="B31" s="83" t="s">
        <v>170</v>
      </c>
      <c r="C31" s="39" t="s">
        <v>21</v>
      </c>
      <c r="D31" s="286" t="e">
        <f>+'Presupuesto Obra_MATA'!#REF!</f>
        <v>#REF!</v>
      </c>
      <c r="E31" s="88" t="s">
        <v>323</v>
      </c>
    </row>
    <row r="32" spans="1:5" ht="42" customHeight="1" x14ac:dyDescent="0.2">
      <c r="A32" s="34" t="s">
        <v>291</v>
      </c>
      <c r="B32" s="83" t="s">
        <v>172</v>
      </c>
      <c r="C32" s="39" t="s">
        <v>21</v>
      </c>
      <c r="D32" s="286" t="e">
        <f>+'Presupuesto Obra_MATA'!#REF!</f>
        <v>#REF!</v>
      </c>
      <c r="E32" s="88" t="s">
        <v>323</v>
      </c>
    </row>
    <row r="33" spans="1:5" ht="58.5" customHeight="1" x14ac:dyDescent="0.2">
      <c r="A33" s="34" t="s">
        <v>293</v>
      </c>
      <c r="B33" s="83" t="s">
        <v>174</v>
      </c>
      <c r="C33" s="39" t="s">
        <v>19</v>
      </c>
      <c r="D33" s="286" t="e">
        <f>+'Presupuesto Obra_MATA'!#REF!</f>
        <v>#REF!</v>
      </c>
      <c r="E33" s="88" t="s">
        <v>351</v>
      </c>
    </row>
    <row r="34" spans="1:5" ht="53.25" customHeight="1" x14ac:dyDescent="0.2">
      <c r="A34" s="34" t="s">
        <v>295</v>
      </c>
      <c r="B34" s="83" t="s">
        <v>53</v>
      </c>
      <c r="C34" s="39" t="s">
        <v>21</v>
      </c>
      <c r="D34" s="286">
        <f>+'Presupuesto Obra_MATA'!E32</f>
        <v>143</v>
      </c>
      <c r="E34" s="88" t="s">
        <v>352</v>
      </c>
    </row>
    <row r="35" spans="1:5" ht="45" x14ac:dyDescent="0.25">
      <c r="A35" s="324">
        <v>5</v>
      </c>
      <c r="B35" s="33" t="s">
        <v>142</v>
      </c>
      <c r="C35" s="20"/>
      <c r="D35" s="314"/>
      <c r="E35" s="89"/>
    </row>
    <row r="36" spans="1:5" x14ac:dyDescent="0.2">
      <c r="A36" s="81" t="s">
        <v>178</v>
      </c>
      <c r="B36" s="35" t="s">
        <v>57</v>
      </c>
      <c r="C36" s="14" t="s">
        <v>19</v>
      </c>
      <c r="D36" s="286">
        <f>+'Presupuesto Obra_MATA'!E39</f>
        <v>1040</v>
      </c>
      <c r="E36" s="760" t="s">
        <v>324</v>
      </c>
    </row>
    <row r="37" spans="1:5" x14ac:dyDescent="0.2">
      <c r="A37" s="82" t="s">
        <v>168</v>
      </c>
      <c r="B37" s="32" t="s">
        <v>58</v>
      </c>
      <c r="C37" s="14" t="s">
        <v>19</v>
      </c>
      <c r="D37" s="286">
        <f>+'Presupuesto Obra_MATA'!E40</f>
        <v>704</v>
      </c>
      <c r="E37" s="761"/>
    </row>
    <row r="38" spans="1:5" ht="64.7" customHeight="1" x14ac:dyDescent="0.2">
      <c r="A38" s="82" t="s">
        <v>66</v>
      </c>
      <c r="B38" s="83" t="s">
        <v>124</v>
      </c>
      <c r="C38" s="39" t="s">
        <v>21</v>
      </c>
      <c r="D38" s="286">
        <f>+'Presupuesto Obra_MATA'!E45</f>
        <v>108</v>
      </c>
      <c r="E38" s="206" t="s">
        <v>165</v>
      </c>
    </row>
    <row r="39" spans="1:5" ht="72" customHeight="1" x14ac:dyDescent="0.2">
      <c r="A39" s="82" t="s">
        <v>96</v>
      </c>
      <c r="B39" s="83" t="s">
        <v>124</v>
      </c>
      <c r="C39" s="39" t="s">
        <v>21</v>
      </c>
      <c r="D39" s="286">
        <f>+'Presupuesto Obra_MATA'!E46</f>
        <v>25</v>
      </c>
      <c r="E39" s="206" t="s">
        <v>165</v>
      </c>
    </row>
    <row r="40" spans="1:5" ht="15" x14ac:dyDescent="0.25">
      <c r="A40" s="82" t="s">
        <v>168</v>
      </c>
      <c r="B40" s="33" t="s">
        <v>68</v>
      </c>
      <c r="C40" s="20"/>
      <c r="D40" s="314"/>
      <c r="E40" s="89"/>
    </row>
    <row r="41" spans="1:5" ht="48.95" customHeight="1" thickBot="1" x14ac:dyDescent="0.25">
      <c r="A41" s="82" t="s">
        <v>66</v>
      </c>
      <c r="B41" s="109" t="s">
        <v>69</v>
      </c>
      <c r="C41" s="93" t="s">
        <v>21</v>
      </c>
      <c r="D41" s="316" t="e">
        <f>+'Presupuesto Obra_MATA'!#REF!</f>
        <v>#REF!</v>
      </c>
      <c r="E41" s="108" t="s">
        <v>164</v>
      </c>
    </row>
  </sheetData>
  <mergeCells count="6">
    <mergeCell ref="E15:E16"/>
    <mergeCell ref="E36:E37"/>
    <mergeCell ref="A1:E1"/>
    <mergeCell ref="E12:E13"/>
    <mergeCell ref="B2:E2"/>
    <mergeCell ref="B3:E3"/>
  </mergeCells>
  <phoneticPr fontId="23" type="noConversion"/>
  <printOptions horizontalCentered="1"/>
  <pageMargins left="0.47244094488188981" right="0.47244094488188981" top="0.74803149606299213" bottom="0.74803149606299213" header="0.31496062992125984" footer="0.31496062992125984"/>
  <pageSetup scale="73" orientation="portrait"/>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68"/>
  <sheetViews>
    <sheetView topLeftCell="A4" zoomScale="88" zoomScaleNormal="88" zoomScaleSheetLayoutView="120" workbookViewId="0">
      <selection activeCell="E9" sqref="E9"/>
    </sheetView>
  </sheetViews>
  <sheetFormatPr baseColWidth="10" defaultColWidth="11.42578125" defaultRowHeight="12" x14ac:dyDescent="0.2"/>
  <cols>
    <col min="1" max="1" width="1.28515625" style="135" customWidth="1"/>
    <col min="2" max="2" width="6.42578125" style="129" customWidth="1"/>
    <col min="3" max="3" width="30" style="130" customWidth="1"/>
    <col min="4" max="4" width="4.7109375" style="131" customWidth="1"/>
    <col min="5" max="5" width="5.7109375" style="132" customWidth="1"/>
    <col min="6" max="6" width="5.7109375" style="133" customWidth="1"/>
    <col min="7" max="7" width="12.28515625" style="134" customWidth="1"/>
    <col min="8" max="8" width="11" style="135" customWidth="1"/>
    <col min="9" max="9" width="12.42578125" style="136" customWidth="1"/>
    <col min="10" max="10" width="9" style="137" hidden="1" customWidth="1"/>
    <col min="11" max="11" width="15.7109375" style="135" hidden="1" customWidth="1"/>
    <col min="12" max="12" width="13.7109375" style="134" hidden="1" customWidth="1"/>
    <col min="13" max="13" width="16.7109375" style="135" hidden="1" customWidth="1"/>
    <col min="14" max="14" width="11.7109375" style="135" hidden="1" customWidth="1"/>
    <col min="15" max="15" width="0" style="135" hidden="1" customWidth="1"/>
    <col min="16" max="16384" width="11.42578125" style="135"/>
  </cols>
  <sheetData>
    <row r="1" spans="2:15" ht="7.5" customHeight="1" x14ac:dyDescent="0.2"/>
    <row r="2" spans="2:15" ht="39.75" customHeight="1" x14ac:dyDescent="0.2">
      <c r="B2" s="764" t="s">
        <v>183</v>
      </c>
      <c r="C2" s="764"/>
      <c r="D2" s="764"/>
      <c r="E2" s="764"/>
      <c r="F2" s="764"/>
      <c r="G2" s="764"/>
      <c r="H2" s="764"/>
      <c r="I2" s="764"/>
    </row>
    <row r="3" spans="2:15" ht="17.25" customHeight="1" x14ac:dyDescent="0.2">
      <c r="B3" s="765" t="s">
        <v>184</v>
      </c>
      <c r="C3" s="766"/>
      <c r="D3" s="766"/>
      <c r="E3" s="766"/>
      <c r="F3" s="767"/>
      <c r="G3" s="771" t="s">
        <v>185</v>
      </c>
      <c r="H3" s="772"/>
      <c r="I3" s="209" t="e">
        <f>+'Presupuesto Obra_MATA'!G54</f>
        <v>#REF!</v>
      </c>
      <c r="J3" s="138">
        <v>1.44</v>
      </c>
    </row>
    <row r="4" spans="2:15" ht="30.75" customHeight="1" x14ac:dyDescent="0.2">
      <c r="B4" s="768"/>
      <c r="C4" s="769"/>
      <c r="D4" s="769"/>
      <c r="E4" s="769"/>
      <c r="F4" s="770"/>
      <c r="G4" s="771" t="s">
        <v>186</v>
      </c>
      <c r="H4" s="772"/>
      <c r="I4" s="210" t="s">
        <v>375</v>
      </c>
      <c r="J4" s="138">
        <f>1+H64</f>
        <v>1</v>
      </c>
    </row>
    <row r="5" spans="2:15" ht="19.5" customHeight="1" thickBot="1" x14ac:dyDescent="0.25">
      <c r="B5" s="211" t="s">
        <v>187</v>
      </c>
      <c r="C5" s="212" t="s">
        <v>188</v>
      </c>
      <c r="D5" s="212" t="s">
        <v>189</v>
      </c>
      <c r="E5" s="213" t="s">
        <v>190</v>
      </c>
      <c r="F5" s="214" t="s">
        <v>191</v>
      </c>
      <c r="G5" s="215" t="s">
        <v>192</v>
      </c>
      <c r="H5" s="216" t="s">
        <v>193</v>
      </c>
      <c r="I5" s="217" t="s">
        <v>194</v>
      </c>
    </row>
    <row r="6" spans="2:15" ht="18" customHeight="1" thickBot="1" x14ac:dyDescent="0.25">
      <c r="B6" s="218" t="s">
        <v>195</v>
      </c>
      <c r="C6" s="219" t="s">
        <v>196</v>
      </c>
      <c r="D6" s="220"/>
      <c r="E6" s="221" t="s">
        <v>197</v>
      </c>
      <c r="F6" s="222"/>
      <c r="G6" s="223"/>
      <c r="H6" s="224" t="e">
        <f>SUM(H8:H44)+H49</f>
        <v>#REF!</v>
      </c>
      <c r="I6" s="225"/>
    </row>
    <row r="7" spans="2:15" x14ac:dyDescent="0.2">
      <c r="B7" s="139" t="s">
        <v>17</v>
      </c>
      <c r="C7" s="140" t="s">
        <v>198</v>
      </c>
      <c r="D7" s="141" t="s">
        <v>199</v>
      </c>
      <c r="E7" s="142"/>
      <c r="F7" s="143"/>
      <c r="G7" s="144"/>
      <c r="H7" s="145"/>
      <c r="I7" s="146"/>
    </row>
    <row r="8" spans="2:15" x14ac:dyDescent="0.2">
      <c r="B8" s="147" t="s">
        <v>200</v>
      </c>
      <c r="C8" s="148" t="s">
        <v>201</v>
      </c>
      <c r="D8" s="149" t="s">
        <v>189</v>
      </c>
      <c r="E8" s="150">
        <v>1</v>
      </c>
      <c r="F8" s="151">
        <v>1</v>
      </c>
      <c r="G8" s="152">
        <v>500000</v>
      </c>
      <c r="H8" s="153" t="e">
        <f>+I8/$I$3</f>
        <v>#REF!</v>
      </c>
      <c r="I8" s="152">
        <f>+E8*F8*G8</f>
        <v>500000</v>
      </c>
      <c r="K8" s="154">
        <v>547000000</v>
      </c>
      <c r="L8" s="154">
        <v>101000</v>
      </c>
    </row>
    <row r="9" spans="2:15" x14ac:dyDescent="0.2">
      <c r="B9" s="147" t="s">
        <v>202</v>
      </c>
      <c r="C9" s="155" t="s">
        <v>203</v>
      </c>
      <c r="D9" s="156" t="s">
        <v>189</v>
      </c>
      <c r="E9" s="157">
        <v>1</v>
      </c>
      <c r="F9" s="158">
        <v>1</v>
      </c>
      <c r="G9" s="159">
        <v>170000</v>
      </c>
      <c r="H9" s="160" t="e">
        <f t="shared" ref="H9:H61" si="0">+I9/$I$3</f>
        <v>#REF!</v>
      </c>
      <c r="I9" s="159">
        <f>+E9*F9*G9</f>
        <v>170000</v>
      </c>
      <c r="K9" s="154">
        <v>769000000</v>
      </c>
      <c r="L9" s="154">
        <f>+(K9*L8)/K8</f>
        <v>141990.85923217551</v>
      </c>
      <c r="M9" s="154"/>
    </row>
    <row r="10" spans="2:15" x14ac:dyDescent="0.2">
      <c r="B10" s="147" t="s">
        <v>204</v>
      </c>
      <c r="C10" s="155" t="s">
        <v>205</v>
      </c>
      <c r="D10" s="156" t="s">
        <v>189</v>
      </c>
      <c r="E10" s="157">
        <v>1</v>
      </c>
      <c r="F10" s="158">
        <v>3</v>
      </c>
      <c r="G10" s="159">
        <v>135000</v>
      </c>
      <c r="H10" s="160" t="e">
        <f>+I10/$I$3</f>
        <v>#REF!</v>
      </c>
      <c r="I10" s="159">
        <f>+E10*F10*G10</f>
        <v>405000</v>
      </c>
      <c r="L10" s="154"/>
      <c r="M10" s="154"/>
    </row>
    <row r="11" spans="2:15" x14ac:dyDescent="0.2">
      <c r="B11" s="147" t="s">
        <v>206</v>
      </c>
      <c r="C11" s="155" t="s">
        <v>207</v>
      </c>
      <c r="D11" s="156" t="s">
        <v>189</v>
      </c>
      <c r="E11" s="157">
        <v>1</v>
      </c>
      <c r="F11" s="158">
        <v>1</v>
      </c>
      <c r="G11" s="159">
        <v>58307.438333333339</v>
      </c>
      <c r="H11" s="160" t="e">
        <f>+I11/$I$3</f>
        <v>#REF!</v>
      </c>
      <c r="I11" s="159">
        <f>+E11*F11*G11</f>
        <v>58307.438333333339</v>
      </c>
      <c r="L11" s="154"/>
      <c r="M11" s="154"/>
    </row>
    <row r="12" spans="2:15" x14ac:dyDescent="0.2">
      <c r="B12" s="147" t="s">
        <v>208</v>
      </c>
      <c r="C12" s="161" t="s">
        <v>209</v>
      </c>
      <c r="D12" s="162" t="s">
        <v>189</v>
      </c>
      <c r="E12" s="163">
        <v>1</v>
      </c>
      <c r="F12" s="164">
        <v>0.5</v>
      </c>
      <c r="G12" s="165">
        <v>32170.385833333334</v>
      </c>
      <c r="H12" s="166" t="e">
        <f>+I12/$I$3</f>
        <v>#REF!</v>
      </c>
      <c r="I12" s="165">
        <f t="shared" ref="I12:I44" si="1">+E12*F12*G12</f>
        <v>16085.192916666667</v>
      </c>
      <c r="L12" s="154"/>
      <c r="M12" s="154"/>
    </row>
    <row r="13" spans="2:15" x14ac:dyDescent="0.2">
      <c r="B13" s="167" t="s">
        <v>180</v>
      </c>
      <c r="C13" s="140" t="s">
        <v>210</v>
      </c>
      <c r="D13" s="168" t="s">
        <v>199</v>
      </c>
      <c r="E13" s="169"/>
      <c r="F13" s="170"/>
      <c r="G13" s="171"/>
      <c r="H13" s="172"/>
      <c r="I13" s="173"/>
      <c r="K13" s="136"/>
      <c r="L13" s="154">
        <f>K13-I9</f>
        <v>-170000</v>
      </c>
      <c r="M13" s="154"/>
    </row>
    <row r="14" spans="2:15" x14ac:dyDescent="0.2">
      <c r="B14" s="147" t="s">
        <v>211</v>
      </c>
      <c r="C14" s="148" t="s">
        <v>212</v>
      </c>
      <c r="D14" s="149" t="s">
        <v>189</v>
      </c>
      <c r="E14" s="150"/>
      <c r="F14" s="151"/>
      <c r="G14" s="152" t="e">
        <f>+I3*J3*0.2*(0.5/100)</f>
        <v>#REF!</v>
      </c>
      <c r="H14" s="153" t="e">
        <f t="shared" si="0"/>
        <v>#REF!</v>
      </c>
      <c r="I14" s="152" t="e">
        <f t="shared" si="1"/>
        <v>#REF!</v>
      </c>
      <c r="K14" s="136"/>
      <c r="L14" s="154">
        <f>J14-K14</f>
        <v>0</v>
      </c>
      <c r="M14" s="154"/>
      <c r="N14" s="174">
        <v>3.0000000000000001E-3</v>
      </c>
      <c r="O14" s="135" t="s">
        <v>213</v>
      </c>
    </row>
    <row r="15" spans="2:15" x14ac:dyDescent="0.2">
      <c r="B15" s="147" t="s">
        <v>214</v>
      </c>
      <c r="C15" s="155" t="s">
        <v>215</v>
      </c>
      <c r="D15" s="156" t="s">
        <v>189</v>
      </c>
      <c r="E15" s="157">
        <v>1</v>
      </c>
      <c r="F15" s="158">
        <v>1</v>
      </c>
      <c r="G15" s="159" t="e">
        <f>+I3*1.3*0.0004</f>
        <v>#REF!</v>
      </c>
      <c r="H15" s="160" t="e">
        <f t="shared" si="0"/>
        <v>#REF!</v>
      </c>
      <c r="I15" s="159" t="e">
        <f t="shared" si="1"/>
        <v>#REF!</v>
      </c>
      <c r="L15" s="154"/>
      <c r="M15" s="154"/>
      <c r="N15" s="174">
        <v>3.0000000000000001E-3</v>
      </c>
    </row>
    <row r="16" spans="2:15" x14ac:dyDescent="0.2">
      <c r="B16" s="147" t="s">
        <v>216</v>
      </c>
      <c r="C16" s="155" t="s">
        <v>317</v>
      </c>
      <c r="D16" s="156" t="s">
        <v>189</v>
      </c>
      <c r="E16" s="157">
        <v>1</v>
      </c>
      <c r="F16" s="158">
        <v>1</v>
      </c>
      <c r="G16" s="159" t="e">
        <f>+I3*1.3*0.0016</f>
        <v>#REF!</v>
      </c>
      <c r="H16" s="160" t="e">
        <f t="shared" si="0"/>
        <v>#REF!</v>
      </c>
      <c r="I16" s="159" t="e">
        <f t="shared" si="1"/>
        <v>#REF!</v>
      </c>
      <c r="L16" s="154"/>
      <c r="M16" s="154"/>
      <c r="N16" s="174">
        <v>3.0000000000000001E-3</v>
      </c>
    </row>
    <row r="17" spans="2:14" x14ac:dyDescent="0.2">
      <c r="B17" s="147" t="s">
        <v>217</v>
      </c>
      <c r="C17" s="155" t="s">
        <v>218</v>
      </c>
      <c r="D17" s="156" t="s">
        <v>189</v>
      </c>
      <c r="E17" s="157">
        <v>1</v>
      </c>
      <c r="F17" s="158">
        <v>1</v>
      </c>
      <c r="G17" s="159" t="e">
        <f>+I3*1.3*0.001</f>
        <v>#REF!</v>
      </c>
      <c r="H17" s="160" t="e">
        <f t="shared" si="0"/>
        <v>#REF!</v>
      </c>
      <c r="I17" s="159" t="e">
        <f t="shared" si="1"/>
        <v>#REF!</v>
      </c>
      <c r="L17" s="154"/>
      <c r="M17" s="154"/>
      <c r="N17" s="174">
        <v>3.0000000000000001E-3</v>
      </c>
    </row>
    <row r="18" spans="2:14" x14ac:dyDescent="0.2">
      <c r="B18" s="147" t="s">
        <v>219</v>
      </c>
      <c r="C18" s="155" t="s">
        <v>220</v>
      </c>
      <c r="D18" s="156" t="s">
        <v>189</v>
      </c>
      <c r="E18" s="157"/>
      <c r="F18" s="158"/>
      <c r="G18" s="159" t="e">
        <f>+I3*J3*(0.1/100)</f>
        <v>#REF!</v>
      </c>
      <c r="H18" s="160" t="e">
        <f t="shared" si="0"/>
        <v>#REF!</v>
      </c>
      <c r="I18" s="159" t="e">
        <f t="shared" si="1"/>
        <v>#REF!</v>
      </c>
      <c r="L18" s="154"/>
      <c r="M18" s="175"/>
      <c r="N18" s="174">
        <v>3.0000000000000001E-3</v>
      </c>
    </row>
    <row r="19" spans="2:14" x14ac:dyDescent="0.2">
      <c r="B19" s="176" t="s">
        <v>181</v>
      </c>
      <c r="C19" s="177" t="s">
        <v>221</v>
      </c>
      <c r="D19" s="162" t="s">
        <v>189</v>
      </c>
      <c r="E19" s="163">
        <v>1</v>
      </c>
      <c r="F19" s="164">
        <v>1</v>
      </c>
      <c r="G19" s="159">
        <v>729692.50901775656</v>
      </c>
      <c r="H19" s="166" t="e">
        <f t="shared" si="0"/>
        <v>#REF!</v>
      </c>
      <c r="I19" s="165">
        <f t="shared" si="1"/>
        <v>729692.50901775656</v>
      </c>
      <c r="J19" s="174">
        <v>5.0000000000000001E-3</v>
      </c>
      <c r="L19" s="178"/>
    </row>
    <row r="20" spans="2:14" x14ac:dyDescent="0.2">
      <c r="B20" s="167" t="s">
        <v>222</v>
      </c>
      <c r="C20" s="140" t="s">
        <v>223</v>
      </c>
      <c r="D20" s="168" t="s">
        <v>199</v>
      </c>
      <c r="E20" s="169"/>
      <c r="F20" s="170"/>
      <c r="G20" s="171"/>
      <c r="H20" s="172"/>
      <c r="I20" s="173"/>
      <c r="J20" s="135"/>
      <c r="K20" s="178">
        <v>481000000</v>
      </c>
      <c r="L20" s="178">
        <v>123000</v>
      </c>
    </row>
    <row r="21" spans="2:14" x14ac:dyDescent="0.2">
      <c r="B21" s="147" t="s">
        <v>224</v>
      </c>
      <c r="C21" s="148" t="s">
        <v>225</v>
      </c>
      <c r="D21" s="149" t="s">
        <v>189</v>
      </c>
      <c r="E21" s="179">
        <v>1</v>
      </c>
      <c r="F21" s="151">
        <v>1</v>
      </c>
      <c r="G21" s="152" t="e">
        <f>I3*0.125/100</f>
        <v>#REF!</v>
      </c>
      <c r="H21" s="153" t="e">
        <f t="shared" si="0"/>
        <v>#REF!</v>
      </c>
      <c r="I21" s="152" t="e">
        <f t="shared" si="1"/>
        <v>#REF!</v>
      </c>
      <c r="J21" s="174">
        <v>6.0000000000000001E-3</v>
      </c>
      <c r="K21" s="178">
        <v>3790000000</v>
      </c>
      <c r="L21" s="134">
        <f>L20*K21/K20</f>
        <v>969168.39916839916</v>
      </c>
    </row>
    <row r="22" spans="2:14" x14ac:dyDescent="0.2">
      <c r="B22" s="147" t="s">
        <v>226</v>
      </c>
      <c r="C22" s="155" t="s">
        <v>227</v>
      </c>
      <c r="D22" s="156" t="s">
        <v>189</v>
      </c>
      <c r="E22" s="180">
        <v>1</v>
      </c>
      <c r="F22" s="158">
        <v>1</v>
      </c>
      <c r="G22" s="159">
        <v>6500000</v>
      </c>
      <c r="H22" s="160" t="e">
        <f t="shared" si="0"/>
        <v>#REF!</v>
      </c>
      <c r="I22" s="159">
        <f t="shared" si="1"/>
        <v>6500000</v>
      </c>
      <c r="J22" s="181" t="s">
        <v>228</v>
      </c>
    </row>
    <row r="23" spans="2:14" hidden="1" x14ac:dyDescent="0.2">
      <c r="B23" s="147" t="s">
        <v>229</v>
      </c>
      <c r="C23" s="155" t="s">
        <v>313</v>
      </c>
      <c r="D23" s="156" t="s">
        <v>189</v>
      </c>
      <c r="E23" s="180">
        <v>0</v>
      </c>
      <c r="F23" s="158">
        <v>1</v>
      </c>
      <c r="G23" s="159" t="e">
        <f>+I3*0.05</f>
        <v>#REF!</v>
      </c>
      <c r="H23" s="160" t="e">
        <f>+I23/$I$3</f>
        <v>#REF!</v>
      </c>
      <c r="I23" s="159" t="e">
        <f t="shared" si="1"/>
        <v>#REF!</v>
      </c>
      <c r="J23" s="182" t="s">
        <v>230</v>
      </c>
      <c r="M23" s="183"/>
    </row>
    <row r="24" spans="2:14" x14ac:dyDescent="0.2">
      <c r="B24" s="147" t="s">
        <v>231</v>
      </c>
      <c r="C24" s="161" t="s">
        <v>232</v>
      </c>
      <c r="D24" s="162" t="s">
        <v>189</v>
      </c>
      <c r="E24" s="184">
        <v>1</v>
      </c>
      <c r="F24" s="164">
        <v>1</v>
      </c>
      <c r="G24" s="165" t="e">
        <f>+I3*1.3*(0.4/100)</f>
        <v>#REF!</v>
      </c>
      <c r="H24" s="166" t="e">
        <f t="shared" si="0"/>
        <v>#REF!</v>
      </c>
      <c r="I24" s="165" t="e">
        <f t="shared" si="1"/>
        <v>#REF!</v>
      </c>
      <c r="J24" s="174">
        <v>4.0000000000000001E-3</v>
      </c>
      <c r="K24" s="178"/>
      <c r="M24" s="183"/>
    </row>
    <row r="25" spans="2:14" x14ac:dyDescent="0.2">
      <c r="B25" s="167" t="s">
        <v>233</v>
      </c>
      <c r="C25" s="140" t="s">
        <v>234</v>
      </c>
      <c r="D25" s="168"/>
      <c r="E25" s="169"/>
      <c r="F25" s="170"/>
      <c r="G25" s="171"/>
      <c r="H25" s="172"/>
      <c r="I25" s="173"/>
      <c r="J25" s="135"/>
      <c r="K25" s="137"/>
      <c r="L25" s="185"/>
    </row>
    <row r="26" spans="2:14" x14ac:dyDescent="0.2">
      <c r="B26" s="147" t="s">
        <v>235</v>
      </c>
      <c r="C26" s="148" t="s">
        <v>236</v>
      </c>
      <c r="D26" s="149" t="s">
        <v>78</v>
      </c>
      <c r="E26" s="150">
        <v>1</v>
      </c>
      <c r="F26" s="186">
        <v>90</v>
      </c>
      <c r="G26" s="152">
        <v>151000</v>
      </c>
      <c r="H26" s="153" t="e">
        <f t="shared" si="0"/>
        <v>#REF!</v>
      </c>
      <c r="I26" s="152">
        <f t="shared" si="1"/>
        <v>13590000</v>
      </c>
      <c r="K26" s="134"/>
      <c r="L26" s="137"/>
    </row>
    <row r="27" spans="2:14" x14ac:dyDescent="0.2">
      <c r="B27" s="147" t="s">
        <v>237</v>
      </c>
      <c r="C27" s="155" t="s">
        <v>238</v>
      </c>
      <c r="D27" s="156" t="s">
        <v>78</v>
      </c>
      <c r="E27" s="157">
        <v>1</v>
      </c>
      <c r="F27" s="186">
        <v>90</v>
      </c>
      <c r="G27" s="159">
        <v>125000</v>
      </c>
      <c r="H27" s="160" t="e">
        <f t="shared" si="0"/>
        <v>#REF!</v>
      </c>
      <c r="I27" s="159">
        <f t="shared" si="1"/>
        <v>11250000</v>
      </c>
      <c r="K27" s="135">
        <v>149825340</v>
      </c>
      <c r="L27" s="135"/>
    </row>
    <row r="28" spans="2:14" x14ac:dyDescent="0.2">
      <c r="B28" s="147" t="s">
        <v>239</v>
      </c>
      <c r="C28" s="155" t="s">
        <v>240</v>
      </c>
      <c r="D28" s="156" t="s">
        <v>78</v>
      </c>
      <c r="E28" s="157">
        <v>1</v>
      </c>
      <c r="F28" s="186">
        <v>90</v>
      </c>
      <c r="G28" s="159">
        <f>600000*1.7/30</f>
        <v>34000</v>
      </c>
      <c r="H28" s="160" t="e">
        <f t="shared" si="0"/>
        <v>#REF!</v>
      </c>
      <c r="I28" s="159">
        <f t="shared" si="1"/>
        <v>3060000</v>
      </c>
      <c r="L28" s="135">
        <f>69946/K27</f>
        <v>4.668502671176985E-4</v>
      </c>
    </row>
    <row r="29" spans="2:14" x14ac:dyDescent="0.2">
      <c r="B29" s="147" t="s">
        <v>241</v>
      </c>
      <c r="C29" s="155" t="s">
        <v>242</v>
      </c>
      <c r="D29" s="156" t="s">
        <v>78</v>
      </c>
      <c r="E29" s="157"/>
      <c r="F29" s="186"/>
      <c r="G29" s="159">
        <v>0</v>
      </c>
      <c r="H29" s="160" t="e">
        <f t="shared" si="0"/>
        <v>#REF!</v>
      </c>
      <c r="I29" s="159">
        <f t="shared" si="1"/>
        <v>0</v>
      </c>
      <c r="L29" s="135">
        <f>150072/K27</f>
        <v>1.0016463169714815E-3</v>
      </c>
    </row>
    <row r="30" spans="2:14" x14ac:dyDescent="0.2">
      <c r="B30" s="147" t="s">
        <v>243</v>
      </c>
      <c r="C30" s="155" t="s">
        <v>244</v>
      </c>
      <c r="D30" s="156" t="s">
        <v>78</v>
      </c>
      <c r="E30" s="157">
        <v>1</v>
      </c>
      <c r="F30" s="186">
        <v>90</v>
      </c>
      <c r="G30" s="159">
        <f>800000*1.7/30</f>
        <v>45333.333333333336</v>
      </c>
      <c r="H30" s="160" t="e">
        <f t="shared" si="0"/>
        <v>#REF!</v>
      </c>
      <c r="I30" s="159">
        <f t="shared" si="1"/>
        <v>4080000</v>
      </c>
      <c r="L30" s="135">
        <f>253431/K27</f>
        <v>1.6915095937709869E-3</v>
      </c>
    </row>
    <row r="31" spans="2:14" x14ac:dyDescent="0.2">
      <c r="B31" s="147" t="s">
        <v>245</v>
      </c>
      <c r="C31" s="155" t="s">
        <v>246</v>
      </c>
      <c r="D31" s="156" t="s">
        <v>78</v>
      </c>
      <c r="E31" s="157"/>
      <c r="F31" s="186"/>
      <c r="G31" s="159"/>
      <c r="H31" s="160" t="e">
        <f t="shared" si="0"/>
        <v>#REF!</v>
      </c>
      <c r="I31" s="159">
        <f t="shared" si="1"/>
        <v>0</v>
      </c>
      <c r="K31" s="187"/>
      <c r="L31" s="135">
        <f>179955/K27</f>
        <v>1.2010985591622886E-3</v>
      </c>
    </row>
    <row r="32" spans="2:14" x14ac:dyDescent="0.2">
      <c r="B32" s="147" t="s">
        <v>247</v>
      </c>
      <c r="C32" s="155" t="s">
        <v>248</v>
      </c>
      <c r="D32" s="156" t="s">
        <v>78</v>
      </c>
      <c r="E32" s="157"/>
      <c r="F32" s="186"/>
      <c r="G32" s="159"/>
      <c r="H32" s="160" t="e">
        <f t="shared" si="0"/>
        <v>#REF!</v>
      </c>
      <c r="I32" s="159">
        <f t="shared" si="1"/>
        <v>0</v>
      </c>
    </row>
    <row r="33" spans="2:14" x14ac:dyDescent="0.2">
      <c r="B33" s="147" t="s">
        <v>249</v>
      </c>
      <c r="C33" s="155" t="s">
        <v>250</v>
      </c>
      <c r="D33" s="156" t="s">
        <v>78</v>
      </c>
      <c r="E33" s="157"/>
      <c r="F33" s="186"/>
      <c r="G33" s="159"/>
      <c r="H33" s="160" t="e">
        <f t="shared" si="0"/>
        <v>#REF!</v>
      </c>
      <c r="I33" s="159">
        <f t="shared" si="1"/>
        <v>0</v>
      </c>
    </row>
    <row r="34" spans="2:14" x14ac:dyDescent="0.2">
      <c r="B34" s="147" t="s">
        <v>251</v>
      </c>
      <c r="C34" s="155" t="s">
        <v>252</v>
      </c>
      <c r="D34" s="156" t="s">
        <v>78</v>
      </c>
      <c r="E34" s="157">
        <v>1</v>
      </c>
      <c r="F34" s="186">
        <v>90</v>
      </c>
      <c r="G34" s="159">
        <f>1000000*1.7/30</f>
        <v>56666.666666666664</v>
      </c>
      <c r="H34" s="160" t="e">
        <f t="shared" si="0"/>
        <v>#REF!</v>
      </c>
      <c r="I34" s="159">
        <f t="shared" si="1"/>
        <v>5100000</v>
      </c>
    </row>
    <row r="35" spans="2:14" x14ac:dyDescent="0.2">
      <c r="B35" s="147" t="s">
        <v>253</v>
      </c>
      <c r="C35" s="155" t="s">
        <v>254</v>
      </c>
      <c r="D35" s="156" t="s">
        <v>78</v>
      </c>
      <c r="E35" s="157">
        <v>1</v>
      </c>
      <c r="F35" s="186">
        <v>90</v>
      </c>
      <c r="G35" s="159">
        <f>1000000*1.7/30</f>
        <v>56666.666666666664</v>
      </c>
      <c r="H35" s="160" t="e">
        <f t="shared" si="0"/>
        <v>#REF!</v>
      </c>
      <c r="I35" s="159">
        <f t="shared" si="1"/>
        <v>5100000</v>
      </c>
    </row>
    <row r="36" spans="2:14" x14ac:dyDescent="0.2">
      <c r="B36" s="167" t="s">
        <v>255</v>
      </c>
      <c r="C36" s="140" t="s">
        <v>256</v>
      </c>
      <c r="D36" s="168"/>
      <c r="E36" s="169"/>
      <c r="F36" s="170"/>
      <c r="G36" s="171"/>
      <c r="H36" s="172"/>
      <c r="I36" s="173"/>
    </row>
    <row r="37" spans="2:14" x14ac:dyDescent="0.2">
      <c r="B37" s="147" t="s">
        <v>257</v>
      </c>
      <c r="C37" s="148" t="s">
        <v>258</v>
      </c>
      <c r="D37" s="149" t="s">
        <v>259</v>
      </c>
      <c r="E37" s="150">
        <v>1</v>
      </c>
      <c r="F37" s="186">
        <v>3</v>
      </c>
      <c r="G37" s="152">
        <v>400000</v>
      </c>
      <c r="H37" s="153" t="e">
        <f t="shared" si="0"/>
        <v>#REF!</v>
      </c>
      <c r="I37" s="152">
        <f>+E37*F37*G37</f>
        <v>1200000</v>
      </c>
    </row>
    <row r="38" spans="2:14" x14ac:dyDescent="0.2">
      <c r="B38" s="147" t="s">
        <v>260</v>
      </c>
      <c r="C38" s="155" t="s">
        <v>261</v>
      </c>
      <c r="D38" s="156" t="s">
        <v>259</v>
      </c>
      <c r="E38" s="157">
        <v>1</v>
      </c>
      <c r="F38" s="186">
        <v>3</v>
      </c>
      <c r="G38" s="159">
        <f>35000*1.16*18</f>
        <v>730800</v>
      </c>
      <c r="H38" s="160" t="e">
        <f t="shared" si="0"/>
        <v>#REF!</v>
      </c>
      <c r="I38" s="159">
        <f t="shared" si="1"/>
        <v>2192400</v>
      </c>
      <c r="K38" s="135" t="s">
        <v>262</v>
      </c>
    </row>
    <row r="39" spans="2:14" x14ac:dyDescent="0.2">
      <c r="B39" s="147" t="s">
        <v>263</v>
      </c>
      <c r="C39" s="155" t="s">
        <v>264</v>
      </c>
      <c r="D39" s="156" t="s">
        <v>259</v>
      </c>
      <c r="E39" s="157">
        <v>1</v>
      </c>
      <c r="F39" s="186">
        <v>3</v>
      </c>
      <c r="G39" s="159">
        <v>300000</v>
      </c>
      <c r="H39" s="160" t="e">
        <f t="shared" si="0"/>
        <v>#REF!</v>
      </c>
      <c r="I39" s="159">
        <f t="shared" si="1"/>
        <v>900000</v>
      </c>
    </row>
    <row r="40" spans="2:14" x14ac:dyDescent="0.2">
      <c r="B40" s="147" t="s">
        <v>265</v>
      </c>
      <c r="C40" s="155" t="s">
        <v>266</v>
      </c>
      <c r="D40" s="156" t="s">
        <v>259</v>
      </c>
      <c r="E40" s="157">
        <v>1</v>
      </c>
      <c r="F40" s="186">
        <v>3</v>
      </c>
      <c r="G40" s="159">
        <v>300000</v>
      </c>
      <c r="H40" s="160" t="e">
        <f t="shared" si="0"/>
        <v>#REF!</v>
      </c>
      <c r="I40" s="159">
        <f t="shared" si="1"/>
        <v>900000</v>
      </c>
    </row>
    <row r="41" spans="2:14" x14ac:dyDescent="0.2">
      <c r="B41" s="147" t="s">
        <v>267</v>
      </c>
      <c r="C41" s="155" t="s">
        <v>268</v>
      </c>
      <c r="D41" s="156" t="s">
        <v>259</v>
      </c>
      <c r="E41" s="157">
        <v>1</v>
      </c>
      <c r="F41" s="186">
        <v>3</v>
      </c>
      <c r="G41" s="159">
        <v>200000</v>
      </c>
      <c r="H41" s="160" t="e">
        <f t="shared" si="0"/>
        <v>#REF!</v>
      </c>
      <c r="I41" s="159">
        <f t="shared" si="1"/>
        <v>600000</v>
      </c>
    </row>
    <row r="42" spans="2:14" x14ac:dyDescent="0.2">
      <c r="B42" s="147" t="s">
        <v>269</v>
      </c>
      <c r="C42" s="155" t="s">
        <v>270</v>
      </c>
      <c r="D42" s="156" t="s">
        <v>259</v>
      </c>
      <c r="E42" s="157">
        <v>20</v>
      </c>
      <c r="F42" s="186">
        <v>3</v>
      </c>
      <c r="G42" s="159">
        <v>105000</v>
      </c>
      <c r="H42" s="160" t="e">
        <f t="shared" si="0"/>
        <v>#REF!</v>
      </c>
      <c r="I42" s="159">
        <f t="shared" si="1"/>
        <v>6300000</v>
      </c>
    </row>
    <row r="43" spans="2:14" x14ac:dyDescent="0.2">
      <c r="B43" s="147" t="s">
        <v>271</v>
      </c>
      <c r="C43" s="155" t="s">
        <v>272</v>
      </c>
      <c r="D43" s="156" t="s">
        <v>259</v>
      </c>
      <c r="E43" s="157">
        <v>1</v>
      </c>
      <c r="F43" s="186">
        <v>3</v>
      </c>
      <c r="G43" s="159">
        <v>300000</v>
      </c>
      <c r="H43" s="160" t="e">
        <f t="shared" si="0"/>
        <v>#REF!</v>
      </c>
      <c r="I43" s="159">
        <f t="shared" si="1"/>
        <v>900000</v>
      </c>
    </row>
    <row r="44" spans="2:14" ht="12.75" thickBot="1" x14ac:dyDescent="0.25">
      <c r="B44" s="147" t="s">
        <v>273</v>
      </c>
      <c r="C44" s="161" t="s">
        <v>274</v>
      </c>
      <c r="D44" s="162" t="s">
        <v>259</v>
      </c>
      <c r="E44" s="163">
        <v>5</v>
      </c>
      <c r="F44" s="186">
        <v>3</v>
      </c>
      <c r="G44" s="165">
        <v>100000</v>
      </c>
      <c r="H44" s="166" t="e">
        <f t="shared" si="0"/>
        <v>#REF!</v>
      </c>
      <c r="I44" s="165">
        <f t="shared" si="1"/>
        <v>1500000</v>
      </c>
    </row>
    <row r="45" spans="2:14" ht="18" customHeight="1" thickBot="1" x14ac:dyDescent="0.25">
      <c r="B45" s="218" t="s">
        <v>275</v>
      </c>
      <c r="C45" s="219" t="s">
        <v>276</v>
      </c>
      <c r="D45" s="226" t="s">
        <v>199</v>
      </c>
      <c r="E45" s="227"/>
      <c r="F45" s="228"/>
      <c r="G45" s="229"/>
      <c r="H45" s="230">
        <f>+H46</f>
        <v>0.02</v>
      </c>
      <c r="I45" s="231"/>
    </row>
    <row r="46" spans="2:14" ht="12.75" thickBot="1" x14ac:dyDescent="0.25">
      <c r="B46" s="190" t="s">
        <v>277</v>
      </c>
      <c r="C46" s="155" t="s">
        <v>278</v>
      </c>
      <c r="D46" s="156" t="s">
        <v>279</v>
      </c>
      <c r="E46" s="157">
        <v>1</v>
      </c>
      <c r="F46" s="158">
        <v>1</v>
      </c>
      <c r="G46" s="159" t="e">
        <f>I3*0.03</f>
        <v>#REF!</v>
      </c>
      <c r="H46" s="160">
        <v>0.02</v>
      </c>
      <c r="I46" s="159" t="e">
        <f>+G46*F46</f>
        <v>#REF!</v>
      </c>
      <c r="K46" s="159" t="e">
        <f>+I3*0.03</f>
        <v>#REF!</v>
      </c>
      <c r="N46" s="191">
        <v>0.01</v>
      </c>
    </row>
    <row r="47" spans="2:14" ht="18" customHeight="1" thickBot="1" x14ac:dyDescent="0.25">
      <c r="B47" s="218" t="s">
        <v>280</v>
      </c>
      <c r="C47" s="232" t="s">
        <v>281</v>
      </c>
      <c r="D47" s="233" t="s">
        <v>199</v>
      </c>
      <c r="E47" s="234"/>
      <c r="F47" s="235"/>
      <c r="G47" s="236"/>
      <c r="H47" s="237" t="e">
        <f>+H48</f>
        <v>#REF!</v>
      </c>
      <c r="I47" s="238"/>
    </row>
    <row r="48" spans="2:14" ht="12.75" thickBot="1" x14ac:dyDescent="0.25">
      <c r="B48" s="192" t="s">
        <v>85</v>
      </c>
      <c r="C48" s="155" t="s">
        <v>282</v>
      </c>
      <c r="D48" s="156" t="s">
        <v>279</v>
      </c>
      <c r="E48" s="157">
        <v>1</v>
      </c>
      <c r="F48" s="158">
        <v>1</v>
      </c>
      <c r="G48" s="159" t="e">
        <f>+I3*(0.04)</f>
        <v>#REF!</v>
      </c>
      <c r="H48" s="160" t="e">
        <f>+I48/$I$3</f>
        <v>#REF!</v>
      </c>
      <c r="I48" s="159" t="e">
        <f>+G48*F48</f>
        <v>#REF!</v>
      </c>
      <c r="K48" s="159" t="e">
        <f>+I3*0.04</f>
        <v>#REF!</v>
      </c>
      <c r="N48" s="191">
        <v>0.06</v>
      </c>
    </row>
    <row r="49" spans="2:9" ht="18" customHeight="1" thickBot="1" x14ac:dyDescent="0.25">
      <c r="B49" s="218" t="s">
        <v>283</v>
      </c>
      <c r="C49" s="239" t="s">
        <v>284</v>
      </c>
      <c r="D49" s="240"/>
      <c r="E49" s="241"/>
      <c r="F49" s="242"/>
      <c r="G49" s="243"/>
      <c r="H49" s="244" t="e">
        <f>SUM(H50:H61)</f>
        <v>#REF!</v>
      </c>
      <c r="I49" s="245"/>
    </row>
    <row r="50" spans="2:9" x14ac:dyDescent="0.2">
      <c r="B50" s="193" t="s">
        <v>46</v>
      </c>
      <c r="C50" s="194" t="s">
        <v>285</v>
      </c>
      <c r="D50" s="151" t="s">
        <v>78</v>
      </c>
      <c r="E50" s="195"/>
      <c r="F50" s="186"/>
      <c r="G50" s="152"/>
      <c r="H50" s="153" t="e">
        <f t="shared" si="0"/>
        <v>#REF!</v>
      </c>
      <c r="I50" s="152">
        <f>+E50*F50*G50</f>
        <v>0</v>
      </c>
    </row>
    <row r="51" spans="2:9" x14ac:dyDescent="0.2">
      <c r="B51" s="193" t="s">
        <v>286</v>
      </c>
      <c r="C51" s="196" t="s">
        <v>287</v>
      </c>
      <c r="D51" s="158" t="s">
        <v>78</v>
      </c>
      <c r="E51" s="197"/>
      <c r="F51" s="188"/>
      <c r="G51" s="159">
        <v>30351</v>
      </c>
      <c r="H51" s="160" t="e">
        <f t="shared" si="0"/>
        <v>#REF!</v>
      </c>
      <c r="I51" s="159">
        <f t="shared" ref="I51:I61" si="2">+E51*F51*G51</f>
        <v>0</v>
      </c>
    </row>
    <row r="52" spans="2:9" x14ac:dyDescent="0.2">
      <c r="B52" s="193" t="s">
        <v>288</v>
      </c>
      <c r="C52" s="196" t="s">
        <v>289</v>
      </c>
      <c r="D52" s="158" t="s">
        <v>259</v>
      </c>
      <c r="E52" s="197">
        <v>1</v>
      </c>
      <c r="F52" s="188">
        <v>3</v>
      </c>
      <c r="G52" s="159">
        <v>50000</v>
      </c>
      <c r="H52" s="160" t="e">
        <f t="shared" si="0"/>
        <v>#REF!</v>
      </c>
      <c r="I52" s="159">
        <f t="shared" si="2"/>
        <v>150000</v>
      </c>
    </row>
    <row r="53" spans="2:9" x14ac:dyDescent="0.2">
      <c r="B53" s="193" t="s">
        <v>49</v>
      </c>
      <c r="C53" s="198" t="s">
        <v>290</v>
      </c>
      <c r="D53" s="158" t="s">
        <v>259</v>
      </c>
      <c r="E53" s="197">
        <v>1</v>
      </c>
      <c r="F53" s="188">
        <v>1</v>
      </c>
      <c r="G53" s="159">
        <v>300000</v>
      </c>
      <c r="H53" s="160" t="e">
        <f t="shared" si="0"/>
        <v>#REF!</v>
      </c>
      <c r="I53" s="159">
        <f t="shared" si="2"/>
        <v>300000</v>
      </c>
    </row>
    <row r="54" spans="2:9" x14ac:dyDescent="0.2">
      <c r="B54" s="193" t="s">
        <v>291</v>
      </c>
      <c r="C54" s="196" t="s">
        <v>292</v>
      </c>
      <c r="D54" s="158" t="s">
        <v>259</v>
      </c>
      <c r="E54" s="197">
        <v>1</v>
      </c>
      <c r="F54" s="188">
        <v>1</v>
      </c>
      <c r="G54" s="159">
        <v>105000</v>
      </c>
      <c r="H54" s="160" t="e">
        <f t="shared" si="0"/>
        <v>#REF!</v>
      </c>
      <c r="I54" s="159">
        <f t="shared" si="2"/>
        <v>105000</v>
      </c>
    </row>
    <row r="55" spans="2:9" x14ac:dyDescent="0.2">
      <c r="B55" s="193" t="s">
        <v>293</v>
      </c>
      <c r="C55" s="196" t="s">
        <v>294</v>
      </c>
      <c r="D55" s="158" t="s">
        <v>259</v>
      </c>
      <c r="E55" s="197"/>
      <c r="F55" s="188"/>
      <c r="G55" s="159">
        <v>1250000</v>
      </c>
      <c r="H55" s="160" t="e">
        <f t="shared" si="0"/>
        <v>#REF!</v>
      </c>
      <c r="I55" s="159">
        <f t="shared" si="2"/>
        <v>0</v>
      </c>
    </row>
    <row r="56" spans="2:9" ht="24" x14ac:dyDescent="0.2">
      <c r="B56" s="193" t="s">
        <v>295</v>
      </c>
      <c r="C56" s="196" t="s">
        <v>296</v>
      </c>
      <c r="D56" s="158" t="s">
        <v>259</v>
      </c>
      <c r="E56" s="197">
        <v>1</v>
      </c>
      <c r="F56" s="188">
        <v>3</v>
      </c>
      <c r="G56" s="159">
        <f>4*2*5700*1.16*6</f>
        <v>317375.99999999994</v>
      </c>
      <c r="H56" s="160" t="e">
        <f t="shared" si="0"/>
        <v>#REF!</v>
      </c>
      <c r="I56" s="159">
        <f t="shared" si="2"/>
        <v>952127.99999999977</v>
      </c>
    </row>
    <row r="57" spans="2:9" x14ac:dyDescent="0.2">
      <c r="B57" s="193" t="s">
        <v>297</v>
      </c>
      <c r="C57" s="199" t="s">
        <v>298</v>
      </c>
      <c r="D57" s="158" t="s">
        <v>259</v>
      </c>
      <c r="E57" s="197">
        <v>1</v>
      </c>
      <c r="F57" s="188">
        <v>3</v>
      </c>
      <c r="G57" s="159">
        <v>150000</v>
      </c>
      <c r="H57" s="160" t="e">
        <f t="shared" si="0"/>
        <v>#REF!</v>
      </c>
      <c r="I57" s="159">
        <f t="shared" si="2"/>
        <v>450000</v>
      </c>
    </row>
    <row r="58" spans="2:9" x14ac:dyDescent="0.2">
      <c r="B58" s="193" t="s">
        <v>299</v>
      </c>
      <c r="C58" s="196" t="s">
        <v>300</v>
      </c>
      <c r="D58" s="158" t="s">
        <v>259</v>
      </c>
      <c r="E58" s="197">
        <v>1</v>
      </c>
      <c r="F58" s="188">
        <v>3</v>
      </c>
      <c r="G58" s="159">
        <v>15000</v>
      </c>
      <c r="H58" s="160" t="e">
        <f t="shared" si="0"/>
        <v>#REF!</v>
      </c>
      <c r="I58" s="159">
        <f t="shared" si="2"/>
        <v>45000</v>
      </c>
    </row>
    <row r="59" spans="2:9" ht="36" x14ac:dyDescent="0.2">
      <c r="B59" s="193" t="s">
        <v>301</v>
      </c>
      <c r="C59" s="199" t="s">
        <v>302</v>
      </c>
      <c r="D59" s="158" t="s">
        <v>259</v>
      </c>
      <c r="E59" s="197">
        <v>1</v>
      </c>
      <c r="F59" s="188">
        <v>3</v>
      </c>
      <c r="G59" s="159">
        <v>500000</v>
      </c>
      <c r="H59" s="160" t="e">
        <f t="shared" si="0"/>
        <v>#REF!</v>
      </c>
      <c r="I59" s="159">
        <f t="shared" si="2"/>
        <v>1500000</v>
      </c>
    </row>
    <row r="60" spans="2:9" ht="24" x14ac:dyDescent="0.2">
      <c r="B60" s="193" t="s">
        <v>303</v>
      </c>
      <c r="C60" s="199" t="s">
        <v>304</v>
      </c>
      <c r="D60" s="158" t="s">
        <v>259</v>
      </c>
      <c r="E60" s="197">
        <v>2</v>
      </c>
      <c r="F60" s="188">
        <v>3</v>
      </c>
      <c r="G60" s="159">
        <v>75000</v>
      </c>
      <c r="H60" s="160" t="e">
        <f t="shared" si="0"/>
        <v>#REF!</v>
      </c>
      <c r="I60" s="159">
        <f t="shared" si="2"/>
        <v>450000</v>
      </c>
    </row>
    <row r="61" spans="2:9" x14ac:dyDescent="0.2">
      <c r="B61" s="193" t="s">
        <v>305</v>
      </c>
      <c r="C61" s="196" t="s">
        <v>306</v>
      </c>
      <c r="D61" s="158" t="s">
        <v>259</v>
      </c>
      <c r="E61" s="197">
        <v>5</v>
      </c>
      <c r="F61" s="188">
        <v>3</v>
      </c>
      <c r="G61" s="159">
        <v>350000</v>
      </c>
      <c r="H61" s="160" t="e">
        <f t="shared" si="0"/>
        <v>#REF!</v>
      </c>
      <c r="I61" s="159">
        <f t="shared" si="2"/>
        <v>5250000</v>
      </c>
    </row>
    <row r="62" spans="2:9" x14ac:dyDescent="0.2">
      <c r="B62" s="200"/>
      <c r="C62" s="201"/>
      <c r="D62" s="164"/>
      <c r="E62" s="202"/>
      <c r="F62" s="189"/>
      <c r="G62" s="165"/>
      <c r="H62" s="160"/>
      <c r="I62" s="159"/>
    </row>
    <row r="63" spans="2:9" ht="18" customHeight="1" x14ac:dyDescent="0.2">
      <c r="B63" s="167"/>
      <c r="C63" s="773" t="s">
        <v>307</v>
      </c>
      <c r="D63" s="774" t="s">
        <v>199</v>
      </c>
      <c r="E63" s="774"/>
      <c r="F63" s="774"/>
      <c r="G63" s="775"/>
      <c r="H63" s="246" t="e">
        <f>H6+H45+H47</f>
        <v>#REF!</v>
      </c>
      <c r="I63" s="247"/>
    </row>
    <row r="64" spans="2:9" x14ac:dyDescent="0.2">
      <c r="H64" s="203"/>
    </row>
    <row r="66" spans="8:8" x14ac:dyDescent="0.2">
      <c r="H66" s="204"/>
    </row>
    <row r="67" spans="8:8" x14ac:dyDescent="0.2">
      <c r="H67" s="204"/>
    </row>
    <row r="68" spans="8:8" x14ac:dyDescent="0.2">
      <c r="H68" s="174"/>
    </row>
  </sheetData>
  <mergeCells count="5">
    <mergeCell ref="B2:I2"/>
    <mergeCell ref="B3:F4"/>
    <mergeCell ref="G3:H3"/>
    <mergeCell ref="G4:H4"/>
    <mergeCell ref="C63:G63"/>
  </mergeCells>
  <phoneticPr fontId="23" type="noConversion"/>
  <pageMargins left="0.7" right="0.7" top="0.75" bottom="0.75" header="0.3" footer="0.3"/>
  <pageSetup orientation="portrait"/>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zoomScale="60" workbookViewId="0">
      <selection activeCell="E9" sqref="E9"/>
    </sheetView>
  </sheetViews>
  <sheetFormatPr baseColWidth="10" defaultRowHeight="15" x14ac:dyDescent="0.25"/>
  <cols>
    <col min="3" max="3" width="19.140625" style="1" customWidth="1"/>
    <col min="4" max="4" width="12.7109375" style="1" customWidth="1"/>
    <col min="5" max="5" width="12.42578125" style="1" customWidth="1"/>
    <col min="6" max="6" width="30.7109375" style="1" customWidth="1"/>
  </cols>
  <sheetData>
    <row r="1" spans="1:6" ht="14.25" customHeight="1" x14ac:dyDescent="0.25">
      <c r="A1" s="711" t="s">
        <v>7</v>
      </c>
      <c r="B1" s="711"/>
      <c r="C1" s="711"/>
      <c r="D1" s="711"/>
      <c r="E1" s="711"/>
      <c r="F1" s="711"/>
    </row>
    <row r="2" spans="1:6" x14ac:dyDescent="0.25">
      <c r="A2" s="711" t="s">
        <v>384</v>
      </c>
      <c r="B2" s="711"/>
      <c r="C2" s="711"/>
      <c r="D2" s="711"/>
      <c r="E2" s="711"/>
      <c r="F2" s="711"/>
    </row>
    <row r="3" spans="1:6" x14ac:dyDescent="0.25">
      <c r="A3" s="711" t="s">
        <v>385</v>
      </c>
      <c r="B3" s="711"/>
      <c r="C3" s="711"/>
      <c r="D3" s="711"/>
      <c r="E3" s="711"/>
      <c r="F3" s="711"/>
    </row>
    <row r="4" spans="1:6" x14ac:dyDescent="0.25">
      <c r="A4" s="785" t="s">
        <v>386</v>
      </c>
      <c r="B4" s="785"/>
      <c r="C4" s="785"/>
      <c r="D4" s="785"/>
      <c r="E4" s="785"/>
      <c r="F4" s="785"/>
    </row>
    <row r="5" spans="1:6" x14ac:dyDescent="0.25">
      <c r="C5"/>
      <c r="D5"/>
      <c r="E5"/>
      <c r="F5"/>
    </row>
    <row r="6" spans="1:6" x14ac:dyDescent="0.25">
      <c r="C6"/>
      <c r="D6"/>
      <c r="E6"/>
      <c r="F6"/>
    </row>
    <row r="7" spans="1:6" x14ac:dyDescent="0.25">
      <c r="C7"/>
      <c r="D7"/>
      <c r="E7"/>
      <c r="F7"/>
    </row>
    <row r="8" spans="1:6" ht="15.75" thickBot="1" x14ac:dyDescent="0.3">
      <c r="C8" s="3"/>
      <c r="D8" s="3"/>
      <c r="E8" s="3"/>
      <c r="F8" s="3"/>
    </row>
    <row r="9" spans="1:6" ht="53.25" customHeight="1" thickBot="1" x14ac:dyDescent="0.3">
      <c r="A9" s="673" t="s">
        <v>387</v>
      </c>
      <c r="B9" s="674"/>
      <c r="C9" s="671"/>
      <c r="D9" s="326" t="s">
        <v>76</v>
      </c>
      <c r="E9" s="4" t="s">
        <v>13</v>
      </c>
      <c r="F9" s="7" t="s">
        <v>14</v>
      </c>
    </row>
    <row r="10" spans="1:6" x14ac:dyDescent="0.25">
      <c r="A10" s="782"/>
      <c r="B10" s="783"/>
      <c r="C10" s="784"/>
      <c r="D10" s="327"/>
      <c r="E10" s="24"/>
      <c r="F10" s="328"/>
    </row>
    <row r="11" spans="1:6" x14ac:dyDescent="0.25">
      <c r="A11" s="776" t="s">
        <v>325</v>
      </c>
      <c r="B11" s="776"/>
      <c r="C11" s="776"/>
      <c r="D11" s="329" t="s">
        <v>19</v>
      </c>
      <c r="E11" s="330">
        <v>20005.939999999999</v>
      </c>
      <c r="F11" s="777" t="s">
        <v>388</v>
      </c>
    </row>
    <row r="12" spans="1:6" x14ac:dyDescent="0.25">
      <c r="A12" s="776" t="s">
        <v>326</v>
      </c>
      <c r="B12" s="776"/>
      <c r="C12" s="776"/>
      <c r="D12" s="329" t="s">
        <v>19</v>
      </c>
      <c r="E12" s="330">
        <v>29245.745999999999</v>
      </c>
      <c r="F12" s="778"/>
    </row>
    <row r="13" spans="1:6" ht="12.95" customHeight="1" x14ac:dyDescent="0.25">
      <c r="A13" s="776" t="s">
        <v>182</v>
      </c>
      <c r="B13" s="776"/>
      <c r="C13" s="776"/>
      <c r="D13" s="329" t="s">
        <v>189</v>
      </c>
      <c r="E13" s="330">
        <v>85439.799999999988</v>
      </c>
      <c r="F13" s="778"/>
    </row>
    <row r="14" spans="1:6" ht="240.95" customHeight="1" x14ac:dyDescent="0.25">
      <c r="A14" s="779"/>
      <c r="B14" s="780"/>
      <c r="C14" s="780"/>
      <c r="D14" s="780"/>
      <c r="E14" s="781"/>
      <c r="F14" s="778"/>
    </row>
  </sheetData>
  <mergeCells count="11">
    <mergeCell ref="A10:C10"/>
    <mergeCell ref="A1:F1"/>
    <mergeCell ref="A2:F2"/>
    <mergeCell ref="A3:F3"/>
    <mergeCell ref="A4:F4"/>
    <mergeCell ref="A9:C9"/>
    <mergeCell ref="A11:C11"/>
    <mergeCell ref="F11:F14"/>
    <mergeCell ref="A12:C12"/>
    <mergeCell ref="A13:C13"/>
    <mergeCell ref="A14:E14"/>
  </mergeCells>
  <phoneticPr fontId="25" type="noConversion"/>
  <pageMargins left="0.7" right="0.7" top="0.75" bottom="0.75" header="0.3" footer="0.3"/>
  <pageSetup paperSize="9" scale="91"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10" zoomScale="60" workbookViewId="0">
      <selection activeCell="E9" sqref="E9"/>
    </sheetView>
  </sheetViews>
  <sheetFormatPr baseColWidth="10" defaultRowHeight="15" x14ac:dyDescent="0.25"/>
  <cols>
    <col min="3" max="3" width="19.140625" style="1" customWidth="1"/>
    <col min="4" max="4" width="16.140625" style="1" customWidth="1"/>
    <col min="5" max="5" width="12.42578125" style="1" customWidth="1"/>
    <col min="6" max="6" width="30.7109375" style="1" customWidth="1"/>
  </cols>
  <sheetData>
    <row r="1" spans="1:6" ht="14.25" customHeight="1" x14ac:dyDescent="0.25">
      <c r="A1" s="711" t="s">
        <v>7</v>
      </c>
      <c r="B1" s="711"/>
      <c r="C1" s="711"/>
      <c r="D1" s="711"/>
      <c r="E1" s="711"/>
      <c r="F1" s="711"/>
    </row>
    <row r="2" spans="1:6" x14ac:dyDescent="0.25">
      <c r="A2" s="711" t="s">
        <v>384</v>
      </c>
      <c r="B2" s="711"/>
      <c r="C2" s="711"/>
      <c r="D2" s="711"/>
      <c r="E2" s="711"/>
      <c r="F2" s="711"/>
    </row>
    <row r="3" spans="1:6" x14ac:dyDescent="0.25">
      <c r="A3" s="711" t="s">
        <v>385</v>
      </c>
      <c r="B3" s="711"/>
      <c r="C3" s="711"/>
      <c r="D3" s="711"/>
      <c r="E3" s="711"/>
      <c r="F3" s="711"/>
    </row>
    <row r="4" spans="1:6" x14ac:dyDescent="0.25">
      <c r="A4" s="785" t="s">
        <v>386</v>
      </c>
      <c r="B4" s="785"/>
      <c r="C4" s="785"/>
      <c r="D4" s="785"/>
      <c r="E4" s="785"/>
      <c r="F4" s="785"/>
    </row>
    <row r="5" spans="1:6" x14ac:dyDescent="0.25">
      <c r="C5"/>
      <c r="D5"/>
      <c r="E5"/>
      <c r="F5"/>
    </row>
    <row r="6" spans="1:6" x14ac:dyDescent="0.25">
      <c r="C6"/>
      <c r="D6"/>
      <c r="E6"/>
      <c r="F6"/>
    </row>
    <row r="7" spans="1:6" x14ac:dyDescent="0.25">
      <c r="A7" s="786" t="s">
        <v>389</v>
      </c>
      <c r="B7" s="786"/>
      <c r="C7" s="786"/>
      <c r="D7" s="786"/>
      <c r="E7" s="786"/>
      <c r="F7" s="786"/>
    </row>
    <row r="8" spans="1:6" ht="15.75" thickBot="1" x14ac:dyDescent="0.3">
      <c r="C8" s="3"/>
      <c r="D8" s="3"/>
      <c r="E8" s="3"/>
      <c r="F8" s="3"/>
    </row>
    <row r="9" spans="1:6" ht="53.25" customHeight="1" x14ac:dyDescent="0.25">
      <c r="A9" s="673" t="s">
        <v>390</v>
      </c>
      <c r="B9" s="674"/>
      <c r="C9" s="671"/>
      <c r="D9" s="326" t="s">
        <v>391</v>
      </c>
      <c r="E9" s="331"/>
      <c r="F9" s="332" t="s">
        <v>14</v>
      </c>
    </row>
    <row r="10" spans="1:6" x14ac:dyDescent="0.25">
      <c r="A10" s="787"/>
      <c r="B10" s="787"/>
      <c r="C10" s="787"/>
      <c r="D10" s="333"/>
      <c r="E10" s="24"/>
      <c r="F10" s="334"/>
    </row>
    <row r="11" spans="1:6" ht="84.95" customHeight="1" x14ac:dyDescent="0.25">
      <c r="A11" s="776" t="s">
        <v>392</v>
      </c>
      <c r="B11" s="776"/>
      <c r="C11" s="776"/>
      <c r="D11" s="335">
        <v>0.08</v>
      </c>
      <c r="E11" s="330"/>
      <c r="F11" s="336" t="s">
        <v>393</v>
      </c>
    </row>
    <row r="12" spans="1:6" ht="120" customHeight="1" x14ac:dyDescent="0.25">
      <c r="A12" s="776" t="s">
        <v>394</v>
      </c>
      <c r="B12" s="776"/>
      <c r="C12" s="776"/>
      <c r="D12" s="335">
        <v>0.6</v>
      </c>
      <c r="E12" s="330"/>
      <c r="F12" s="337" t="s">
        <v>395</v>
      </c>
    </row>
    <row r="13" spans="1:6" ht="38.25" x14ac:dyDescent="0.25">
      <c r="A13" s="776" t="s">
        <v>396</v>
      </c>
      <c r="B13" s="776"/>
      <c r="C13" s="776"/>
      <c r="D13" s="335">
        <v>0.6</v>
      </c>
      <c r="E13" s="330"/>
      <c r="F13" s="337" t="s">
        <v>397</v>
      </c>
    </row>
    <row r="14" spans="1:6" ht="51" x14ac:dyDescent="0.25">
      <c r="A14" s="779" t="s">
        <v>398</v>
      </c>
      <c r="B14" s="780"/>
      <c r="C14" s="781"/>
      <c r="D14" s="338">
        <v>8</v>
      </c>
      <c r="E14" s="339"/>
      <c r="F14" s="337" t="s">
        <v>399</v>
      </c>
    </row>
    <row r="15" spans="1:6" ht="74.25" customHeight="1" x14ac:dyDescent="0.25">
      <c r="A15" s="779" t="s">
        <v>400</v>
      </c>
      <c r="B15" s="780"/>
      <c r="C15" s="781"/>
      <c r="D15" s="340">
        <v>0.5</v>
      </c>
      <c r="E15" s="13"/>
      <c r="F15" s="337" t="s">
        <v>401</v>
      </c>
    </row>
  </sheetData>
  <mergeCells count="12">
    <mergeCell ref="A15:C15"/>
    <mergeCell ref="A1:F1"/>
    <mergeCell ref="A2:F2"/>
    <mergeCell ref="A3:F3"/>
    <mergeCell ref="A4:F4"/>
    <mergeCell ref="A7:F7"/>
    <mergeCell ref="A9:C9"/>
    <mergeCell ref="A10:C10"/>
    <mergeCell ref="A11:C11"/>
    <mergeCell ref="A12:C12"/>
    <mergeCell ref="A13:C13"/>
    <mergeCell ref="A14:C14"/>
  </mergeCells>
  <phoneticPr fontId="25" type="noConversion"/>
  <pageMargins left="0.7" right="0.7" top="0.75" bottom="0.75" header="0.3" footer="0.3"/>
  <pageSetup paperSize="9" scale="87"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72"/>
  <sheetViews>
    <sheetView zoomScale="60" workbookViewId="0">
      <selection activeCell="A4" sqref="A4:G4"/>
    </sheetView>
  </sheetViews>
  <sheetFormatPr baseColWidth="10" defaultColWidth="11.42578125" defaultRowHeight="14.25" x14ac:dyDescent="0.2"/>
  <cols>
    <col min="1" max="1" width="11.42578125" style="1"/>
    <col min="2" max="2" width="6.28515625" style="40" customWidth="1"/>
    <col min="3" max="3" width="50.28515625" style="1" customWidth="1"/>
    <col min="4" max="4" width="7.28515625" style="1" customWidth="1"/>
    <col min="5" max="5" width="10.28515625" style="1" customWidth="1"/>
    <col min="6" max="6" width="14.7109375" style="1" customWidth="1"/>
    <col min="7" max="7" width="20.28515625" style="1" customWidth="1"/>
    <col min="8" max="8" width="23" style="1" customWidth="1"/>
    <col min="9" max="16384" width="11.42578125" style="1"/>
  </cols>
  <sheetData>
    <row r="1" spans="1:7" ht="24" customHeight="1" x14ac:dyDescent="0.2">
      <c r="A1" s="675" t="s">
        <v>7</v>
      </c>
      <c r="B1" s="675"/>
      <c r="C1" s="675"/>
      <c r="D1" s="675"/>
      <c r="E1" s="675"/>
      <c r="F1" s="675"/>
      <c r="G1" s="675"/>
    </row>
    <row r="2" spans="1:7" ht="24" customHeight="1" x14ac:dyDescent="0.2">
      <c r="A2" s="675" t="s">
        <v>119</v>
      </c>
      <c r="B2" s="675"/>
      <c r="C2" s="675"/>
      <c r="D2" s="675"/>
      <c r="E2" s="675"/>
      <c r="F2" s="675"/>
      <c r="G2" s="675"/>
    </row>
    <row r="3" spans="1:7" ht="24" customHeight="1" x14ac:dyDescent="0.2">
      <c r="A3" s="675" t="s">
        <v>166</v>
      </c>
      <c r="B3" s="675"/>
      <c r="C3" s="675"/>
      <c r="D3" s="675"/>
      <c r="E3" s="675"/>
      <c r="F3" s="675"/>
      <c r="G3" s="675"/>
    </row>
    <row r="4" spans="1:7" ht="24" customHeight="1" x14ac:dyDescent="0.2">
      <c r="A4" s="675" t="s">
        <v>79</v>
      </c>
      <c r="B4" s="675"/>
      <c r="C4" s="675"/>
      <c r="D4" s="675"/>
      <c r="E4" s="675"/>
      <c r="F4" s="675"/>
      <c r="G4" s="675"/>
    </row>
    <row r="5" spans="1:7" ht="14.25" customHeight="1" thickBot="1" x14ac:dyDescent="0.25">
      <c r="B5" s="2"/>
      <c r="C5" s="3"/>
      <c r="D5" s="3"/>
      <c r="E5" s="3"/>
      <c r="F5" s="3"/>
      <c r="G5" s="3"/>
    </row>
    <row r="6" spans="1:7" ht="39.75" customHeight="1" thickBot="1" x14ac:dyDescent="0.25">
      <c r="A6" s="4" t="s">
        <v>8</v>
      </c>
      <c r="B6" s="5" t="s">
        <v>9</v>
      </c>
      <c r="C6" s="6" t="s">
        <v>10</v>
      </c>
      <c r="D6" s="6" t="s">
        <v>11</v>
      </c>
      <c r="E6" s="6" t="s">
        <v>12</v>
      </c>
      <c r="F6" s="4" t="s">
        <v>13</v>
      </c>
      <c r="G6" s="7" t="s">
        <v>14</v>
      </c>
    </row>
    <row r="7" spans="1:7" ht="15" x14ac:dyDescent="0.25">
      <c r="A7" s="95"/>
      <c r="B7" s="9">
        <v>1</v>
      </c>
      <c r="C7" s="10" t="s">
        <v>15</v>
      </c>
      <c r="D7" s="8"/>
      <c r="E7" s="8"/>
      <c r="F7" s="8"/>
      <c r="G7" s="11" t="e">
        <f>G8</f>
        <v>#REF!</v>
      </c>
    </row>
    <row r="8" spans="1:7" x14ac:dyDescent="0.2">
      <c r="A8" s="98" t="s">
        <v>16</v>
      </c>
      <c r="B8" s="12" t="s">
        <v>17</v>
      </c>
      <c r="C8" s="13" t="s">
        <v>18</v>
      </c>
      <c r="D8" s="14" t="s">
        <v>19</v>
      </c>
      <c r="E8" s="15">
        <f>+'Memoria Cálculo_MATA'!N37</f>
        <v>1778</v>
      </c>
      <c r="F8" s="16" t="e">
        <f>#REF!</f>
        <v>#REF!</v>
      </c>
      <c r="G8" s="17" t="e">
        <f>E8*F8</f>
        <v>#REF!</v>
      </c>
    </row>
    <row r="9" spans="1:7" ht="15" x14ac:dyDescent="0.25">
      <c r="A9" s="97"/>
      <c r="B9" s="18">
        <v>2</v>
      </c>
      <c r="C9" s="19" t="s">
        <v>20</v>
      </c>
      <c r="D9" s="20"/>
      <c r="E9" s="20"/>
      <c r="F9" s="21"/>
      <c r="G9" s="22" t="e">
        <f>SUM(G10:G11)</f>
        <v>#REF!</v>
      </c>
    </row>
    <row r="10" spans="1:7" x14ac:dyDescent="0.2">
      <c r="A10" s="98" t="s">
        <v>80</v>
      </c>
      <c r="B10" s="12" t="s">
        <v>82</v>
      </c>
      <c r="C10" s="13" t="s">
        <v>83</v>
      </c>
      <c r="D10" s="14" t="s">
        <v>139</v>
      </c>
      <c r="E10" s="23" t="e">
        <f>+'Memoria Cálculo_MATA'!#REF!</f>
        <v>#REF!</v>
      </c>
      <c r="F10" s="16" t="e">
        <f>#REF!</f>
        <v>#REF!</v>
      </c>
      <c r="G10" s="17" t="e">
        <f>E10*F10</f>
        <v>#REF!</v>
      </c>
    </row>
    <row r="11" spans="1:7" ht="28.5" x14ac:dyDescent="0.2">
      <c r="A11" s="99"/>
      <c r="B11" s="12" t="s">
        <v>94</v>
      </c>
      <c r="C11" s="25" t="s">
        <v>84</v>
      </c>
      <c r="D11" s="14" t="s">
        <v>22</v>
      </c>
      <c r="E11" s="23" t="e">
        <f>+'Memoria Cálculo_MATA'!#REF!</f>
        <v>#REF!</v>
      </c>
      <c r="F11" s="16" t="e">
        <f>#REF!</f>
        <v>#REF!</v>
      </c>
      <c r="G11" s="17" t="e">
        <f>E11*F11</f>
        <v>#REF!</v>
      </c>
    </row>
    <row r="12" spans="1:7" ht="15" x14ac:dyDescent="0.25">
      <c r="A12" s="97"/>
      <c r="B12" s="18">
        <v>3</v>
      </c>
      <c r="C12" s="19" t="s">
        <v>23</v>
      </c>
      <c r="D12" s="20"/>
      <c r="E12" s="20" t="s">
        <v>24</v>
      </c>
      <c r="F12" s="21"/>
      <c r="G12" s="22" t="e">
        <f>G13+G16+G19+G23</f>
        <v>#REF!</v>
      </c>
    </row>
    <row r="13" spans="1:7" ht="15" x14ac:dyDescent="0.25">
      <c r="A13" s="100"/>
      <c r="B13" s="27" t="s">
        <v>85</v>
      </c>
      <c r="C13" s="28" t="s">
        <v>86</v>
      </c>
      <c r="D13" s="26"/>
      <c r="E13" s="26"/>
      <c r="F13" s="29"/>
      <c r="G13" s="30" t="e">
        <f>SUM(G14:G15)</f>
        <v>#REF!</v>
      </c>
    </row>
    <row r="14" spans="1:7" x14ac:dyDescent="0.2">
      <c r="A14" s="683">
        <v>202</v>
      </c>
      <c r="B14" s="12" t="s">
        <v>87</v>
      </c>
      <c r="C14" s="44" t="s">
        <v>92</v>
      </c>
      <c r="D14" s="39" t="s">
        <v>22</v>
      </c>
      <c r="E14" s="23">
        <f>+'Memoria Cálculo_MATA'!U38</f>
        <v>0</v>
      </c>
      <c r="F14" s="24" t="e">
        <f>#REF!</f>
        <v>#REF!</v>
      </c>
      <c r="G14" s="17" t="e">
        <f>E14*F14</f>
        <v>#REF!</v>
      </c>
    </row>
    <row r="15" spans="1:7" x14ac:dyDescent="0.2">
      <c r="A15" s="684"/>
      <c r="B15" s="12" t="s">
        <v>88</v>
      </c>
      <c r="C15" s="44" t="s">
        <v>140</v>
      </c>
      <c r="D15" s="39" t="s">
        <v>22</v>
      </c>
      <c r="E15" s="23">
        <f>+'Memoria Cálculo_MATA'!V37</f>
        <v>185</v>
      </c>
      <c r="F15" s="24" t="e">
        <f>#REF!</f>
        <v>#REF!</v>
      </c>
      <c r="G15" s="17" t="e">
        <f>E15*F15</f>
        <v>#REF!</v>
      </c>
    </row>
    <row r="16" spans="1:7" ht="15" customHeight="1" x14ac:dyDescent="0.25">
      <c r="A16" s="101"/>
      <c r="B16" s="27" t="s">
        <v>25</v>
      </c>
      <c r="C16" s="28" t="s">
        <v>26</v>
      </c>
      <c r="D16" s="26"/>
      <c r="E16" s="26"/>
      <c r="F16" s="29"/>
      <c r="G16" s="30" t="e">
        <f>SUM(G17:G18)</f>
        <v>#REF!</v>
      </c>
    </row>
    <row r="17" spans="1:7" ht="14.25" customHeight="1" x14ac:dyDescent="0.2">
      <c r="A17" s="685">
        <v>201</v>
      </c>
      <c r="B17" s="12" t="s">
        <v>27</v>
      </c>
      <c r="C17" s="13" t="s">
        <v>28</v>
      </c>
      <c r="D17" s="14" t="s">
        <v>29</v>
      </c>
      <c r="E17" s="23">
        <f>+'Memoria Cálculo_MATA'!W37</f>
        <v>4440</v>
      </c>
      <c r="F17" s="16" t="e">
        <f>#REF!</f>
        <v>#REF!</v>
      </c>
      <c r="G17" s="17" t="e">
        <f>E17*F17</f>
        <v>#REF!</v>
      </c>
    </row>
    <row r="18" spans="1:7" ht="14.25" customHeight="1" x14ac:dyDescent="0.2">
      <c r="A18" s="686"/>
      <c r="B18" s="12" t="s">
        <v>30</v>
      </c>
      <c r="C18" s="13" t="s">
        <v>31</v>
      </c>
      <c r="D18" s="14" t="s">
        <v>29</v>
      </c>
      <c r="E18" s="23">
        <f>+'Memoria Cálculo_MATA'!X37</f>
        <v>705</v>
      </c>
      <c r="F18" s="16" t="e">
        <f>#REF!</f>
        <v>#REF!</v>
      </c>
      <c r="G18" s="17" t="e">
        <f>E18*F18</f>
        <v>#REF!</v>
      </c>
    </row>
    <row r="19" spans="1:7" ht="15" customHeight="1" x14ac:dyDescent="0.25">
      <c r="A19" s="101"/>
      <c r="B19" s="27" t="s">
        <v>32</v>
      </c>
      <c r="C19" s="28" t="s">
        <v>33</v>
      </c>
      <c r="D19" s="26"/>
      <c r="E19" s="26"/>
      <c r="F19" s="29"/>
      <c r="G19" s="30" t="e">
        <f>SUM(G20:G22)</f>
        <v>#REF!</v>
      </c>
    </row>
    <row r="20" spans="1:7" ht="42.75" x14ac:dyDescent="0.2">
      <c r="A20" s="677" t="s">
        <v>34</v>
      </c>
      <c r="B20" s="12" t="s">
        <v>35</v>
      </c>
      <c r="C20" s="25" t="s">
        <v>36</v>
      </c>
      <c r="D20" s="14" t="s">
        <v>29</v>
      </c>
      <c r="E20" s="23">
        <f>(SUM(E17:E18))*0.6</f>
        <v>3087</v>
      </c>
      <c r="F20" s="16" t="e">
        <f>#REF!</f>
        <v>#REF!</v>
      </c>
      <c r="G20" s="17" t="e">
        <f>E20*F20</f>
        <v>#REF!</v>
      </c>
    </row>
    <row r="21" spans="1:7" ht="28.5" x14ac:dyDescent="0.2">
      <c r="A21" s="687"/>
      <c r="B21" s="12" t="s">
        <v>37</v>
      </c>
      <c r="C21" s="25" t="s">
        <v>38</v>
      </c>
      <c r="D21" s="14" t="s">
        <v>29</v>
      </c>
      <c r="E21" s="23">
        <f>(SUM(E17:E18))*0.3</f>
        <v>1543.5</v>
      </c>
      <c r="F21" s="16" t="e">
        <f>#REF!</f>
        <v>#REF!</v>
      </c>
      <c r="G21" s="17" t="e">
        <f>E21*F21</f>
        <v>#REF!</v>
      </c>
    </row>
    <row r="22" spans="1:7" ht="28.5" x14ac:dyDescent="0.2">
      <c r="A22" s="103" t="s">
        <v>39</v>
      </c>
      <c r="B22" s="12" t="s">
        <v>40</v>
      </c>
      <c r="C22" s="85" t="s">
        <v>41</v>
      </c>
      <c r="D22" s="14" t="s">
        <v>29</v>
      </c>
      <c r="E22" s="23">
        <f>ROUND(+E8*0.1*0.4,0)</f>
        <v>71</v>
      </c>
      <c r="F22" s="16" t="e">
        <f>#REF!</f>
        <v>#REF!</v>
      </c>
      <c r="G22" s="17" t="e">
        <f>E22*F22</f>
        <v>#REF!</v>
      </c>
    </row>
    <row r="23" spans="1:7" ht="15" x14ac:dyDescent="0.25">
      <c r="A23" s="101"/>
      <c r="B23" s="27">
        <v>3.4</v>
      </c>
      <c r="C23" s="28" t="s">
        <v>42</v>
      </c>
      <c r="D23" s="26"/>
      <c r="E23" s="26"/>
      <c r="F23" s="29"/>
      <c r="G23" s="30" t="e">
        <f>G24</f>
        <v>#REF!</v>
      </c>
    </row>
    <row r="24" spans="1:7" ht="28.5" x14ac:dyDescent="0.2">
      <c r="A24" s="96">
        <v>205</v>
      </c>
      <c r="B24" s="12" t="s">
        <v>43</v>
      </c>
      <c r="C24" s="32" t="s">
        <v>44</v>
      </c>
      <c r="D24" s="14" t="s">
        <v>29</v>
      </c>
      <c r="E24" s="23">
        <f>ROUND(+(+E21),0)</f>
        <v>1544</v>
      </c>
      <c r="F24" s="16" t="e">
        <f>#REF!</f>
        <v>#REF!</v>
      </c>
      <c r="G24" s="17" t="e">
        <f>E24*F24</f>
        <v>#REF!</v>
      </c>
    </row>
    <row r="25" spans="1:7" ht="15" x14ac:dyDescent="0.25">
      <c r="A25" s="100"/>
      <c r="B25" s="18">
        <v>4</v>
      </c>
      <c r="C25" s="33" t="s">
        <v>45</v>
      </c>
      <c r="D25" s="20"/>
      <c r="E25" s="20"/>
      <c r="F25" s="21"/>
      <c r="G25" s="22" t="e">
        <f>SUM(G26:G27)</f>
        <v>#REF!</v>
      </c>
    </row>
    <row r="26" spans="1:7" ht="28.5" x14ac:dyDescent="0.2">
      <c r="A26" s="96">
        <v>307</v>
      </c>
      <c r="B26" s="34" t="s">
        <v>46</v>
      </c>
      <c r="C26" s="32" t="s">
        <v>47</v>
      </c>
      <c r="D26" s="14" t="s">
        <v>29</v>
      </c>
      <c r="E26" s="23" t="e">
        <f>ROUND(+E11,0)</f>
        <v>#REF!</v>
      </c>
      <c r="F26" s="16" t="e">
        <f>#REF!</f>
        <v>#REF!</v>
      </c>
      <c r="G26" s="17" t="e">
        <f>E26*F26</f>
        <v>#REF!</v>
      </c>
    </row>
    <row r="27" spans="1:7" ht="43.5" customHeight="1" x14ac:dyDescent="0.2">
      <c r="A27" s="96" t="s">
        <v>48</v>
      </c>
      <c r="B27" s="12" t="s">
        <v>49</v>
      </c>
      <c r="C27" s="32" t="s">
        <v>50</v>
      </c>
      <c r="D27" s="14" t="s">
        <v>29</v>
      </c>
      <c r="E27" s="23" t="e">
        <f>ROUND((E11)*0.2,0)</f>
        <v>#REF!</v>
      </c>
      <c r="F27" s="16" t="e">
        <f>#REF!</f>
        <v>#REF!</v>
      </c>
      <c r="G27" s="17" t="e">
        <f>E27*F27</f>
        <v>#REF!</v>
      </c>
    </row>
    <row r="28" spans="1:7" ht="15" x14ac:dyDescent="0.25">
      <c r="A28" s="87"/>
      <c r="B28" s="18">
        <v>5</v>
      </c>
      <c r="C28" s="33" t="s">
        <v>51</v>
      </c>
      <c r="D28" s="20"/>
      <c r="E28" s="20"/>
      <c r="F28" s="21"/>
      <c r="G28" s="22" t="e">
        <f>SUM(G29:G34)</f>
        <v>#REF!</v>
      </c>
    </row>
    <row r="29" spans="1:7" ht="57" x14ac:dyDescent="0.2">
      <c r="A29" s="96"/>
      <c r="B29" s="34" t="s">
        <v>160</v>
      </c>
      <c r="C29" s="32" t="s">
        <v>161</v>
      </c>
      <c r="D29" s="14" t="s">
        <v>77</v>
      </c>
      <c r="E29" s="23">
        <v>523</v>
      </c>
      <c r="F29" s="16" t="e">
        <f>+#REF!</f>
        <v>#REF!</v>
      </c>
      <c r="G29" s="36" t="e">
        <f t="shared" ref="G29:G34" si="0">E29*F29</f>
        <v>#REF!</v>
      </c>
    </row>
    <row r="30" spans="1:7" x14ac:dyDescent="0.2">
      <c r="A30" s="96" t="s">
        <v>167</v>
      </c>
      <c r="B30" s="34" t="s">
        <v>168</v>
      </c>
      <c r="C30" s="32" t="s">
        <v>52</v>
      </c>
      <c r="D30" s="14" t="s">
        <v>21</v>
      </c>
      <c r="E30" s="119">
        <v>50</v>
      </c>
      <c r="F30" s="16">
        <v>40046.58</v>
      </c>
      <c r="G30" s="36">
        <f t="shared" si="0"/>
        <v>2002329</v>
      </c>
    </row>
    <row r="31" spans="1:7" ht="28.5" x14ac:dyDescent="0.2">
      <c r="A31" s="96" t="s">
        <v>167</v>
      </c>
      <c r="B31" s="34" t="s">
        <v>169</v>
      </c>
      <c r="C31" s="32" t="s">
        <v>170</v>
      </c>
      <c r="D31" s="14" t="s">
        <v>21</v>
      </c>
      <c r="E31" s="119">
        <v>50</v>
      </c>
      <c r="F31" s="16">
        <v>337710.32</v>
      </c>
      <c r="G31" s="36">
        <f t="shared" si="0"/>
        <v>16885516</v>
      </c>
    </row>
    <row r="32" spans="1:7" ht="33.75" customHeight="1" x14ac:dyDescent="0.2">
      <c r="A32" s="96" t="s">
        <v>167</v>
      </c>
      <c r="B32" s="34" t="s">
        <v>171</v>
      </c>
      <c r="C32" s="35" t="s">
        <v>172</v>
      </c>
      <c r="D32" s="14" t="s">
        <v>21</v>
      </c>
      <c r="E32" s="119">
        <v>50</v>
      </c>
      <c r="F32" s="16">
        <v>672601.82</v>
      </c>
      <c r="G32" s="36">
        <f t="shared" si="0"/>
        <v>33630091</v>
      </c>
    </row>
    <row r="33" spans="1:7" ht="28.5" x14ac:dyDescent="0.2">
      <c r="A33" s="96" t="s">
        <v>167</v>
      </c>
      <c r="B33" s="34" t="s">
        <v>173</v>
      </c>
      <c r="C33" s="32" t="s">
        <v>174</v>
      </c>
      <c r="D33" s="14" t="s">
        <v>19</v>
      </c>
      <c r="E33" s="119">
        <f>+E32*2.7-E30</f>
        <v>85</v>
      </c>
      <c r="F33" s="16">
        <v>570415.06999999995</v>
      </c>
      <c r="G33" s="36">
        <f t="shared" si="0"/>
        <v>48485280.949999996</v>
      </c>
    </row>
    <row r="34" spans="1:7" ht="28.5" x14ac:dyDescent="0.2">
      <c r="A34" s="96" t="s">
        <v>167</v>
      </c>
      <c r="B34" s="34" t="s">
        <v>175</v>
      </c>
      <c r="C34" s="32" t="s">
        <v>53</v>
      </c>
      <c r="D34" s="14" t="s">
        <v>21</v>
      </c>
      <c r="E34" s="119">
        <f>+E33/0.3</f>
        <v>283.33333333333337</v>
      </c>
      <c r="F34" s="16">
        <v>30354.48</v>
      </c>
      <c r="G34" s="36">
        <f t="shared" si="0"/>
        <v>8600436.0000000019</v>
      </c>
    </row>
    <row r="35" spans="1:7" ht="30" x14ac:dyDescent="0.25">
      <c r="A35" s="99"/>
      <c r="B35" s="18">
        <v>6</v>
      </c>
      <c r="C35" s="33" t="s">
        <v>142</v>
      </c>
      <c r="D35" s="20"/>
      <c r="E35" s="20"/>
      <c r="F35" s="21"/>
      <c r="G35" s="22" t="e">
        <f>SUM(G36:G54)</f>
        <v>#REF!</v>
      </c>
    </row>
    <row r="36" spans="1:7" ht="28.5" x14ac:dyDescent="0.2">
      <c r="A36" s="102" t="s">
        <v>89</v>
      </c>
      <c r="B36" s="81" t="s">
        <v>54</v>
      </c>
      <c r="C36" s="35" t="s">
        <v>57</v>
      </c>
      <c r="D36" s="14" t="s">
        <v>19</v>
      </c>
      <c r="E36" s="23">
        <f>+'Memoria Cálculo_MATA'!Y37</f>
        <v>1040</v>
      </c>
      <c r="F36" s="76" t="e">
        <f>#REF!</f>
        <v>#REF!</v>
      </c>
      <c r="G36" s="17" t="e">
        <f t="shared" ref="G36:G46" si="1">E36*F36</f>
        <v>#REF!</v>
      </c>
    </row>
    <row r="37" spans="1:7" x14ac:dyDescent="0.2">
      <c r="A37" s="677" t="s">
        <v>67</v>
      </c>
      <c r="B37" s="34" t="s">
        <v>66</v>
      </c>
      <c r="C37" s="32" t="s">
        <v>58</v>
      </c>
      <c r="D37" s="14" t="s">
        <v>19</v>
      </c>
      <c r="E37" s="23">
        <f>+'Memoria Cálculo_MATA'!Z37</f>
        <v>704</v>
      </c>
      <c r="F37" s="76" t="e">
        <f>#REF!</f>
        <v>#REF!</v>
      </c>
      <c r="G37" s="17" t="e">
        <f t="shared" si="1"/>
        <v>#REF!</v>
      </c>
    </row>
    <row r="38" spans="1:7" x14ac:dyDescent="0.2">
      <c r="A38" s="678"/>
      <c r="B38" s="34" t="s">
        <v>96</v>
      </c>
      <c r="C38" s="32" t="s">
        <v>59</v>
      </c>
      <c r="D38" s="14" t="s">
        <v>19</v>
      </c>
      <c r="E38" s="23" t="e">
        <f>+'Memoria Cálculo_MATA'!#REF!</f>
        <v>#REF!</v>
      </c>
      <c r="F38" s="76" t="e">
        <f>#REF!</f>
        <v>#REF!</v>
      </c>
      <c r="G38" s="17" t="e">
        <f t="shared" si="1"/>
        <v>#REF!</v>
      </c>
    </row>
    <row r="39" spans="1:7" x14ac:dyDescent="0.2">
      <c r="A39" s="678"/>
      <c r="B39" s="34" t="s">
        <v>97</v>
      </c>
      <c r="C39" s="32" t="s">
        <v>60</v>
      </c>
      <c r="D39" s="14" t="s">
        <v>19</v>
      </c>
      <c r="E39" s="23" t="e">
        <f>+'Memoria Cálculo_MATA'!#REF!</f>
        <v>#REF!</v>
      </c>
      <c r="F39" s="76" t="e">
        <f>#REF!</f>
        <v>#REF!</v>
      </c>
      <c r="G39" s="17" t="e">
        <f t="shared" si="1"/>
        <v>#REF!</v>
      </c>
    </row>
    <row r="40" spans="1:7" x14ac:dyDescent="0.2">
      <c r="A40" s="678"/>
      <c r="B40" s="34" t="s">
        <v>98</v>
      </c>
      <c r="C40" s="32" t="s">
        <v>61</v>
      </c>
      <c r="D40" s="14" t="s">
        <v>19</v>
      </c>
      <c r="E40" s="23" t="e">
        <f>+'Memoria Cálculo_MATA'!#REF!</f>
        <v>#REF!</v>
      </c>
      <c r="F40" s="76" t="e">
        <f>#REF!</f>
        <v>#REF!</v>
      </c>
      <c r="G40" s="17" t="e">
        <f t="shared" si="1"/>
        <v>#REF!</v>
      </c>
    </row>
    <row r="41" spans="1:7" x14ac:dyDescent="0.2">
      <c r="A41" s="678"/>
      <c r="B41" s="34" t="s">
        <v>99</v>
      </c>
      <c r="C41" s="32" t="s">
        <v>62</v>
      </c>
      <c r="D41" s="14" t="s">
        <v>19</v>
      </c>
      <c r="E41" s="23" t="e">
        <f>+'Memoria Cálculo_MATA'!#REF!</f>
        <v>#REF!</v>
      </c>
      <c r="F41" s="76" t="e">
        <f>#REF!</f>
        <v>#REF!</v>
      </c>
      <c r="G41" s="17" t="e">
        <f t="shared" si="1"/>
        <v>#REF!</v>
      </c>
    </row>
    <row r="42" spans="1:7" x14ac:dyDescent="0.2">
      <c r="A42" s="678"/>
      <c r="B42" s="34" t="s">
        <v>100</v>
      </c>
      <c r="C42" s="32" t="s">
        <v>63</v>
      </c>
      <c r="D42" s="14" t="s">
        <v>19</v>
      </c>
      <c r="E42" s="23" t="e">
        <f>+'Memoria Cálculo_MATA'!#REF!</f>
        <v>#REF!</v>
      </c>
      <c r="F42" s="76" t="e">
        <f>#REF!</f>
        <v>#REF!</v>
      </c>
      <c r="G42" s="17" t="e">
        <f t="shared" si="1"/>
        <v>#REF!</v>
      </c>
    </row>
    <row r="43" spans="1:7" x14ac:dyDescent="0.2">
      <c r="A43" s="678"/>
      <c r="B43" s="34" t="s">
        <v>101</v>
      </c>
      <c r="C43" s="32" t="s">
        <v>64</v>
      </c>
      <c r="D43" s="14" t="s">
        <v>19</v>
      </c>
      <c r="E43" s="23" t="e">
        <f>ROUND((+'Memoria Cálculo_MATA'!#REF!),0)</f>
        <v>#REF!</v>
      </c>
      <c r="F43" s="76" t="e">
        <f>#REF!</f>
        <v>#REF!</v>
      </c>
      <c r="G43" s="17" t="e">
        <f t="shared" si="1"/>
        <v>#REF!</v>
      </c>
    </row>
    <row r="44" spans="1:7" x14ac:dyDescent="0.2">
      <c r="A44" s="678"/>
      <c r="B44" s="34" t="s">
        <v>102</v>
      </c>
      <c r="C44" s="32" t="s">
        <v>90</v>
      </c>
      <c r="D44" s="14" t="s">
        <v>19</v>
      </c>
      <c r="E44" s="23" t="e">
        <f>ROUND(+'Memoria Cálculo_MATA'!#REF!,0)+0.0046</f>
        <v>#REF!</v>
      </c>
      <c r="F44" s="77">
        <v>26800</v>
      </c>
      <c r="G44" s="17" t="e">
        <f t="shared" si="1"/>
        <v>#REF!</v>
      </c>
    </row>
    <row r="45" spans="1:7" x14ac:dyDescent="0.2">
      <c r="A45" s="678"/>
      <c r="B45" s="34" t="s">
        <v>103</v>
      </c>
      <c r="C45" s="32" t="s">
        <v>65</v>
      </c>
      <c r="D45" s="14" t="s">
        <v>19</v>
      </c>
      <c r="E45" s="23" t="e">
        <f>ROUND(+'Memoria Cálculo_MATA'!#REF!,0)</f>
        <v>#REF!</v>
      </c>
      <c r="F45" s="77">
        <v>28900</v>
      </c>
      <c r="G45" s="17" t="e">
        <f t="shared" si="1"/>
        <v>#REF!</v>
      </c>
    </row>
    <row r="46" spans="1:7" x14ac:dyDescent="0.2">
      <c r="A46" s="678"/>
      <c r="B46" s="34" t="s">
        <v>104</v>
      </c>
      <c r="C46" s="32" t="s">
        <v>141</v>
      </c>
      <c r="D46" s="14" t="s">
        <v>19</v>
      </c>
      <c r="E46" s="23" t="e">
        <f>ROUND(+'Memoria Cálculo_MATA'!#REF!,0)</f>
        <v>#REF!</v>
      </c>
      <c r="F46" s="16">
        <v>50000</v>
      </c>
      <c r="G46" s="17" t="e">
        <f t="shared" si="1"/>
        <v>#REF!</v>
      </c>
    </row>
    <row r="47" spans="1:7" x14ac:dyDescent="0.2">
      <c r="A47" s="104"/>
      <c r="B47" s="34" t="s">
        <v>144</v>
      </c>
      <c r="C47" s="83" t="s">
        <v>124</v>
      </c>
      <c r="D47" s="39" t="s">
        <v>21</v>
      </c>
      <c r="E47" s="23">
        <f>+'Memoria Cálculo_MATA'!AF37</f>
        <v>108</v>
      </c>
      <c r="F47" s="16" t="e">
        <f>+#REF!</f>
        <v>#REF!</v>
      </c>
      <c r="G47" s="17" t="e">
        <f>+E47*F47</f>
        <v>#REF!</v>
      </c>
    </row>
    <row r="48" spans="1:7" x14ac:dyDescent="0.2">
      <c r="A48" s="104"/>
      <c r="B48" s="34" t="s">
        <v>145</v>
      </c>
      <c r="C48" s="83" t="s">
        <v>125</v>
      </c>
      <c r="D48" s="39" t="s">
        <v>21</v>
      </c>
      <c r="E48" s="23" t="e">
        <f>+'Memoria Cálculo_MATA'!#REF!</f>
        <v>#REF!</v>
      </c>
      <c r="F48" s="16" t="e">
        <f>+#REF!</f>
        <v>#REF!</v>
      </c>
      <c r="G48" s="17" t="e">
        <f t="shared" ref="G48:G53" si="2">+E48*F48</f>
        <v>#REF!</v>
      </c>
    </row>
    <row r="49" spans="1:7" x14ac:dyDescent="0.2">
      <c r="A49" s="104"/>
      <c r="B49" s="34" t="s">
        <v>146</v>
      </c>
      <c r="C49" s="83" t="s">
        <v>126</v>
      </c>
      <c r="D49" s="39" t="s">
        <v>21</v>
      </c>
      <c r="E49" s="23">
        <f>+'Memoria Cálculo_MATA'!AG37</f>
        <v>25</v>
      </c>
      <c r="F49" s="16" t="e">
        <f>+#REF!</f>
        <v>#REF!</v>
      </c>
      <c r="G49" s="17" t="e">
        <f t="shared" si="2"/>
        <v>#REF!</v>
      </c>
    </row>
    <row r="50" spans="1:7" x14ac:dyDescent="0.2">
      <c r="A50" s="104"/>
      <c r="B50" s="34" t="s">
        <v>147</v>
      </c>
      <c r="C50" s="84" t="s">
        <v>127</v>
      </c>
      <c r="D50" s="39" t="s">
        <v>21</v>
      </c>
      <c r="E50" s="23">
        <f>+'Memoria Cálculo_MATA'!AH37</f>
        <v>19</v>
      </c>
      <c r="F50" s="16" t="e">
        <f>+#REF!</f>
        <v>#REF!</v>
      </c>
      <c r="G50" s="17" t="e">
        <f t="shared" si="2"/>
        <v>#REF!</v>
      </c>
    </row>
    <row r="51" spans="1:7" x14ac:dyDescent="0.2">
      <c r="A51" s="104"/>
      <c r="B51" s="34" t="s">
        <v>148</v>
      </c>
      <c r="C51" s="83" t="s">
        <v>128</v>
      </c>
      <c r="D51" s="39" t="s">
        <v>21</v>
      </c>
      <c r="E51" s="23">
        <f>+'Memoria Cálculo_MATA'!AI37</f>
        <v>8</v>
      </c>
      <c r="F51" s="16" t="e">
        <f>+#REF!</f>
        <v>#REF!</v>
      </c>
      <c r="G51" s="17" t="e">
        <f t="shared" si="2"/>
        <v>#REF!</v>
      </c>
    </row>
    <row r="52" spans="1:7" x14ac:dyDescent="0.2">
      <c r="A52" s="104"/>
      <c r="B52" s="34" t="s">
        <v>149</v>
      </c>
      <c r="C52" s="83" t="s">
        <v>129</v>
      </c>
      <c r="D52" s="39" t="s">
        <v>21</v>
      </c>
      <c r="E52" s="23" t="e">
        <f>+'Memoria Cálculo_MATA'!#REF!</f>
        <v>#REF!</v>
      </c>
      <c r="F52" s="16" t="e">
        <f>+#REF!</f>
        <v>#REF!</v>
      </c>
      <c r="G52" s="17" t="e">
        <f t="shared" si="2"/>
        <v>#REF!</v>
      </c>
    </row>
    <row r="53" spans="1:7" x14ac:dyDescent="0.2">
      <c r="A53" s="104"/>
      <c r="B53" s="34" t="s">
        <v>150</v>
      </c>
      <c r="C53" s="83" t="s">
        <v>130</v>
      </c>
      <c r="D53" s="39" t="s">
        <v>21</v>
      </c>
      <c r="E53" s="23">
        <f>+'Memoria Cálculo_MATA'!AJ37</f>
        <v>13</v>
      </c>
      <c r="F53" s="16" t="e">
        <f>+#REF!</f>
        <v>#REF!</v>
      </c>
      <c r="G53" s="17" t="e">
        <f t="shared" si="2"/>
        <v>#REF!</v>
      </c>
    </row>
    <row r="54" spans="1:7" x14ac:dyDescent="0.2">
      <c r="A54" s="104"/>
      <c r="B54" s="34" t="s">
        <v>151</v>
      </c>
      <c r="C54" s="83" t="s">
        <v>143</v>
      </c>
      <c r="D54" s="39" t="s">
        <v>21</v>
      </c>
      <c r="E54" s="23" t="e">
        <f>+'Memoria Cálculo_MATA'!#REF!</f>
        <v>#REF!</v>
      </c>
      <c r="F54" s="16" t="e">
        <f>+#REF!</f>
        <v>#REF!</v>
      </c>
      <c r="G54" s="17" t="e">
        <f>+E54*F54</f>
        <v>#REF!</v>
      </c>
    </row>
    <row r="55" spans="1:7" ht="15" x14ac:dyDescent="0.25">
      <c r="A55" s="99"/>
      <c r="B55" s="18">
        <v>7</v>
      </c>
      <c r="C55" s="33" t="s">
        <v>68</v>
      </c>
      <c r="D55" s="20"/>
      <c r="E55" s="20"/>
      <c r="F55" s="21"/>
      <c r="G55" s="22">
        <f>G56</f>
        <v>3198000</v>
      </c>
    </row>
    <row r="56" spans="1:7" ht="15" thickBot="1" x14ac:dyDescent="0.25">
      <c r="A56" s="105">
        <v>414</v>
      </c>
      <c r="B56" s="91" t="s">
        <v>95</v>
      </c>
      <c r="C56" s="92" t="s">
        <v>69</v>
      </c>
      <c r="D56" s="93" t="s">
        <v>21</v>
      </c>
      <c r="E56" s="94">
        <v>78</v>
      </c>
      <c r="F56" s="107">
        <v>41000</v>
      </c>
      <c r="G56" s="79">
        <f>E56*F56</f>
        <v>3198000</v>
      </c>
    </row>
    <row r="57" spans="1:7" ht="15" customHeight="1" x14ac:dyDescent="0.25">
      <c r="A57" s="52"/>
      <c r="B57" s="679" t="s">
        <v>108</v>
      </c>
      <c r="C57" s="680"/>
      <c r="D57" s="680"/>
      <c r="E57" s="680"/>
      <c r="F57" s="53"/>
      <c r="G57" s="54" t="e">
        <f>ROUND(G7+G9+G12+G25+G28+G35+G55,0)</f>
        <v>#REF!</v>
      </c>
    </row>
    <row r="58" spans="1:7" ht="15" customHeight="1" x14ac:dyDescent="0.2">
      <c r="A58" s="64"/>
      <c r="B58" s="681" t="s">
        <v>71</v>
      </c>
      <c r="C58" s="682"/>
      <c r="D58" s="682"/>
      <c r="E58" s="682"/>
      <c r="F58" s="49">
        <v>0.15</v>
      </c>
      <c r="G58" s="56" t="e">
        <f>ROUND(G57*F58,0)</f>
        <v>#REF!</v>
      </c>
    </row>
    <row r="59" spans="1:7" ht="15" customHeight="1" x14ac:dyDescent="0.2">
      <c r="A59" s="65"/>
      <c r="B59" s="681" t="s">
        <v>72</v>
      </c>
      <c r="C59" s="682"/>
      <c r="D59" s="682"/>
      <c r="E59" s="682"/>
      <c r="F59" s="50">
        <v>0.01</v>
      </c>
      <c r="G59" s="57" t="e">
        <f>ROUND(G57*F59,0)</f>
        <v>#REF!</v>
      </c>
    </row>
    <row r="60" spans="1:7" ht="15" customHeight="1" x14ac:dyDescent="0.2">
      <c r="A60" s="55"/>
      <c r="B60" s="681" t="s">
        <v>73</v>
      </c>
      <c r="C60" s="682"/>
      <c r="D60" s="682"/>
      <c r="E60" s="682"/>
      <c r="F60" s="49">
        <v>0.04</v>
      </c>
      <c r="G60" s="56" t="e">
        <f>ROUND(G57*F60,0)</f>
        <v>#REF!</v>
      </c>
    </row>
    <row r="61" spans="1:7" ht="15" customHeight="1" x14ac:dyDescent="0.2">
      <c r="A61" s="63"/>
      <c r="B61" s="681" t="s">
        <v>74</v>
      </c>
      <c r="C61" s="682"/>
      <c r="D61" s="682"/>
      <c r="E61" s="682"/>
      <c r="F61" s="49">
        <v>0.16</v>
      </c>
      <c r="G61" s="57" t="e">
        <f>ROUND(+G60*F61,0)</f>
        <v>#REF!</v>
      </c>
    </row>
    <row r="62" spans="1:7" ht="15" customHeight="1" x14ac:dyDescent="0.25">
      <c r="A62" s="63"/>
      <c r="B62" s="681" t="s">
        <v>109</v>
      </c>
      <c r="C62" s="682"/>
      <c r="D62" s="682"/>
      <c r="E62" s="682"/>
      <c r="F62" s="51"/>
      <c r="G62" s="58" t="e">
        <f>SUM(G57:G61)</f>
        <v>#REF!</v>
      </c>
    </row>
    <row r="63" spans="1:7" ht="15" customHeight="1" x14ac:dyDescent="0.2">
      <c r="A63" s="63"/>
      <c r="B63" s="681" t="s">
        <v>106</v>
      </c>
      <c r="C63" s="682"/>
      <c r="D63" s="682"/>
      <c r="E63" s="682"/>
      <c r="F63" s="51">
        <v>0.05</v>
      </c>
      <c r="G63" s="59">
        <v>61212638</v>
      </c>
    </row>
    <row r="64" spans="1:7" ht="15" customHeight="1" x14ac:dyDescent="0.2">
      <c r="A64" s="63"/>
      <c r="B64" s="681" t="s">
        <v>107</v>
      </c>
      <c r="C64" s="682"/>
      <c r="D64" s="682"/>
      <c r="E64" s="682"/>
      <c r="F64" s="51"/>
      <c r="G64" s="60" t="e">
        <f>+G62+G63</f>
        <v>#REF!</v>
      </c>
    </row>
    <row r="65" spans="1:10" ht="15" customHeight="1" x14ac:dyDescent="0.2">
      <c r="A65" s="63"/>
      <c r="B65" s="681" t="s">
        <v>110</v>
      </c>
      <c r="C65" s="682"/>
      <c r="D65" s="682"/>
      <c r="E65" s="682"/>
      <c r="F65" s="51">
        <v>0.08</v>
      </c>
      <c r="G65" s="59" t="e">
        <f>ROUND(+G64*F65+1,0)</f>
        <v>#REF!</v>
      </c>
    </row>
    <row r="66" spans="1:10" ht="15" x14ac:dyDescent="0.25">
      <c r="A66" s="64"/>
      <c r="B66" s="681" t="s">
        <v>111</v>
      </c>
      <c r="C66" s="682"/>
      <c r="D66" s="682"/>
      <c r="E66" s="682"/>
      <c r="F66" s="48">
        <v>0.98</v>
      </c>
      <c r="G66" s="67" t="e">
        <f>SUM(G64:G65)</f>
        <v>#REF!</v>
      </c>
    </row>
    <row r="67" spans="1:10" x14ac:dyDescent="0.2">
      <c r="A67" s="55"/>
      <c r="B67" s="681" t="s">
        <v>112</v>
      </c>
      <c r="C67" s="682"/>
      <c r="D67" s="682"/>
      <c r="E67" s="682"/>
      <c r="F67" s="68">
        <v>0.02</v>
      </c>
      <c r="G67" s="59">
        <v>28344688</v>
      </c>
    </row>
    <row r="68" spans="1:10" ht="15" customHeight="1" thickBot="1" x14ac:dyDescent="0.3">
      <c r="A68" s="66"/>
      <c r="B68" s="688" t="s">
        <v>113</v>
      </c>
      <c r="C68" s="689"/>
      <c r="D68" s="689"/>
      <c r="E68" s="689"/>
      <c r="F68" s="69">
        <v>1</v>
      </c>
      <c r="G68" s="62" t="e">
        <f>+G67+G66</f>
        <v>#REF!</v>
      </c>
      <c r="H68" s="41" t="e">
        <f>+G68+suministro!G36</f>
        <v>#REF!</v>
      </c>
    </row>
    <row r="69" spans="1:10" x14ac:dyDescent="0.2">
      <c r="H69" s="41">
        <v>2200013680</v>
      </c>
      <c r="I69" s="41"/>
      <c r="J69" s="41"/>
    </row>
    <row r="70" spans="1:10" x14ac:dyDescent="0.2">
      <c r="H70" s="41" t="e">
        <f>+H69-H68</f>
        <v>#REF!</v>
      </c>
    </row>
    <row r="71" spans="1:10" x14ac:dyDescent="0.2">
      <c r="G71" s="1">
        <f>+'Memoria Cálculo_MATA'!N37</f>
        <v>1778</v>
      </c>
    </row>
    <row r="72" spans="1:10" x14ac:dyDescent="0.2">
      <c r="G72" s="41" t="e">
        <f>G68/G71</f>
        <v>#REF!</v>
      </c>
    </row>
  </sheetData>
  <mergeCells count="20">
    <mergeCell ref="B64:E64"/>
    <mergeCell ref="A20:A21"/>
    <mergeCell ref="A3:G3"/>
    <mergeCell ref="A2:G2"/>
    <mergeCell ref="B68:E68"/>
    <mergeCell ref="B60:E60"/>
    <mergeCell ref="B67:E67"/>
    <mergeCell ref="B66:E66"/>
    <mergeCell ref="B61:E61"/>
    <mergeCell ref="B65:E65"/>
    <mergeCell ref="B62:E62"/>
    <mergeCell ref="B63:E63"/>
    <mergeCell ref="A1:G1"/>
    <mergeCell ref="A37:A46"/>
    <mergeCell ref="B57:E57"/>
    <mergeCell ref="B58:E58"/>
    <mergeCell ref="B59:E59"/>
    <mergeCell ref="A4:G4"/>
    <mergeCell ref="A14:A15"/>
    <mergeCell ref="A17:A18"/>
  </mergeCells>
  <phoneticPr fontId="23" type="noConversion"/>
  <printOptions horizontalCentered="1"/>
  <pageMargins left="0.47244094488188981" right="0.47244094488188981" top="0.74803149606299213" bottom="0.74803149606299213" header="0.31496062992125984" footer="0.31496062992125984"/>
  <pageSetup scale="59"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8"/>
  <sheetViews>
    <sheetView topLeftCell="A16" workbookViewId="0">
      <selection activeCell="A5" sqref="A5:A35"/>
    </sheetView>
  </sheetViews>
  <sheetFormatPr baseColWidth="10" defaultRowHeight="15" x14ac:dyDescent="0.25"/>
  <cols>
    <col min="1" max="1" width="14" style="467" bestFit="1" customWidth="1"/>
    <col min="2" max="2" width="15" style="501" customWidth="1"/>
    <col min="3" max="3" width="13" style="501" bestFit="1" customWidth="1"/>
    <col min="4" max="16384" width="11.42578125" style="467"/>
  </cols>
  <sheetData>
    <row r="1" spans="1:14" x14ac:dyDescent="0.25">
      <c r="A1" s="500" t="s">
        <v>513</v>
      </c>
      <c r="B1" s="463"/>
      <c r="C1" s="463"/>
    </row>
    <row r="2" spans="1:14" x14ac:dyDescent="0.25">
      <c r="A2" s="404" t="s">
        <v>452</v>
      </c>
      <c r="B2" s="501" t="s">
        <v>434</v>
      </c>
    </row>
    <row r="3" spans="1:14" s="404" customFormat="1" x14ac:dyDescent="0.25">
      <c r="B3" s="463"/>
      <c r="C3" s="463"/>
      <c r="D3" s="404" t="s">
        <v>437</v>
      </c>
      <c r="E3" s="690" t="s">
        <v>438</v>
      </c>
      <c r="F3" s="690"/>
      <c r="G3" s="404" t="s">
        <v>439</v>
      </c>
      <c r="H3" s="690" t="s">
        <v>435</v>
      </c>
      <c r="I3" s="690"/>
      <c r="J3" s="690" t="s">
        <v>436</v>
      </c>
      <c r="K3" s="690"/>
      <c r="M3" s="690" t="s">
        <v>450</v>
      </c>
      <c r="N3" s="690"/>
    </row>
    <row r="4" spans="1:14" s="404" customFormat="1" x14ac:dyDescent="0.25">
      <c r="B4" s="404" t="s">
        <v>440</v>
      </c>
      <c r="C4" s="404" t="s">
        <v>441</v>
      </c>
      <c r="D4" s="404" t="s">
        <v>442</v>
      </c>
      <c r="E4" s="404" t="s">
        <v>443</v>
      </c>
      <c r="F4" s="404" t="s">
        <v>444</v>
      </c>
      <c r="G4" s="404" t="s">
        <v>445</v>
      </c>
      <c r="H4" s="404" t="s">
        <v>446</v>
      </c>
      <c r="I4" s="404" t="s">
        <v>447</v>
      </c>
      <c r="J4" s="404" t="s">
        <v>446</v>
      </c>
      <c r="K4" s="404" t="s">
        <v>447</v>
      </c>
      <c r="L4" s="404" t="s">
        <v>445</v>
      </c>
      <c r="M4" s="404" t="s">
        <v>448</v>
      </c>
      <c r="N4" s="404" t="s">
        <v>449</v>
      </c>
    </row>
    <row r="5" spans="1:14" x14ac:dyDescent="0.25">
      <c r="A5" s="467">
        <v>301</v>
      </c>
      <c r="B5" s="501" t="s">
        <v>514</v>
      </c>
      <c r="C5" s="501" t="s">
        <v>515</v>
      </c>
      <c r="D5" s="438">
        <v>58.676802230461561</v>
      </c>
      <c r="E5" s="438">
        <v>32.119999999999997</v>
      </c>
      <c r="F5" s="438">
        <v>31.72</v>
      </c>
      <c r="G5" s="438">
        <v>182</v>
      </c>
      <c r="H5" s="438">
        <v>33.1</v>
      </c>
      <c r="I5" s="438">
        <v>33.42</v>
      </c>
      <c r="J5" s="438">
        <v>0.78000000000000114</v>
      </c>
      <c r="K5" s="438">
        <v>1.5000000000000036</v>
      </c>
      <c r="L5" s="438">
        <v>200</v>
      </c>
      <c r="M5" s="438">
        <v>1.1000000000000014</v>
      </c>
      <c r="N5" s="438">
        <v>1.5</v>
      </c>
    </row>
    <row r="6" spans="1:14" x14ac:dyDescent="0.25">
      <c r="A6" s="467">
        <v>302</v>
      </c>
      <c r="B6" s="501" t="s">
        <v>516</v>
      </c>
      <c r="C6" s="501" t="s">
        <v>517</v>
      </c>
      <c r="D6" s="438">
        <v>41.285610689331754</v>
      </c>
      <c r="E6" s="438">
        <v>32.229999999999997</v>
      </c>
      <c r="F6" s="438">
        <v>31.95</v>
      </c>
      <c r="G6" s="438">
        <v>182</v>
      </c>
      <c r="H6" s="438">
        <v>33.130000000000003</v>
      </c>
      <c r="I6" s="438">
        <v>33.35</v>
      </c>
      <c r="J6" s="438">
        <v>0.70000000000000284</v>
      </c>
      <c r="K6" s="438">
        <v>1.2000000000000028</v>
      </c>
      <c r="L6" s="438">
        <v>200</v>
      </c>
      <c r="M6" s="438">
        <v>0.90000000000000568</v>
      </c>
      <c r="N6" s="438">
        <v>1.3100000000000023</v>
      </c>
    </row>
    <row r="7" spans="1:14" x14ac:dyDescent="0.25">
      <c r="A7" s="467">
        <v>303</v>
      </c>
      <c r="B7" s="501" t="s">
        <v>517</v>
      </c>
      <c r="C7" s="501" t="s">
        <v>518</v>
      </c>
      <c r="D7" s="438">
        <v>41.477882118083059</v>
      </c>
      <c r="E7" s="438">
        <v>31.94</v>
      </c>
      <c r="F7" s="438">
        <v>31.65</v>
      </c>
      <c r="G7" s="438">
        <v>182</v>
      </c>
      <c r="H7" s="438">
        <v>33.35</v>
      </c>
      <c r="I7" s="438">
        <v>33.26</v>
      </c>
      <c r="J7" s="438">
        <v>1.2100000000000009</v>
      </c>
      <c r="K7" s="438">
        <v>1.4100000000000001</v>
      </c>
      <c r="L7" s="438">
        <v>200</v>
      </c>
      <c r="M7" s="438">
        <v>1.3100000000000023</v>
      </c>
      <c r="N7" s="438">
        <v>1.4799999999999969</v>
      </c>
    </row>
    <row r="8" spans="1:14" x14ac:dyDescent="0.25">
      <c r="A8" s="467">
        <v>304</v>
      </c>
      <c r="B8" s="501" t="s">
        <v>518</v>
      </c>
      <c r="C8" s="501" t="s">
        <v>519</v>
      </c>
      <c r="D8" s="438">
        <v>41.532839597166969</v>
      </c>
      <c r="E8" s="438">
        <v>31.64</v>
      </c>
      <c r="F8" s="438">
        <v>31.35</v>
      </c>
      <c r="G8" s="438">
        <v>182</v>
      </c>
      <c r="H8" s="438">
        <v>33.26</v>
      </c>
      <c r="I8" s="438">
        <v>33.31</v>
      </c>
      <c r="J8" s="438">
        <v>1.4199999999999982</v>
      </c>
      <c r="K8" s="438">
        <v>1.7600000000000016</v>
      </c>
      <c r="L8" s="438">
        <v>200</v>
      </c>
      <c r="M8" s="438">
        <v>1.4799999999999969</v>
      </c>
      <c r="N8" s="438">
        <v>1.7600000000000016</v>
      </c>
    </row>
    <row r="9" spans="1:14" x14ac:dyDescent="0.25">
      <c r="A9" s="467">
        <v>305</v>
      </c>
      <c r="B9" s="501" t="s">
        <v>519</v>
      </c>
      <c r="C9" s="501" t="s">
        <v>520</v>
      </c>
      <c r="D9" s="438">
        <v>55.808220263657731</v>
      </c>
      <c r="E9" s="438">
        <v>31.34</v>
      </c>
      <c r="F9" s="438">
        <v>30.94</v>
      </c>
      <c r="G9" s="438">
        <v>182</v>
      </c>
      <c r="H9" s="438">
        <v>33.31</v>
      </c>
      <c r="I9" s="438">
        <v>33.159999999999997</v>
      </c>
      <c r="J9" s="438">
        <v>1.7700000000000031</v>
      </c>
      <c r="K9" s="438">
        <v>2.019999999999996</v>
      </c>
      <c r="L9" s="438">
        <v>200</v>
      </c>
      <c r="M9" s="438">
        <v>1.7600000000000016</v>
      </c>
      <c r="N9" s="438">
        <v>1.6899999999999977</v>
      </c>
    </row>
    <row r="10" spans="1:14" x14ac:dyDescent="0.25">
      <c r="A10" s="467">
        <v>306</v>
      </c>
      <c r="B10" s="501" t="s">
        <v>521</v>
      </c>
      <c r="C10" s="501" t="s">
        <v>522</v>
      </c>
      <c r="D10" s="438">
        <v>50.946349848557276</v>
      </c>
      <c r="E10" s="438">
        <v>32.08</v>
      </c>
      <c r="F10" s="438">
        <v>31.73</v>
      </c>
      <c r="G10" s="438">
        <v>182</v>
      </c>
      <c r="H10" s="438">
        <v>33.26</v>
      </c>
      <c r="I10" s="438">
        <v>33.25</v>
      </c>
      <c r="J10" s="438">
        <v>0.97999999999999687</v>
      </c>
      <c r="K10" s="438">
        <v>1.3200000000000003</v>
      </c>
      <c r="L10" s="438">
        <v>200</v>
      </c>
      <c r="M10" s="438">
        <v>1.3099999999999987</v>
      </c>
      <c r="N10" s="438">
        <v>1.7300000000000004</v>
      </c>
    </row>
    <row r="11" spans="1:14" x14ac:dyDescent="0.25">
      <c r="A11" s="467">
        <v>307</v>
      </c>
      <c r="B11" s="501" t="s">
        <v>523</v>
      </c>
      <c r="C11" s="501" t="s">
        <v>524</v>
      </c>
      <c r="D11" s="438">
        <v>50.875631029373338</v>
      </c>
      <c r="E11" s="438">
        <v>32.17</v>
      </c>
      <c r="F11" s="438">
        <v>31.82</v>
      </c>
      <c r="G11" s="438">
        <v>182</v>
      </c>
      <c r="H11" s="438">
        <v>33.35</v>
      </c>
      <c r="I11" s="438">
        <v>33.76</v>
      </c>
      <c r="J11" s="438">
        <v>0.97999999999999687</v>
      </c>
      <c r="K11" s="438">
        <v>1.7399999999999949</v>
      </c>
      <c r="L11" s="438">
        <v>200</v>
      </c>
      <c r="M11" s="438">
        <v>1.1499999999999986</v>
      </c>
      <c r="N11" s="438">
        <v>1.9799999999999969</v>
      </c>
    </row>
    <row r="12" spans="1:14" x14ac:dyDescent="0.25">
      <c r="A12" s="467">
        <v>308</v>
      </c>
      <c r="B12" s="501" t="s">
        <v>525</v>
      </c>
      <c r="C12" s="501" t="s">
        <v>524</v>
      </c>
      <c r="D12" s="438">
        <v>52.139712647640728</v>
      </c>
      <c r="E12" s="438">
        <v>32.299999999999997</v>
      </c>
      <c r="F12" s="438">
        <v>31.9</v>
      </c>
      <c r="G12" s="438">
        <v>182</v>
      </c>
      <c r="H12" s="438">
        <v>33.5</v>
      </c>
      <c r="I12" s="438">
        <v>33.76</v>
      </c>
      <c r="J12" s="438">
        <v>1</v>
      </c>
      <c r="K12" s="438">
        <v>1.6599999999999966</v>
      </c>
      <c r="L12" s="438">
        <v>200</v>
      </c>
      <c r="M12" s="438">
        <v>1.6000000000000014</v>
      </c>
      <c r="N12" s="438">
        <v>1.9799999999999969</v>
      </c>
    </row>
    <row r="13" spans="1:14" x14ac:dyDescent="0.25">
      <c r="A13" s="467">
        <v>309</v>
      </c>
      <c r="B13" s="501" t="s">
        <v>526</v>
      </c>
      <c r="C13" s="501" t="s">
        <v>522</v>
      </c>
      <c r="D13" s="438">
        <v>53.995365732023927</v>
      </c>
      <c r="E13" s="438">
        <v>32.15</v>
      </c>
      <c r="F13" s="438">
        <v>31.78</v>
      </c>
      <c r="G13" s="438">
        <v>182</v>
      </c>
      <c r="H13" s="438">
        <v>33.35</v>
      </c>
      <c r="I13" s="438">
        <v>33.25</v>
      </c>
      <c r="J13" s="438">
        <v>1</v>
      </c>
      <c r="K13" s="438">
        <v>1.2699999999999996</v>
      </c>
      <c r="L13" s="438">
        <v>200</v>
      </c>
      <c r="M13" s="438">
        <v>1.620000000000001</v>
      </c>
      <c r="N13" s="438">
        <v>1.7300000000000004</v>
      </c>
    </row>
    <row r="14" spans="1:14" x14ac:dyDescent="0.25">
      <c r="A14" s="467">
        <v>310</v>
      </c>
      <c r="B14" s="501" t="s">
        <v>520</v>
      </c>
      <c r="C14" s="501" t="s">
        <v>527</v>
      </c>
      <c r="D14" s="438">
        <v>60.770508669991798</v>
      </c>
      <c r="E14" s="438">
        <v>30.93</v>
      </c>
      <c r="F14" s="438">
        <v>30.51</v>
      </c>
      <c r="G14" s="438">
        <v>182</v>
      </c>
      <c r="H14" s="438">
        <v>33.159999999999997</v>
      </c>
      <c r="I14" s="438">
        <v>33.14</v>
      </c>
      <c r="J14" s="438">
        <v>2.0299999999999976</v>
      </c>
      <c r="K14" s="438">
        <v>2.4299999999999997</v>
      </c>
      <c r="L14" s="438">
        <v>200</v>
      </c>
      <c r="M14" s="438">
        <v>1.6899999999999977</v>
      </c>
      <c r="N14" s="438">
        <v>1.6400000000000006</v>
      </c>
    </row>
    <row r="15" spans="1:14" x14ac:dyDescent="0.25">
      <c r="A15" s="467">
        <v>311</v>
      </c>
      <c r="B15" s="501" t="s">
        <v>528</v>
      </c>
      <c r="C15" s="501" t="s">
        <v>529</v>
      </c>
      <c r="D15" s="438">
        <v>35.494520001162464</v>
      </c>
      <c r="E15" s="438">
        <v>32.21</v>
      </c>
      <c r="F15" s="438">
        <v>31.97</v>
      </c>
      <c r="G15" s="438">
        <v>182</v>
      </c>
      <c r="H15" s="438">
        <v>33.31</v>
      </c>
      <c r="I15" s="438">
        <v>33.25</v>
      </c>
      <c r="J15" s="438">
        <v>0.89999999999999858</v>
      </c>
      <c r="K15" s="438">
        <v>1.0799999999999983</v>
      </c>
      <c r="L15" s="438">
        <v>200</v>
      </c>
      <c r="M15" s="438">
        <v>1.4000000000000021</v>
      </c>
      <c r="N15" s="438">
        <v>1.5399999999999991</v>
      </c>
    </row>
    <row r="16" spans="1:14" x14ac:dyDescent="0.25">
      <c r="A16" s="502">
        <v>312</v>
      </c>
      <c r="B16" s="503" t="s">
        <v>529</v>
      </c>
      <c r="C16" s="503" t="s">
        <v>530</v>
      </c>
      <c r="D16" s="504">
        <v>57.545406975661315</v>
      </c>
      <c r="E16" s="504">
        <v>31.71</v>
      </c>
      <c r="F16" s="504">
        <v>31.44</v>
      </c>
      <c r="G16" s="504">
        <v>227</v>
      </c>
      <c r="H16" s="504">
        <v>33.25</v>
      </c>
      <c r="I16" s="504">
        <v>33.58</v>
      </c>
      <c r="J16" s="504">
        <v>1.2899999999999991</v>
      </c>
      <c r="K16" s="504">
        <v>1.889999999999997</v>
      </c>
      <c r="L16" s="504">
        <v>250</v>
      </c>
      <c r="M16" s="504">
        <v>1.5399999999999991</v>
      </c>
      <c r="N16" s="504">
        <v>2.1799999999999997</v>
      </c>
    </row>
    <row r="17" spans="1:14" x14ac:dyDescent="0.25">
      <c r="A17" s="467">
        <v>313</v>
      </c>
      <c r="B17" s="501" t="s">
        <v>531</v>
      </c>
      <c r="C17" s="501" t="s">
        <v>532</v>
      </c>
      <c r="D17" s="438">
        <v>40.543821945990679</v>
      </c>
      <c r="E17" s="438">
        <v>32.1</v>
      </c>
      <c r="F17" s="438">
        <v>31.82</v>
      </c>
      <c r="G17" s="438">
        <v>182</v>
      </c>
      <c r="H17" s="438">
        <v>33.1</v>
      </c>
      <c r="I17" s="438">
        <v>33.5</v>
      </c>
      <c r="J17" s="438">
        <v>0.79999999999999716</v>
      </c>
      <c r="K17" s="438">
        <v>1.4799999999999969</v>
      </c>
      <c r="L17" s="438">
        <v>200</v>
      </c>
      <c r="M17" s="438">
        <v>1.2600000000000016</v>
      </c>
      <c r="N17" s="438">
        <v>1.75</v>
      </c>
    </row>
    <row r="18" spans="1:14" x14ac:dyDescent="0.25">
      <c r="A18" s="467">
        <v>314</v>
      </c>
      <c r="B18" s="501" t="s">
        <v>532</v>
      </c>
      <c r="C18" s="501" t="s">
        <v>533</v>
      </c>
      <c r="D18" s="438">
        <v>41.51530929665396</v>
      </c>
      <c r="E18" s="438">
        <v>31.8</v>
      </c>
      <c r="F18" s="438">
        <v>31.51</v>
      </c>
      <c r="G18" s="438">
        <v>182</v>
      </c>
      <c r="H18" s="438">
        <v>33.5</v>
      </c>
      <c r="I18" s="438">
        <v>33.380000000000003</v>
      </c>
      <c r="J18" s="438">
        <v>1.5</v>
      </c>
      <c r="K18" s="438">
        <v>1.6700000000000017</v>
      </c>
      <c r="L18" s="438">
        <v>200</v>
      </c>
      <c r="M18" s="438">
        <v>1.75</v>
      </c>
      <c r="N18" s="438">
        <v>1.7500000000000036</v>
      </c>
    </row>
    <row r="19" spans="1:14" x14ac:dyDescent="0.25">
      <c r="A19" s="467">
        <v>315</v>
      </c>
      <c r="B19" s="501" t="s">
        <v>533</v>
      </c>
      <c r="C19" s="501" t="s">
        <v>527</v>
      </c>
      <c r="D19" s="438">
        <v>40.340567794773804</v>
      </c>
      <c r="E19" s="438">
        <v>31.49</v>
      </c>
      <c r="F19" s="438">
        <v>31.21</v>
      </c>
      <c r="G19" s="438">
        <v>182</v>
      </c>
      <c r="H19" s="438">
        <v>33.380000000000003</v>
      </c>
      <c r="I19" s="438">
        <v>33.14</v>
      </c>
      <c r="J19" s="438">
        <v>1.6900000000000048</v>
      </c>
      <c r="K19" s="438">
        <v>1.7300000000000004</v>
      </c>
      <c r="L19" s="438">
        <v>200</v>
      </c>
      <c r="M19" s="438">
        <v>1.7500000000000036</v>
      </c>
      <c r="N19" s="438">
        <v>1.6400000000000006</v>
      </c>
    </row>
    <row r="20" spans="1:14" x14ac:dyDescent="0.25">
      <c r="A20" s="467">
        <v>316</v>
      </c>
      <c r="B20" s="501" t="s">
        <v>527</v>
      </c>
      <c r="C20" s="501" t="s">
        <v>534</v>
      </c>
      <c r="D20" s="438">
        <v>37.177219503336254</v>
      </c>
      <c r="E20" s="438">
        <v>31.19</v>
      </c>
      <c r="F20" s="438">
        <v>31.08</v>
      </c>
      <c r="G20" s="438">
        <v>182</v>
      </c>
      <c r="H20" s="438">
        <v>33.14</v>
      </c>
      <c r="I20" s="438">
        <v>33.520000000000003</v>
      </c>
      <c r="J20" s="438">
        <v>1.75</v>
      </c>
      <c r="K20" s="438">
        <v>2.2400000000000055</v>
      </c>
      <c r="L20" s="438">
        <v>200</v>
      </c>
      <c r="M20" s="438">
        <v>1.6400000000000006</v>
      </c>
      <c r="N20" s="438">
        <v>2.1200000000000045</v>
      </c>
    </row>
    <row r="21" spans="1:14" x14ac:dyDescent="0.25">
      <c r="A21" s="467">
        <v>317</v>
      </c>
      <c r="B21" s="501" t="s">
        <v>534</v>
      </c>
      <c r="C21" s="501" t="s">
        <v>535</v>
      </c>
      <c r="D21" s="438">
        <v>6.9371721185190287</v>
      </c>
      <c r="E21" s="438">
        <v>31.06</v>
      </c>
      <c r="F21" s="438">
        <v>31.04</v>
      </c>
      <c r="G21" s="438">
        <v>182</v>
      </c>
      <c r="H21" s="438">
        <v>33.520000000000003</v>
      </c>
      <c r="I21" s="438">
        <v>33.700000000000003</v>
      </c>
      <c r="J21" s="438">
        <v>2.2600000000000051</v>
      </c>
      <c r="K21" s="438">
        <v>2.4600000000000044</v>
      </c>
      <c r="L21" s="438">
        <v>200</v>
      </c>
      <c r="M21" s="438">
        <v>2.1200000000000045</v>
      </c>
      <c r="N21" s="438">
        <v>2.4599999999999973</v>
      </c>
    </row>
    <row r="22" spans="1:14" x14ac:dyDescent="0.25">
      <c r="A22" s="467">
        <v>318</v>
      </c>
      <c r="B22" s="501" t="s">
        <v>536</v>
      </c>
      <c r="C22" s="501" t="s">
        <v>515</v>
      </c>
      <c r="D22" s="438">
        <v>55.921662037336446</v>
      </c>
      <c r="E22" s="438">
        <v>32.119999999999997</v>
      </c>
      <c r="F22" s="438">
        <v>31.74</v>
      </c>
      <c r="G22" s="438">
        <v>182</v>
      </c>
      <c r="H22" s="438">
        <v>33.130000000000003</v>
      </c>
      <c r="I22" s="438">
        <v>33.42</v>
      </c>
      <c r="J22" s="438">
        <v>0.81000000000000227</v>
      </c>
      <c r="K22" s="438">
        <v>1.480000000000004</v>
      </c>
      <c r="L22" s="438">
        <v>200</v>
      </c>
      <c r="M22" s="438">
        <v>1.1300000000000026</v>
      </c>
      <c r="N22" s="438">
        <v>1.5</v>
      </c>
    </row>
    <row r="23" spans="1:14" x14ac:dyDescent="0.25">
      <c r="A23" s="467">
        <v>319</v>
      </c>
      <c r="B23" s="501" t="s">
        <v>515</v>
      </c>
      <c r="C23" s="501" t="s">
        <v>524</v>
      </c>
      <c r="D23" s="438">
        <v>41.735009979555755</v>
      </c>
      <c r="E23" s="438">
        <v>31.7</v>
      </c>
      <c r="F23" s="438">
        <v>31.41</v>
      </c>
      <c r="G23" s="438">
        <v>182</v>
      </c>
      <c r="H23" s="438">
        <v>33.42</v>
      </c>
      <c r="I23" s="438">
        <v>33.76</v>
      </c>
      <c r="J23" s="438">
        <v>1.5200000000000031</v>
      </c>
      <c r="K23" s="438">
        <v>2.1499999999999986</v>
      </c>
      <c r="L23" s="438">
        <v>200</v>
      </c>
      <c r="M23" s="438">
        <v>1.5</v>
      </c>
      <c r="N23" s="438">
        <v>1.9799999999999969</v>
      </c>
    </row>
    <row r="24" spans="1:14" x14ac:dyDescent="0.25">
      <c r="A24" s="467">
        <v>320</v>
      </c>
      <c r="B24" s="501" t="s">
        <v>524</v>
      </c>
      <c r="C24" s="501" t="s">
        <v>522</v>
      </c>
      <c r="D24" s="438">
        <v>41.168040237656058</v>
      </c>
      <c r="E24" s="438">
        <v>31.39</v>
      </c>
      <c r="F24" s="438">
        <v>31.17</v>
      </c>
      <c r="G24" s="438">
        <v>182</v>
      </c>
      <c r="H24" s="438">
        <v>33.76</v>
      </c>
      <c r="I24" s="438">
        <v>33.25</v>
      </c>
      <c r="J24" s="438">
        <v>2.1699999999999982</v>
      </c>
      <c r="K24" s="438">
        <v>1.879999999999999</v>
      </c>
      <c r="L24" s="438">
        <v>200</v>
      </c>
      <c r="M24" s="438">
        <v>1.9799999999999969</v>
      </c>
      <c r="N24" s="438">
        <v>1.7300000000000004</v>
      </c>
    </row>
    <row r="25" spans="1:14" x14ac:dyDescent="0.25">
      <c r="A25" s="467">
        <v>321</v>
      </c>
      <c r="B25" s="501" t="s">
        <v>522</v>
      </c>
      <c r="C25" s="501" t="s">
        <v>520</v>
      </c>
      <c r="D25" s="438">
        <v>41.54596506267967</v>
      </c>
      <c r="E25" s="438">
        <v>31.15</v>
      </c>
      <c r="F25" s="438">
        <v>30.98</v>
      </c>
      <c r="G25" s="438">
        <v>182</v>
      </c>
      <c r="H25" s="438">
        <v>33.25</v>
      </c>
      <c r="I25" s="438">
        <v>33.159999999999997</v>
      </c>
      <c r="J25" s="438">
        <v>1.9000000000000021</v>
      </c>
      <c r="K25" s="438">
        <v>1.9799999999999969</v>
      </c>
      <c r="L25" s="438">
        <v>200</v>
      </c>
      <c r="M25" s="438">
        <v>1.7300000000000004</v>
      </c>
      <c r="N25" s="438">
        <v>1.6899999999999977</v>
      </c>
    </row>
    <row r="26" spans="1:14" x14ac:dyDescent="0.25">
      <c r="A26" s="467">
        <v>322</v>
      </c>
      <c r="B26" s="501" t="s">
        <v>537</v>
      </c>
      <c r="C26" s="501" t="s">
        <v>530</v>
      </c>
      <c r="D26" s="438">
        <v>36.579662913894225</v>
      </c>
      <c r="E26" s="438">
        <v>32.06</v>
      </c>
      <c r="F26" s="438">
        <v>31.81</v>
      </c>
      <c r="G26" s="438">
        <v>182</v>
      </c>
      <c r="H26" s="438">
        <v>33.159999999999997</v>
      </c>
      <c r="I26" s="438">
        <v>33.58</v>
      </c>
      <c r="J26" s="438">
        <v>0.89999999999999147</v>
      </c>
      <c r="K26" s="438">
        <v>1.5700000000000003</v>
      </c>
      <c r="L26" s="438">
        <v>200</v>
      </c>
      <c r="M26" s="438">
        <v>1.3100000000000023</v>
      </c>
      <c r="N26" s="438">
        <v>2.1799999999999997</v>
      </c>
    </row>
    <row r="27" spans="1:14" x14ac:dyDescent="0.25">
      <c r="A27" s="502">
        <v>323</v>
      </c>
      <c r="B27" s="503" t="s">
        <v>530</v>
      </c>
      <c r="C27" s="503" t="s">
        <v>535</v>
      </c>
      <c r="D27" s="504">
        <v>61.85739244440466</v>
      </c>
      <c r="E27" s="504">
        <v>31.4</v>
      </c>
      <c r="F27" s="504">
        <v>31.26</v>
      </c>
      <c r="G27" s="504">
        <v>284</v>
      </c>
      <c r="H27" s="504">
        <v>33.58</v>
      </c>
      <c r="I27" s="504">
        <v>33.700000000000003</v>
      </c>
      <c r="J27" s="504">
        <v>1.8649999999999984</v>
      </c>
      <c r="K27" s="504">
        <v>2.125</v>
      </c>
      <c r="L27" s="504">
        <v>315</v>
      </c>
      <c r="M27" s="504">
        <v>2.1799999999999997</v>
      </c>
      <c r="N27" s="504">
        <v>2.4599999999999973</v>
      </c>
    </row>
    <row r="28" spans="1:14" x14ac:dyDescent="0.25">
      <c r="A28" s="467">
        <v>324</v>
      </c>
      <c r="B28" s="501" t="s">
        <v>538</v>
      </c>
      <c r="C28" s="501" t="s">
        <v>539</v>
      </c>
      <c r="D28" s="438">
        <v>61.742755534495529</v>
      </c>
      <c r="E28" s="438">
        <v>32.32</v>
      </c>
      <c r="F28" s="438">
        <v>31.9</v>
      </c>
      <c r="G28" s="438">
        <v>182</v>
      </c>
      <c r="H28" s="438">
        <v>33.42</v>
      </c>
      <c r="I28" s="438">
        <v>33.200000000000003</v>
      </c>
      <c r="J28" s="438">
        <v>0.89999999999999858</v>
      </c>
      <c r="K28" s="438">
        <v>1.1000000000000014</v>
      </c>
      <c r="L28" s="438">
        <v>200</v>
      </c>
      <c r="M28" s="438">
        <v>1.240000000000002</v>
      </c>
      <c r="N28" s="438">
        <v>1.480000000000004</v>
      </c>
    </row>
    <row r="29" spans="1:14" x14ac:dyDescent="0.25">
      <c r="A29" s="467">
        <v>325</v>
      </c>
      <c r="B29" s="501" t="s">
        <v>539</v>
      </c>
      <c r="C29" s="501" t="s">
        <v>540</v>
      </c>
      <c r="D29" s="438">
        <v>48.493427863921816</v>
      </c>
      <c r="E29" s="438">
        <v>31.88</v>
      </c>
      <c r="F29" s="438">
        <v>31.55</v>
      </c>
      <c r="G29" s="438">
        <v>182</v>
      </c>
      <c r="H29" s="438">
        <v>33.200000000000003</v>
      </c>
      <c r="I29" s="438">
        <v>33.33</v>
      </c>
      <c r="J29" s="438">
        <v>1.1200000000000045</v>
      </c>
      <c r="K29" s="438">
        <v>1.5799999999999983</v>
      </c>
      <c r="L29" s="438">
        <v>200</v>
      </c>
      <c r="M29" s="438">
        <v>1.480000000000004</v>
      </c>
      <c r="N29" s="438">
        <v>1.8299999999999983</v>
      </c>
    </row>
    <row r="30" spans="1:14" x14ac:dyDescent="0.25">
      <c r="A30" s="467">
        <v>326</v>
      </c>
      <c r="B30" s="501" t="s">
        <v>541</v>
      </c>
      <c r="C30" s="501" t="s">
        <v>542</v>
      </c>
      <c r="D30" s="438">
        <v>55.129210451429678</v>
      </c>
      <c r="E30" s="438">
        <v>32.6</v>
      </c>
      <c r="F30" s="438">
        <v>32.15</v>
      </c>
      <c r="G30" s="438">
        <v>182</v>
      </c>
      <c r="H30" s="438">
        <v>33.700000000000003</v>
      </c>
      <c r="I30" s="438">
        <v>33.47</v>
      </c>
      <c r="J30" s="438">
        <v>0.89999999999999858</v>
      </c>
      <c r="K30" s="438">
        <v>1.1199999999999974</v>
      </c>
      <c r="L30" s="438">
        <v>200</v>
      </c>
      <c r="M30" s="438">
        <v>1.4000000000000057</v>
      </c>
      <c r="N30" s="438">
        <v>1.8099999999999987</v>
      </c>
    </row>
    <row r="31" spans="1:14" x14ac:dyDescent="0.25">
      <c r="A31" s="467">
        <v>327</v>
      </c>
      <c r="B31" s="501" t="s">
        <v>543</v>
      </c>
      <c r="C31" s="501" t="s">
        <v>544</v>
      </c>
      <c r="D31" s="438">
        <v>60.600592884939886</v>
      </c>
      <c r="E31" s="438">
        <v>32.299999999999997</v>
      </c>
      <c r="F31" s="438">
        <v>31.46</v>
      </c>
      <c r="G31" s="438">
        <v>182</v>
      </c>
      <c r="H31" s="438">
        <v>33.700000000000003</v>
      </c>
      <c r="I31" s="438">
        <v>33.56</v>
      </c>
      <c r="J31" s="438">
        <v>1.2000000000000028</v>
      </c>
      <c r="K31" s="438">
        <v>1.9000000000000021</v>
      </c>
      <c r="L31" s="438">
        <v>200</v>
      </c>
      <c r="M31" s="438">
        <v>1.4000000000000057</v>
      </c>
      <c r="N31" s="438">
        <v>2.8000000000000007</v>
      </c>
    </row>
    <row r="32" spans="1:14" x14ac:dyDescent="0.25">
      <c r="A32" s="467">
        <v>328</v>
      </c>
      <c r="B32" s="501" t="s">
        <v>545</v>
      </c>
      <c r="C32" s="501" t="s">
        <v>542</v>
      </c>
      <c r="D32" s="438">
        <v>53.283844099342481</v>
      </c>
      <c r="E32" s="438">
        <v>31.97</v>
      </c>
      <c r="F32" s="438">
        <v>31.61</v>
      </c>
      <c r="G32" s="438">
        <v>182</v>
      </c>
      <c r="H32" s="438">
        <v>33.07</v>
      </c>
      <c r="I32" s="438">
        <v>33.47</v>
      </c>
      <c r="J32" s="438">
        <v>0.89999999999999858</v>
      </c>
      <c r="K32" s="438">
        <v>1.6600000000000001</v>
      </c>
      <c r="L32" s="438">
        <v>200</v>
      </c>
      <c r="M32" s="438">
        <v>1</v>
      </c>
      <c r="N32" s="438">
        <v>1.8099999999999987</v>
      </c>
    </row>
    <row r="33" spans="1:14" x14ac:dyDescent="0.25">
      <c r="A33" s="467">
        <v>329</v>
      </c>
      <c r="B33" s="501" t="s">
        <v>542</v>
      </c>
      <c r="C33" s="501" t="s">
        <v>540</v>
      </c>
      <c r="D33" s="438">
        <v>62.539789398479783</v>
      </c>
      <c r="E33" s="438">
        <v>31.59</v>
      </c>
      <c r="F33" s="438">
        <v>31.16</v>
      </c>
      <c r="G33" s="438">
        <v>182</v>
      </c>
      <c r="H33" s="438">
        <v>33.47</v>
      </c>
      <c r="I33" s="438">
        <v>33.33</v>
      </c>
      <c r="J33" s="438">
        <v>1.6799999999999997</v>
      </c>
      <c r="K33" s="438">
        <v>1.9699999999999989</v>
      </c>
      <c r="L33" s="438">
        <v>200</v>
      </c>
      <c r="M33" s="438">
        <v>1.8099999999999987</v>
      </c>
      <c r="N33" s="438">
        <v>1.8299999999999983</v>
      </c>
    </row>
    <row r="34" spans="1:14" x14ac:dyDescent="0.25">
      <c r="A34" s="467">
        <v>330</v>
      </c>
      <c r="B34" s="501" t="s">
        <v>540</v>
      </c>
      <c r="C34" s="501" t="s">
        <v>544</v>
      </c>
      <c r="D34" s="438">
        <v>54.492720660586485</v>
      </c>
      <c r="E34" s="438">
        <v>31.14</v>
      </c>
      <c r="F34" s="438">
        <v>30.88</v>
      </c>
      <c r="G34" s="438">
        <v>182</v>
      </c>
      <c r="H34" s="438">
        <v>33.33</v>
      </c>
      <c r="I34" s="438">
        <v>33.56</v>
      </c>
      <c r="J34" s="438">
        <v>1.9899999999999984</v>
      </c>
      <c r="K34" s="438">
        <v>2.480000000000004</v>
      </c>
      <c r="L34" s="438">
        <v>200</v>
      </c>
      <c r="M34" s="438">
        <v>1.8299999999999983</v>
      </c>
      <c r="N34" s="438">
        <v>2.8000000000000007</v>
      </c>
    </row>
    <row r="35" spans="1:14" x14ac:dyDescent="0.25">
      <c r="A35" s="467">
        <v>331</v>
      </c>
      <c r="B35" s="501" t="s">
        <v>544</v>
      </c>
      <c r="C35" s="501" t="s">
        <v>546</v>
      </c>
      <c r="D35" s="438">
        <v>14.437990314762224</v>
      </c>
      <c r="E35" s="438">
        <v>30.86</v>
      </c>
      <c r="F35" s="438">
        <v>30.8</v>
      </c>
      <c r="G35" s="438">
        <v>182</v>
      </c>
      <c r="H35" s="438">
        <v>33.56</v>
      </c>
      <c r="I35" s="438">
        <v>33.53</v>
      </c>
      <c r="J35" s="438">
        <v>2.5000000000000036</v>
      </c>
      <c r="K35" s="438">
        <v>2.5300000000000011</v>
      </c>
      <c r="L35" s="438">
        <v>200</v>
      </c>
      <c r="M35" s="438">
        <v>2.8000000000000007</v>
      </c>
      <c r="N35" s="438">
        <v>2.9499999999999993</v>
      </c>
    </row>
    <row r="38" spans="1:14" x14ac:dyDescent="0.25">
      <c r="A38" s="502"/>
      <c r="B38" s="501" t="s">
        <v>547</v>
      </c>
    </row>
  </sheetData>
  <mergeCells count="4">
    <mergeCell ref="E3:F3"/>
    <mergeCell ref="H3:I3"/>
    <mergeCell ref="J3:K3"/>
    <mergeCell ref="M3:N3"/>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view="pageBreakPreview" zoomScale="60" zoomScaleNormal="100" workbookViewId="0">
      <selection activeCell="D19" sqref="D19"/>
    </sheetView>
  </sheetViews>
  <sheetFormatPr baseColWidth="10" defaultRowHeight="15" x14ac:dyDescent="0.25"/>
  <cols>
    <col min="1" max="1" width="5.85546875" style="403" customWidth="1"/>
    <col min="2" max="2" width="15.7109375" style="403" customWidth="1"/>
    <col min="3" max="3" width="15.140625" style="403" bestFit="1" customWidth="1"/>
    <col min="4" max="4" width="8" style="403" customWidth="1"/>
    <col min="5" max="6" width="7.5703125" style="403" bestFit="1" customWidth="1"/>
    <col min="7" max="7" width="8" style="403" customWidth="1"/>
    <col min="8" max="8" width="7" style="403" customWidth="1"/>
    <col min="9" max="9" width="6.85546875" style="403" bestFit="1" customWidth="1"/>
    <col min="10" max="11" width="6" style="403" customWidth="1"/>
    <col min="12" max="15" width="7.28515625" style="530" customWidth="1"/>
    <col min="16" max="16384" width="11.42578125" style="403"/>
  </cols>
  <sheetData>
    <row r="1" spans="1:19" x14ac:dyDescent="0.25">
      <c r="A1" s="691" t="s">
        <v>469</v>
      </c>
      <c r="B1" s="691"/>
      <c r="C1" s="691"/>
      <c r="D1" s="691"/>
      <c r="E1" s="691"/>
      <c r="F1" s="691"/>
      <c r="G1" s="691"/>
    </row>
    <row r="2" spans="1:19" s="535" customFormat="1" ht="12" x14ac:dyDescent="0.2">
      <c r="A2" s="536"/>
      <c r="B2" s="533"/>
      <c r="C2" s="533"/>
      <c r="D2" s="533"/>
      <c r="E2" s="533"/>
      <c r="F2" s="533"/>
      <c r="G2" s="533"/>
      <c r="H2" s="533"/>
      <c r="I2" s="533"/>
      <c r="J2" s="533"/>
      <c r="K2" s="533"/>
      <c r="L2" s="534"/>
      <c r="M2" s="534"/>
      <c r="N2" s="534"/>
      <c r="O2" s="534"/>
    </row>
    <row r="3" spans="1:19" s="538" customFormat="1" ht="40.5" customHeight="1" x14ac:dyDescent="0.2">
      <c r="A3" s="536" t="s">
        <v>452</v>
      </c>
      <c r="B3" s="696" t="s">
        <v>434</v>
      </c>
      <c r="C3" s="697"/>
      <c r="D3" s="537" t="s">
        <v>437</v>
      </c>
      <c r="E3" s="695" t="s">
        <v>438</v>
      </c>
      <c r="F3" s="695"/>
      <c r="G3" s="537" t="s">
        <v>439</v>
      </c>
      <c r="H3" s="695" t="s">
        <v>435</v>
      </c>
      <c r="I3" s="695"/>
      <c r="J3" s="693" t="s">
        <v>436</v>
      </c>
      <c r="K3" s="694"/>
      <c r="L3" s="692" t="s">
        <v>450</v>
      </c>
      <c r="M3" s="692"/>
      <c r="N3" s="692"/>
      <c r="O3" s="692"/>
    </row>
    <row r="4" spans="1:19" s="404" customFormat="1" x14ac:dyDescent="0.25">
      <c r="A4" s="424"/>
      <c r="B4" s="424" t="s">
        <v>440</v>
      </c>
      <c r="C4" s="424" t="s">
        <v>441</v>
      </c>
      <c r="D4" s="424" t="s">
        <v>442</v>
      </c>
      <c r="E4" s="528" t="s">
        <v>446</v>
      </c>
      <c r="F4" s="528" t="s">
        <v>447</v>
      </c>
      <c r="G4" s="424" t="s">
        <v>445</v>
      </c>
      <c r="H4" s="424" t="s">
        <v>446</v>
      </c>
      <c r="I4" s="424" t="s">
        <v>447</v>
      </c>
      <c r="J4" s="424" t="s">
        <v>446</v>
      </c>
      <c r="K4" s="424" t="s">
        <v>447</v>
      </c>
      <c r="L4" s="531" t="s">
        <v>448</v>
      </c>
      <c r="M4" s="531" t="s">
        <v>449</v>
      </c>
      <c r="N4" s="531" t="s">
        <v>448</v>
      </c>
      <c r="O4" s="531" t="s">
        <v>449</v>
      </c>
    </row>
    <row r="5" spans="1:19" x14ac:dyDescent="0.25">
      <c r="A5" s="338">
        <v>1</v>
      </c>
      <c r="B5" s="432" t="s">
        <v>470</v>
      </c>
      <c r="C5" s="432" t="s">
        <v>471</v>
      </c>
      <c r="D5" s="437">
        <v>45.249716452712967</v>
      </c>
      <c r="E5" s="435">
        <v>21.1</v>
      </c>
      <c r="F5" s="435">
        <v>20.79</v>
      </c>
      <c r="G5" s="432">
        <v>200</v>
      </c>
      <c r="H5" s="437">
        <v>21.9</v>
      </c>
      <c r="I5" s="437">
        <v>21.89</v>
      </c>
      <c r="J5" s="432">
        <f>H5-E5-(G5/1000)</f>
        <v>0.5999999999999972</v>
      </c>
      <c r="K5" s="432">
        <f>I5-F5-(G5/1000)</f>
        <v>0.90000000000000147</v>
      </c>
      <c r="L5" s="529">
        <v>1.2</v>
      </c>
      <c r="M5" s="529">
        <v>1.2</v>
      </c>
      <c r="N5" s="529">
        <v>1.1999999999999993</v>
      </c>
      <c r="O5" s="529">
        <v>2.1499999999999986</v>
      </c>
      <c r="R5" s="438"/>
      <c r="S5" s="438"/>
    </row>
    <row r="6" spans="1:19" x14ac:dyDescent="0.25">
      <c r="A6" s="338">
        <v>2</v>
      </c>
      <c r="B6" s="432" t="s">
        <v>472</v>
      </c>
      <c r="C6" s="432" t="s">
        <v>473</v>
      </c>
      <c r="D6" s="437">
        <v>59.483931040239248</v>
      </c>
      <c r="E6" s="435">
        <v>21</v>
      </c>
      <c r="F6" s="435">
        <v>20.59</v>
      </c>
      <c r="G6" s="432">
        <v>200</v>
      </c>
      <c r="H6" s="437">
        <v>22.11</v>
      </c>
      <c r="I6" s="437">
        <v>22.02</v>
      </c>
      <c r="J6" s="432">
        <f t="shared" ref="J6:J35" si="0">H6-E6-(G6/1000)</f>
        <v>0.90999999999999948</v>
      </c>
      <c r="K6" s="432">
        <f t="shared" ref="K6:K35" si="1">I6-F6-(G6/1000)</f>
        <v>1.2299999999999998</v>
      </c>
      <c r="L6" s="529">
        <v>1.2</v>
      </c>
      <c r="M6" s="529">
        <v>1.2</v>
      </c>
      <c r="N6" s="529">
        <v>1.75</v>
      </c>
      <c r="O6" s="529">
        <v>2.5399999999999991</v>
      </c>
      <c r="R6" s="438"/>
      <c r="S6" s="438"/>
    </row>
    <row r="7" spans="1:19" x14ac:dyDescent="0.25">
      <c r="A7" s="338">
        <v>3</v>
      </c>
      <c r="B7" s="432" t="s">
        <v>474</v>
      </c>
      <c r="C7" s="432" t="s">
        <v>475</v>
      </c>
      <c r="D7" s="437">
        <v>60.02499420249903</v>
      </c>
      <c r="E7" s="434">
        <v>20.96</v>
      </c>
      <c r="F7" s="434">
        <v>20.45</v>
      </c>
      <c r="G7" s="432">
        <v>200</v>
      </c>
      <c r="H7" s="437">
        <v>22.06</v>
      </c>
      <c r="I7" s="437">
        <v>22.03</v>
      </c>
      <c r="J7" s="432">
        <f t="shared" si="0"/>
        <v>0.89999999999999791</v>
      </c>
      <c r="K7" s="432">
        <f t="shared" si="1"/>
        <v>1.3800000000000019</v>
      </c>
      <c r="L7" s="529">
        <v>1.2</v>
      </c>
      <c r="M7" s="529">
        <v>1.2</v>
      </c>
      <c r="N7" s="529">
        <v>1.529999999999994</v>
      </c>
      <c r="O7" s="529">
        <v>1.7000000000000028</v>
      </c>
      <c r="R7" s="438"/>
      <c r="S7" s="438"/>
    </row>
    <row r="8" spans="1:19" x14ac:dyDescent="0.25">
      <c r="A8" s="338">
        <v>4</v>
      </c>
      <c r="B8" s="432" t="s">
        <v>476</v>
      </c>
      <c r="C8" s="432" t="s">
        <v>471</v>
      </c>
      <c r="D8" s="437">
        <v>46.954489595461141</v>
      </c>
      <c r="E8" s="434">
        <v>20.91</v>
      </c>
      <c r="F8" s="434">
        <v>20.59</v>
      </c>
      <c r="G8" s="432">
        <v>200</v>
      </c>
      <c r="H8" s="437">
        <v>22.01</v>
      </c>
      <c r="I8" s="437">
        <v>21.89</v>
      </c>
      <c r="J8" s="432">
        <f t="shared" si="0"/>
        <v>0.90000000000000147</v>
      </c>
      <c r="K8" s="432">
        <f t="shared" si="1"/>
        <v>1.1000000000000008</v>
      </c>
      <c r="L8" s="529">
        <v>1.2</v>
      </c>
      <c r="M8" s="529">
        <v>1.2</v>
      </c>
      <c r="N8" s="529">
        <v>1.7000000000000028</v>
      </c>
      <c r="O8" s="529">
        <v>2.5399999999999991</v>
      </c>
      <c r="R8" s="438"/>
      <c r="S8" s="438"/>
    </row>
    <row r="9" spans="1:19" x14ac:dyDescent="0.25">
      <c r="A9" s="338">
        <v>5</v>
      </c>
      <c r="B9" s="432" t="s">
        <v>477</v>
      </c>
      <c r="C9" s="432" t="s">
        <v>478</v>
      </c>
      <c r="D9" s="437">
        <v>67.820443184881526</v>
      </c>
      <c r="E9" s="434">
        <v>21.52</v>
      </c>
      <c r="F9" s="434">
        <v>21.06</v>
      </c>
      <c r="G9" s="432">
        <v>200</v>
      </c>
      <c r="H9" s="437">
        <v>22.32</v>
      </c>
      <c r="I9" s="437">
        <v>22.64</v>
      </c>
      <c r="J9" s="432">
        <f t="shared" si="0"/>
        <v>0.60000000000000075</v>
      </c>
      <c r="K9" s="432">
        <f t="shared" si="1"/>
        <v>1.3800000000000019</v>
      </c>
      <c r="L9" s="529">
        <v>1.2</v>
      </c>
      <c r="M9" s="529">
        <v>1.2</v>
      </c>
      <c r="N9" s="529">
        <v>1.0300000000000011</v>
      </c>
      <c r="O9" s="529">
        <v>2.4000000000000021</v>
      </c>
      <c r="R9" s="438"/>
      <c r="S9" s="438"/>
    </row>
    <row r="10" spans="1:19" x14ac:dyDescent="0.25">
      <c r="A10" s="338">
        <v>6</v>
      </c>
      <c r="B10" s="432" t="s">
        <v>479</v>
      </c>
      <c r="C10" s="432" t="s">
        <v>480</v>
      </c>
      <c r="D10" s="437">
        <v>21.806765724951241</v>
      </c>
      <c r="E10" s="434">
        <v>21.41</v>
      </c>
      <c r="F10" s="434">
        <v>21.26</v>
      </c>
      <c r="G10" s="432">
        <v>200</v>
      </c>
      <c r="H10" s="437">
        <v>22.21</v>
      </c>
      <c r="I10" s="437">
        <v>22.25</v>
      </c>
      <c r="J10" s="432">
        <f t="shared" si="0"/>
        <v>0.60000000000000075</v>
      </c>
      <c r="K10" s="432">
        <f t="shared" si="1"/>
        <v>0.78999999999999848</v>
      </c>
      <c r="L10" s="529">
        <v>1.2</v>
      </c>
      <c r="M10" s="529">
        <v>1.2</v>
      </c>
      <c r="N10" s="529">
        <v>1.4600000000000009</v>
      </c>
      <c r="O10" s="529">
        <v>2.0300000000000011</v>
      </c>
      <c r="R10" s="438"/>
      <c r="S10" s="438"/>
    </row>
    <row r="11" spans="1:19" x14ac:dyDescent="0.25">
      <c r="A11" s="338">
        <v>7</v>
      </c>
      <c r="B11" s="432" t="s">
        <v>480</v>
      </c>
      <c r="C11" s="432" t="s">
        <v>481</v>
      </c>
      <c r="D11" s="437">
        <v>46.27007686867897</v>
      </c>
      <c r="E11" s="434">
        <v>21.25</v>
      </c>
      <c r="F11" s="434">
        <v>20.93</v>
      </c>
      <c r="G11" s="432">
        <v>200</v>
      </c>
      <c r="H11" s="437">
        <v>22.25</v>
      </c>
      <c r="I11" s="437">
        <v>22.5</v>
      </c>
      <c r="J11" s="432">
        <f t="shared" si="0"/>
        <v>0.8</v>
      </c>
      <c r="K11" s="432">
        <f t="shared" si="1"/>
        <v>1.3700000000000003</v>
      </c>
      <c r="L11" s="529">
        <v>1.2</v>
      </c>
      <c r="M11" s="529">
        <v>1.2</v>
      </c>
      <c r="N11" s="529">
        <v>2.0300000000000011</v>
      </c>
      <c r="O11" s="529">
        <v>2.4000000000000021</v>
      </c>
      <c r="R11" s="438"/>
      <c r="S11" s="438"/>
    </row>
    <row r="12" spans="1:19" x14ac:dyDescent="0.25">
      <c r="A12" s="338">
        <v>8</v>
      </c>
      <c r="B12" s="432" t="s">
        <v>482</v>
      </c>
      <c r="C12" s="432" t="s">
        <v>473</v>
      </c>
      <c r="D12" s="437">
        <v>62.407768772990551</v>
      </c>
      <c r="E12" s="434">
        <v>21.02</v>
      </c>
      <c r="F12" s="434">
        <v>20.59</v>
      </c>
      <c r="G12" s="432">
        <v>200</v>
      </c>
      <c r="H12" s="437">
        <v>21.99</v>
      </c>
      <c r="I12" s="437">
        <v>22.02</v>
      </c>
      <c r="J12" s="432">
        <f t="shared" si="0"/>
        <v>0.76999999999999891</v>
      </c>
      <c r="K12" s="432">
        <f t="shared" si="1"/>
        <v>1.2299999999999998</v>
      </c>
      <c r="L12" s="529">
        <v>1.2</v>
      </c>
      <c r="M12" s="529">
        <v>1.2</v>
      </c>
      <c r="N12" s="529">
        <v>0.94999999999999929</v>
      </c>
      <c r="O12" s="529">
        <v>1.2700000000000031</v>
      </c>
      <c r="R12" s="438"/>
      <c r="S12" s="438"/>
    </row>
    <row r="13" spans="1:19" x14ac:dyDescent="0.25">
      <c r="A13" s="338">
        <v>9</v>
      </c>
      <c r="B13" s="432" t="s">
        <v>473</v>
      </c>
      <c r="C13" s="432" t="s">
        <v>475</v>
      </c>
      <c r="D13" s="437">
        <v>48.907210317132794</v>
      </c>
      <c r="E13" s="434">
        <v>20.57</v>
      </c>
      <c r="F13" s="434">
        <v>20.25</v>
      </c>
      <c r="G13" s="432">
        <v>200</v>
      </c>
      <c r="H13" s="437">
        <v>22.02</v>
      </c>
      <c r="I13" s="437">
        <v>22.03</v>
      </c>
      <c r="J13" s="432">
        <f t="shared" si="0"/>
        <v>1.2499999999999993</v>
      </c>
      <c r="K13" s="432">
        <f t="shared" si="1"/>
        <v>1.5800000000000012</v>
      </c>
      <c r="L13" s="529">
        <v>1.2</v>
      </c>
      <c r="M13" s="529">
        <v>1.2</v>
      </c>
      <c r="N13" s="529">
        <v>1.2700000000000031</v>
      </c>
      <c r="O13" s="529">
        <v>2.1400000000000006</v>
      </c>
      <c r="R13" s="438"/>
      <c r="S13" s="438"/>
    </row>
    <row r="14" spans="1:19" x14ac:dyDescent="0.25">
      <c r="A14" s="338">
        <v>10</v>
      </c>
      <c r="B14" s="432" t="s">
        <v>475</v>
      </c>
      <c r="C14" s="432" t="s">
        <v>483</v>
      </c>
      <c r="D14" s="437">
        <v>18.8510133849806</v>
      </c>
      <c r="E14" s="434">
        <v>20.239999999999998</v>
      </c>
      <c r="F14" s="434">
        <v>20.14</v>
      </c>
      <c r="G14" s="432">
        <v>200</v>
      </c>
      <c r="H14" s="437">
        <v>22.03</v>
      </c>
      <c r="I14" s="437">
        <v>22</v>
      </c>
      <c r="J14" s="432">
        <f t="shared" si="0"/>
        <v>1.5900000000000027</v>
      </c>
      <c r="K14" s="432">
        <f t="shared" si="1"/>
        <v>1.6599999999999995</v>
      </c>
      <c r="L14" s="529">
        <v>1.2</v>
      </c>
      <c r="M14" s="529">
        <v>1.2</v>
      </c>
      <c r="N14" s="529">
        <v>1</v>
      </c>
      <c r="O14" s="529">
        <v>1.2100000000000009</v>
      </c>
      <c r="R14" s="438"/>
      <c r="S14" s="438"/>
    </row>
    <row r="15" spans="1:19" x14ac:dyDescent="0.25">
      <c r="A15" s="338">
        <v>11</v>
      </c>
      <c r="B15" s="432" t="s">
        <v>483</v>
      </c>
      <c r="C15" s="432" t="s">
        <v>484</v>
      </c>
      <c r="D15" s="437">
        <v>44.441165394753256</v>
      </c>
      <c r="E15" s="434">
        <v>20.13</v>
      </c>
      <c r="F15" s="434">
        <v>19.920000000000002</v>
      </c>
      <c r="G15" s="432">
        <v>200</v>
      </c>
      <c r="H15" s="437">
        <v>22</v>
      </c>
      <c r="I15" s="437">
        <v>22.12</v>
      </c>
      <c r="J15" s="432">
        <f t="shared" si="0"/>
        <v>1.670000000000001</v>
      </c>
      <c r="K15" s="432">
        <f t="shared" si="1"/>
        <v>1.9999999999999993</v>
      </c>
      <c r="L15" s="529">
        <v>1.2</v>
      </c>
      <c r="M15" s="529">
        <v>1.2</v>
      </c>
      <c r="N15" s="529">
        <v>1.2100000000000009</v>
      </c>
      <c r="O15" s="529">
        <v>2.1400000000000006</v>
      </c>
      <c r="R15" s="438"/>
      <c r="S15" s="438"/>
    </row>
    <row r="16" spans="1:19" x14ac:dyDescent="0.25">
      <c r="A16" s="338">
        <v>12</v>
      </c>
      <c r="B16" s="432" t="s">
        <v>485</v>
      </c>
      <c r="C16" s="432" t="s">
        <v>486</v>
      </c>
      <c r="D16" s="437">
        <v>43.278737237793884</v>
      </c>
      <c r="E16" s="434">
        <v>20.92</v>
      </c>
      <c r="F16" s="434">
        <v>20.62</v>
      </c>
      <c r="G16" s="432">
        <v>200</v>
      </c>
      <c r="H16" s="437">
        <v>21.82</v>
      </c>
      <c r="I16" s="437">
        <v>21.75</v>
      </c>
      <c r="J16" s="432">
        <f t="shared" si="0"/>
        <v>0.69999999999999862</v>
      </c>
      <c r="K16" s="432">
        <f t="shared" si="1"/>
        <v>0.92999999999999905</v>
      </c>
      <c r="L16" s="529">
        <v>1.2</v>
      </c>
      <c r="M16" s="529">
        <v>1.2</v>
      </c>
      <c r="N16" s="529">
        <v>1</v>
      </c>
      <c r="O16" s="529">
        <v>2.1099999999999994</v>
      </c>
      <c r="R16" s="438"/>
      <c r="S16" s="438"/>
    </row>
    <row r="17" spans="1:19" x14ac:dyDescent="0.25">
      <c r="A17" s="338">
        <v>13</v>
      </c>
      <c r="B17" s="432" t="s">
        <v>486</v>
      </c>
      <c r="C17" s="432" t="s">
        <v>471</v>
      </c>
      <c r="D17" s="437">
        <v>25.080462891465423</v>
      </c>
      <c r="E17" s="434">
        <v>20.61</v>
      </c>
      <c r="F17" s="434">
        <v>20.440000000000001</v>
      </c>
      <c r="G17" s="432">
        <v>200</v>
      </c>
      <c r="H17" s="437">
        <v>21.75</v>
      </c>
      <c r="I17" s="437">
        <v>21.89</v>
      </c>
      <c r="J17" s="432">
        <f t="shared" si="0"/>
        <v>0.94000000000000061</v>
      </c>
      <c r="K17" s="432">
        <f t="shared" si="1"/>
        <v>1.2499999999999993</v>
      </c>
      <c r="L17" s="529">
        <v>1.2</v>
      </c>
      <c r="M17" s="529">
        <v>0</v>
      </c>
      <c r="N17" s="529">
        <v>0.96000000000000085</v>
      </c>
      <c r="O17" s="529">
        <v>0</v>
      </c>
      <c r="R17" s="438"/>
      <c r="S17" s="438"/>
    </row>
    <row r="18" spans="1:19" x14ac:dyDescent="0.25">
      <c r="A18" s="338">
        <v>14</v>
      </c>
      <c r="B18" s="432" t="s">
        <v>471</v>
      </c>
      <c r="C18" s="432" t="s">
        <v>487</v>
      </c>
      <c r="D18" s="437">
        <v>47.601742457609468</v>
      </c>
      <c r="E18" s="434">
        <v>20.420000000000002</v>
      </c>
      <c r="F18" s="434">
        <v>20.100000000000001</v>
      </c>
      <c r="G18" s="432">
        <v>200</v>
      </c>
      <c r="H18" s="437">
        <v>21.89</v>
      </c>
      <c r="I18" s="437">
        <v>22.11</v>
      </c>
      <c r="J18" s="432">
        <f t="shared" si="0"/>
        <v>1.2699999999999989</v>
      </c>
      <c r="K18" s="432">
        <f t="shared" si="1"/>
        <v>1.8099999999999981</v>
      </c>
      <c r="L18" s="529">
        <v>1.2</v>
      </c>
      <c r="M18" s="529">
        <v>1.2</v>
      </c>
      <c r="N18" s="529">
        <v>1.3000000000000007</v>
      </c>
      <c r="O18" s="529">
        <v>2.1099999999999994</v>
      </c>
      <c r="R18" s="438"/>
      <c r="S18" s="438"/>
    </row>
    <row r="19" spans="1:19" x14ac:dyDescent="0.25">
      <c r="A19" s="338">
        <v>15</v>
      </c>
      <c r="B19" s="432" t="s">
        <v>488</v>
      </c>
      <c r="C19" s="432" t="s">
        <v>489</v>
      </c>
      <c r="D19" s="437">
        <v>42.30899901834816</v>
      </c>
      <c r="E19" s="434">
        <v>21.35</v>
      </c>
      <c r="F19" s="434">
        <v>21.05</v>
      </c>
      <c r="G19" s="432">
        <v>200</v>
      </c>
      <c r="H19" s="437">
        <v>22.42</v>
      </c>
      <c r="I19" s="437">
        <v>22.4</v>
      </c>
      <c r="J19" s="432">
        <f t="shared" si="0"/>
        <v>0.87000000000000033</v>
      </c>
      <c r="K19" s="432">
        <f t="shared" si="1"/>
        <v>1.1499999999999979</v>
      </c>
      <c r="L19" s="529">
        <v>1.2</v>
      </c>
      <c r="M19" s="529">
        <v>1.2</v>
      </c>
      <c r="N19" s="529">
        <v>1</v>
      </c>
      <c r="O19" s="529">
        <v>2.3900000000000006</v>
      </c>
      <c r="R19" s="438"/>
      <c r="S19" s="438"/>
    </row>
    <row r="20" spans="1:19" x14ac:dyDescent="0.25">
      <c r="A20" s="338">
        <v>16</v>
      </c>
      <c r="B20" s="432" t="s">
        <v>490</v>
      </c>
      <c r="C20" s="432" t="s">
        <v>491</v>
      </c>
      <c r="D20" s="437">
        <v>23.027804940048998</v>
      </c>
      <c r="E20" s="434">
        <v>21.66</v>
      </c>
      <c r="F20" s="434">
        <v>21.56</v>
      </c>
      <c r="G20" s="432">
        <v>200</v>
      </c>
      <c r="H20" s="437">
        <v>23.57</v>
      </c>
      <c r="I20" s="437">
        <v>23.48</v>
      </c>
      <c r="J20" s="432">
        <f t="shared" si="0"/>
        <v>1.7100000000000002</v>
      </c>
      <c r="K20" s="432">
        <f t="shared" si="1"/>
        <v>1.7200000000000017</v>
      </c>
      <c r="L20" s="529">
        <v>1.2</v>
      </c>
      <c r="M20" s="529">
        <v>1.2</v>
      </c>
      <c r="N20" s="529">
        <v>1.1999999999999993</v>
      </c>
      <c r="O20" s="529">
        <v>1.6900000000000013</v>
      </c>
      <c r="R20" s="438"/>
      <c r="S20" s="438"/>
    </row>
    <row r="21" spans="1:19" x14ac:dyDescent="0.25">
      <c r="A21" s="338">
        <v>17</v>
      </c>
      <c r="B21" s="432" t="s">
        <v>491</v>
      </c>
      <c r="C21" s="432" t="s">
        <v>492</v>
      </c>
      <c r="D21" s="437">
        <v>114.06776526766042</v>
      </c>
      <c r="E21" s="434">
        <v>21.54</v>
      </c>
      <c r="F21" s="434">
        <v>21.27</v>
      </c>
      <c r="G21" s="432">
        <v>315</v>
      </c>
      <c r="H21" s="437">
        <v>23.48</v>
      </c>
      <c r="I21" s="437">
        <v>22.79</v>
      </c>
      <c r="J21" s="432">
        <f t="shared" si="0"/>
        <v>1.6250000000000013</v>
      </c>
      <c r="K21" s="432">
        <f t="shared" si="1"/>
        <v>1.2049999999999996</v>
      </c>
      <c r="L21" s="529">
        <v>1.2</v>
      </c>
      <c r="M21" s="529">
        <v>1.2</v>
      </c>
      <c r="N21" s="529">
        <v>1.6900000000000013</v>
      </c>
      <c r="O21" s="529">
        <v>2.3900000000000006</v>
      </c>
      <c r="R21" s="438"/>
      <c r="S21" s="438"/>
    </row>
    <row r="22" spans="1:19" x14ac:dyDescent="0.25">
      <c r="A22" s="338">
        <v>18</v>
      </c>
      <c r="B22" s="432" t="s">
        <v>492</v>
      </c>
      <c r="C22" s="432" t="s">
        <v>478</v>
      </c>
      <c r="D22" s="437">
        <v>107.8288877140875</v>
      </c>
      <c r="E22" s="434">
        <v>21.25</v>
      </c>
      <c r="F22" s="434">
        <v>21.01</v>
      </c>
      <c r="G22" s="432">
        <v>315</v>
      </c>
      <c r="H22" s="437">
        <v>22.79</v>
      </c>
      <c r="I22" s="437">
        <v>22.64</v>
      </c>
      <c r="J22" s="432">
        <f t="shared" si="0"/>
        <v>1.2249999999999992</v>
      </c>
      <c r="K22" s="432">
        <f t="shared" si="1"/>
        <v>1.3149999999999991</v>
      </c>
      <c r="L22" s="529">
        <v>1.2</v>
      </c>
      <c r="M22" s="529">
        <v>1.2</v>
      </c>
      <c r="N22" s="529">
        <v>1</v>
      </c>
      <c r="O22" s="529">
        <v>2.4499999999999993</v>
      </c>
      <c r="R22" s="438"/>
      <c r="S22" s="438"/>
    </row>
    <row r="23" spans="1:19" x14ac:dyDescent="0.25">
      <c r="A23" s="338">
        <v>19</v>
      </c>
      <c r="B23" s="432" t="s">
        <v>478</v>
      </c>
      <c r="C23" s="432" t="s">
        <v>481</v>
      </c>
      <c r="D23" s="437">
        <v>55.600256074943161</v>
      </c>
      <c r="E23" s="434">
        <v>20.990000000000002</v>
      </c>
      <c r="F23" s="434">
        <v>20.84</v>
      </c>
      <c r="G23" s="432">
        <v>315</v>
      </c>
      <c r="H23" s="437">
        <v>22.64</v>
      </c>
      <c r="I23" s="437">
        <v>22.5</v>
      </c>
      <c r="J23" s="432">
        <f t="shared" si="0"/>
        <v>1.3349999999999986</v>
      </c>
      <c r="K23" s="432">
        <f t="shared" si="1"/>
        <v>1.3450000000000002</v>
      </c>
      <c r="L23" s="529">
        <v>1.2</v>
      </c>
      <c r="M23" s="529">
        <v>1.2</v>
      </c>
      <c r="N23" s="529">
        <v>1.5199999999999996</v>
      </c>
      <c r="O23" s="529">
        <v>2.7100000000000009</v>
      </c>
      <c r="R23" s="438"/>
      <c r="S23" s="438"/>
    </row>
    <row r="24" spans="1:19" x14ac:dyDescent="0.25">
      <c r="A24" s="338">
        <v>20</v>
      </c>
      <c r="B24" s="432" t="s">
        <v>481</v>
      </c>
      <c r="C24" s="432" t="s">
        <v>489</v>
      </c>
      <c r="D24" s="437">
        <v>51.402163571895606</v>
      </c>
      <c r="E24" s="434">
        <v>20.82</v>
      </c>
      <c r="F24" s="434">
        <v>20.75</v>
      </c>
      <c r="G24" s="432">
        <v>355</v>
      </c>
      <c r="H24" s="437">
        <v>22.5</v>
      </c>
      <c r="I24" s="437">
        <v>22.4</v>
      </c>
      <c r="J24" s="432">
        <f t="shared" si="0"/>
        <v>1.3249999999999997</v>
      </c>
      <c r="K24" s="432">
        <f t="shared" si="1"/>
        <v>1.2949999999999986</v>
      </c>
      <c r="L24" s="529">
        <v>1.2</v>
      </c>
      <c r="M24" s="529">
        <v>1.2</v>
      </c>
      <c r="N24" s="529">
        <v>2.7100000000000009</v>
      </c>
      <c r="O24" s="529">
        <v>2.4499999999999993</v>
      </c>
      <c r="R24" s="438"/>
      <c r="S24" s="438"/>
    </row>
    <row r="25" spans="1:19" x14ac:dyDescent="0.25">
      <c r="A25" s="338">
        <v>21</v>
      </c>
      <c r="B25" s="432" t="s">
        <v>489</v>
      </c>
      <c r="C25" s="432" t="s">
        <v>484</v>
      </c>
      <c r="D25" s="437">
        <v>48.399188320904123</v>
      </c>
      <c r="E25" s="434">
        <v>20.73</v>
      </c>
      <c r="F25" s="434">
        <v>20.32</v>
      </c>
      <c r="G25" s="432">
        <v>355</v>
      </c>
      <c r="H25" s="437">
        <v>22.4</v>
      </c>
      <c r="I25" s="437">
        <v>22.12</v>
      </c>
      <c r="J25" s="432">
        <f t="shared" si="0"/>
        <v>1.3149999999999982</v>
      </c>
      <c r="K25" s="432">
        <f t="shared" si="1"/>
        <v>1.4450000000000007</v>
      </c>
      <c r="L25" s="529">
        <v>1.2</v>
      </c>
      <c r="M25" s="529">
        <v>1.2</v>
      </c>
      <c r="N25" s="529">
        <v>1.2000000000000028</v>
      </c>
      <c r="O25" s="529">
        <v>2.1499999999999986</v>
      </c>
      <c r="R25" s="438"/>
      <c r="S25" s="438"/>
    </row>
    <row r="26" spans="1:19" x14ac:dyDescent="0.25">
      <c r="A26" s="338">
        <v>22</v>
      </c>
      <c r="B26" s="432" t="s">
        <v>484</v>
      </c>
      <c r="C26" s="432" t="s">
        <v>487</v>
      </c>
      <c r="D26" s="437">
        <v>46.291690939098508</v>
      </c>
      <c r="E26" s="434">
        <v>19.91</v>
      </c>
      <c r="F26" s="434">
        <v>19.829999999999998</v>
      </c>
      <c r="G26" s="432">
        <v>355</v>
      </c>
      <c r="H26" s="437">
        <v>22.12</v>
      </c>
      <c r="I26" s="437">
        <v>22.11</v>
      </c>
      <c r="J26" s="432">
        <f t="shared" si="0"/>
        <v>1.8550000000000009</v>
      </c>
      <c r="K26" s="432">
        <f t="shared" si="1"/>
        <v>1.9250000000000012</v>
      </c>
      <c r="L26" s="529">
        <v>1.2</v>
      </c>
      <c r="M26" s="529">
        <v>1.2</v>
      </c>
      <c r="N26" s="529">
        <v>2.1499999999999986</v>
      </c>
      <c r="O26" s="529">
        <v>2.5399999999999991</v>
      </c>
      <c r="R26" s="438"/>
      <c r="S26" s="438"/>
    </row>
    <row r="27" spans="1:19" x14ac:dyDescent="0.25">
      <c r="A27" s="338">
        <v>23</v>
      </c>
      <c r="B27" s="432" t="s">
        <v>487</v>
      </c>
      <c r="C27" s="432" t="s">
        <v>493</v>
      </c>
      <c r="D27" s="437">
        <v>90.418237898221179</v>
      </c>
      <c r="E27" s="434">
        <v>19.809999999999999</v>
      </c>
      <c r="F27" s="434">
        <v>19.690000000000001</v>
      </c>
      <c r="G27" s="432">
        <v>400</v>
      </c>
      <c r="H27" s="437">
        <v>22.11</v>
      </c>
      <c r="I27" s="437">
        <v>22</v>
      </c>
      <c r="J27" s="432">
        <f t="shared" si="0"/>
        <v>1.9000000000000008</v>
      </c>
      <c r="K27" s="432">
        <f t="shared" si="1"/>
        <v>1.9099999999999988</v>
      </c>
      <c r="L27" s="529">
        <v>1.2</v>
      </c>
      <c r="M27" s="529">
        <v>1.2</v>
      </c>
      <c r="N27" s="529">
        <v>2.5399999999999991</v>
      </c>
      <c r="O27" s="529">
        <v>2.4000000000000021</v>
      </c>
      <c r="R27" s="438"/>
      <c r="S27" s="438"/>
    </row>
    <row r="28" spans="1:19" x14ac:dyDescent="0.25">
      <c r="A28" s="338">
        <v>24</v>
      </c>
      <c r="B28" s="432" t="s">
        <v>493</v>
      </c>
      <c r="C28" s="432" t="s">
        <v>494</v>
      </c>
      <c r="D28" s="437">
        <v>83.819857978931225</v>
      </c>
      <c r="E28" s="434">
        <v>19.68</v>
      </c>
      <c r="F28" s="434">
        <v>19.559999999999999</v>
      </c>
      <c r="G28" s="432">
        <v>400</v>
      </c>
      <c r="H28" s="437">
        <v>22</v>
      </c>
      <c r="I28" s="437">
        <v>21.7</v>
      </c>
      <c r="J28" s="432">
        <f t="shared" si="0"/>
        <v>1.9200000000000004</v>
      </c>
      <c r="K28" s="432">
        <f t="shared" si="1"/>
        <v>1.7400000000000007</v>
      </c>
      <c r="L28" s="529">
        <v>1.2</v>
      </c>
      <c r="M28" s="529">
        <v>1.2</v>
      </c>
      <c r="N28" s="529">
        <v>2.4000000000000021</v>
      </c>
      <c r="O28" s="529">
        <v>2.1400000000000006</v>
      </c>
      <c r="R28" s="438"/>
      <c r="S28" s="438"/>
    </row>
    <row r="29" spans="1:19" x14ac:dyDescent="0.25">
      <c r="A29" s="338">
        <v>25</v>
      </c>
      <c r="B29" s="432" t="s">
        <v>494</v>
      </c>
      <c r="C29" s="432" t="s">
        <v>495</v>
      </c>
      <c r="D29" s="437">
        <v>84.531086146192891</v>
      </c>
      <c r="E29" s="434">
        <v>19.54</v>
      </c>
      <c r="F29" s="434">
        <v>19.420000000000002</v>
      </c>
      <c r="G29" s="432">
        <v>500</v>
      </c>
      <c r="H29" s="437">
        <v>21.7</v>
      </c>
      <c r="I29" s="437">
        <v>21.54</v>
      </c>
      <c r="J29" s="432">
        <f t="shared" si="0"/>
        <v>1.6600000000000001</v>
      </c>
      <c r="K29" s="432">
        <f t="shared" si="1"/>
        <v>1.6199999999999974</v>
      </c>
      <c r="L29" s="529">
        <v>1.2</v>
      </c>
      <c r="M29" s="529">
        <v>1.2</v>
      </c>
      <c r="N29" s="529">
        <v>2.0500000000000007</v>
      </c>
      <c r="O29" s="529">
        <v>2.1099999999999994</v>
      </c>
      <c r="R29" s="438"/>
      <c r="S29" s="438"/>
    </row>
    <row r="30" spans="1:19" x14ac:dyDescent="0.25">
      <c r="A30" s="338">
        <v>26</v>
      </c>
      <c r="B30" s="432" t="s">
        <v>495</v>
      </c>
      <c r="C30" s="432" t="s">
        <v>496</v>
      </c>
      <c r="D30" s="437">
        <v>51.302331198948337</v>
      </c>
      <c r="E30" s="434">
        <v>19.400000000000002</v>
      </c>
      <c r="F30" s="434">
        <v>19.28</v>
      </c>
      <c r="G30" s="432">
        <v>500</v>
      </c>
      <c r="H30" s="437">
        <v>21.54</v>
      </c>
      <c r="I30" s="437">
        <v>21.53</v>
      </c>
      <c r="J30" s="432">
        <f t="shared" si="0"/>
        <v>1.639999999999997</v>
      </c>
      <c r="K30" s="432">
        <f t="shared" si="1"/>
        <v>1.75</v>
      </c>
      <c r="L30" s="529">
        <v>1.2</v>
      </c>
      <c r="M30" s="529">
        <v>1.2</v>
      </c>
      <c r="N30" s="529">
        <v>2.1099999999999994</v>
      </c>
      <c r="O30" s="529">
        <v>2.3900000000000006</v>
      </c>
      <c r="R30" s="438"/>
      <c r="S30" s="438"/>
    </row>
    <row r="31" spans="1:19" x14ac:dyDescent="0.25">
      <c r="A31" s="338">
        <v>27</v>
      </c>
      <c r="B31" s="432" t="s">
        <v>496</v>
      </c>
      <c r="C31" s="432" t="s">
        <v>497</v>
      </c>
      <c r="D31" s="437">
        <v>71.186303566431349</v>
      </c>
      <c r="E31" s="434">
        <v>19.260000000000002</v>
      </c>
      <c r="F31" s="434">
        <v>19.100000000000001</v>
      </c>
      <c r="G31" s="432">
        <v>500</v>
      </c>
      <c r="H31" s="437">
        <v>21.53</v>
      </c>
      <c r="I31" s="437">
        <v>21.63</v>
      </c>
      <c r="J31" s="432">
        <f t="shared" si="0"/>
        <v>1.7699999999999996</v>
      </c>
      <c r="K31" s="432">
        <f t="shared" si="1"/>
        <v>2.0299999999999976</v>
      </c>
      <c r="L31" s="529">
        <v>1.2</v>
      </c>
      <c r="M31" s="529">
        <v>1.2</v>
      </c>
      <c r="N31" s="529">
        <v>2.3900000000000006</v>
      </c>
      <c r="O31" s="529">
        <v>2.4499999999999993</v>
      </c>
      <c r="R31" s="438"/>
      <c r="S31" s="438"/>
    </row>
    <row r="32" spans="1:19" x14ac:dyDescent="0.25">
      <c r="A32" s="338">
        <v>28</v>
      </c>
      <c r="B32" s="432" t="s">
        <v>497</v>
      </c>
      <c r="C32" s="432" t="s">
        <v>498</v>
      </c>
      <c r="D32" s="437">
        <v>99.275349535338876</v>
      </c>
      <c r="E32" s="434">
        <v>19.080000000000002</v>
      </c>
      <c r="F32" s="434">
        <v>18.850000000000001</v>
      </c>
      <c r="G32" s="432">
        <v>500</v>
      </c>
      <c r="H32" s="437">
        <v>21.63</v>
      </c>
      <c r="I32" s="437">
        <v>21.77</v>
      </c>
      <c r="J32" s="432">
        <f t="shared" si="0"/>
        <v>2.0499999999999972</v>
      </c>
      <c r="K32" s="432">
        <f t="shared" si="1"/>
        <v>2.4199999999999982</v>
      </c>
      <c r="L32" s="529">
        <v>1.2</v>
      </c>
      <c r="M32" s="529">
        <v>1.2</v>
      </c>
      <c r="N32" s="529">
        <v>2.4499999999999993</v>
      </c>
      <c r="O32" s="529">
        <v>2.6999999999999993</v>
      </c>
      <c r="R32" s="438"/>
      <c r="S32" s="438"/>
    </row>
    <row r="33" spans="1:19" x14ac:dyDescent="0.25">
      <c r="A33" s="338">
        <v>29</v>
      </c>
      <c r="B33" s="432" t="s">
        <v>498</v>
      </c>
      <c r="C33" s="432" t="s">
        <v>499</v>
      </c>
      <c r="D33" s="437">
        <v>51.364209483376442</v>
      </c>
      <c r="E33" s="434">
        <v>18.830000000000002</v>
      </c>
      <c r="F33" s="434">
        <v>18.68</v>
      </c>
      <c r="G33" s="432">
        <v>500</v>
      </c>
      <c r="H33" s="437">
        <v>21.77</v>
      </c>
      <c r="I33" s="437">
        <v>22.04</v>
      </c>
      <c r="J33" s="432">
        <f t="shared" si="0"/>
        <v>2.4399999999999977</v>
      </c>
      <c r="K33" s="432">
        <f t="shared" si="1"/>
        <v>2.8599999999999994</v>
      </c>
      <c r="L33" s="529">
        <v>1.2</v>
      </c>
      <c r="M33" s="529">
        <v>1.2</v>
      </c>
      <c r="N33" s="529">
        <v>2.6999999999999993</v>
      </c>
      <c r="O33" s="529">
        <v>2.7199999999999989</v>
      </c>
      <c r="R33" s="438"/>
      <c r="S33" s="438"/>
    </row>
    <row r="34" spans="1:19" s="431" customFormat="1" x14ac:dyDescent="0.25">
      <c r="A34" s="338">
        <v>30</v>
      </c>
      <c r="B34" s="432" t="s">
        <v>499</v>
      </c>
      <c r="C34" s="432" t="s">
        <v>500</v>
      </c>
      <c r="D34" s="437">
        <v>99.732060040723084</v>
      </c>
      <c r="E34" s="434">
        <v>18.66</v>
      </c>
      <c r="F34" s="434">
        <v>18.45</v>
      </c>
      <c r="G34" s="432">
        <v>500</v>
      </c>
      <c r="H34" s="437">
        <v>22.04</v>
      </c>
      <c r="I34" s="437">
        <v>22.05</v>
      </c>
      <c r="J34" s="432">
        <f t="shared" si="0"/>
        <v>2.879999999999999</v>
      </c>
      <c r="K34" s="432">
        <f t="shared" si="1"/>
        <v>3.1000000000000014</v>
      </c>
      <c r="L34" s="529"/>
      <c r="M34" s="529"/>
      <c r="N34" s="529"/>
      <c r="O34" s="529"/>
      <c r="R34" s="438"/>
      <c r="S34" s="438"/>
    </row>
    <row r="35" spans="1:19" s="431" customFormat="1" x14ac:dyDescent="0.25">
      <c r="A35" s="338">
        <v>31</v>
      </c>
      <c r="B35" s="432" t="s">
        <v>500</v>
      </c>
      <c r="C35" s="432" t="s">
        <v>501</v>
      </c>
      <c r="D35" s="437">
        <v>19.566293746375543</v>
      </c>
      <c r="E35" s="436">
        <v>18.43</v>
      </c>
      <c r="F35" s="436">
        <v>17.95</v>
      </c>
      <c r="G35" s="432">
        <v>500</v>
      </c>
      <c r="H35" s="437">
        <v>22.05</v>
      </c>
      <c r="I35" s="437">
        <v>22.25</v>
      </c>
      <c r="J35" s="432">
        <f t="shared" si="0"/>
        <v>3.120000000000001</v>
      </c>
      <c r="K35" s="432">
        <f t="shared" si="1"/>
        <v>3.8000000000000007</v>
      </c>
      <c r="L35" s="529"/>
      <c r="M35" s="529"/>
      <c r="N35" s="529"/>
      <c r="O35" s="529"/>
      <c r="R35" s="438"/>
      <c r="S35" s="438"/>
    </row>
    <row r="36" spans="1:19" s="431" customFormat="1" x14ac:dyDescent="0.25">
      <c r="A36" s="433"/>
      <c r="B36" s="433"/>
      <c r="C36" s="433"/>
      <c r="D36" s="433"/>
      <c r="E36" s="433"/>
      <c r="F36" s="433"/>
      <c r="G36" s="433"/>
      <c r="H36" s="433"/>
      <c r="I36" s="433"/>
      <c r="J36" s="433"/>
      <c r="K36" s="433"/>
      <c r="L36" s="532"/>
      <c r="M36" s="532"/>
      <c r="N36" s="532"/>
      <c r="O36" s="532"/>
    </row>
    <row r="37" spans="1:19" s="431" customFormat="1" x14ac:dyDescent="0.25">
      <c r="A37" s="433"/>
      <c r="B37" s="433"/>
      <c r="C37" s="433"/>
      <c r="D37" s="433"/>
      <c r="E37" s="433"/>
      <c r="F37" s="433"/>
      <c r="G37" s="433"/>
      <c r="H37" s="433"/>
      <c r="I37" s="433"/>
      <c r="J37" s="433"/>
      <c r="K37" s="433"/>
      <c r="L37" s="532"/>
      <c r="M37" s="532"/>
      <c r="N37" s="532"/>
      <c r="O37" s="532"/>
    </row>
    <row r="38" spans="1:19" s="431" customFormat="1" x14ac:dyDescent="0.25">
      <c r="A38" s="433"/>
      <c r="B38" s="433"/>
      <c r="C38" s="433"/>
      <c r="D38" s="433"/>
      <c r="E38" s="433"/>
      <c r="F38" s="433"/>
      <c r="G38" s="433"/>
      <c r="H38" s="433"/>
      <c r="I38" s="433"/>
      <c r="J38" s="433"/>
      <c r="K38" s="433"/>
      <c r="L38" s="532"/>
      <c r="M38" s="532"/>
      <c r="N38" s="532"/>
      <c r="O38" s="532"/>
    </row>
    <row r="40" spans="1:19" x14ac:dyDescent="0.25">
      <c r="A40" s="425" t="s">
        <v>451</v>
      </c>
    </row>
  </sheetData>
  <mergeCells count="6">
    <mergeCell ref="A1:G1"/>
    <mergeCell ref="L3:O3"/>
    <mergeCell ref="J3:K3"/>
    <mergeCell ref="H3:I3"/>
    <mergeCell ref="E3:F3"/>
    <mergeCell ref="B3:C3"/>
  </mergeCells>
  <pageMargins left="0.7" right="0.7" top="0.75" bottom="0.75" header="0.3" footer="0.3"/>
  <pageSetup paperSize="5" scale="83"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4"/>
  <sheetViews>
    <sheetView view="pageBreakPreview" topLeftCell="C1" zoomScale="70" zoomScaleNormal="90" zoomScaleSheetLayoutView="70" workbookViewId="0">
      <pane ySplit="2" topLeftCell="A21" activePane="bottomLeft" state="frozen"/>
      <selection activeCell="AD38" sqref="AD38"/>
      <selection pane="bottomLeft" activeCell="Q27" sqref="Q27"/>
    </sheetView>
  </sheetViews>
  <sheetFormatPr baseColWidth="10" defaultColWidth="7.7109375" defaultRowHeight="12.75" x14ac:dyDescent="0.25"/>
  <cols>
    <col min="1" max="1" width="3.5703125" style="358" customWidth="1"/>
    <col min="2" max="2" width="4" style="358" customWidth="1"/>
    <col min="3" max="3" width="4.42578125" style="358" customWidth="1"/>
    <col min="4" max="4" width="15" style="325" customWidth="1"/>
    <col min="5" max="6" width="7.7109375" style="369" customWidth="1"/>
    <col min="7" max="7" width="6.28515625" style="369" customWidth="1"/>
    <col min="8" max="8" width="9.28515625" style="362" customWidth="1"/>
    <col min="9" max="9" width="15.5703125" style="325" customWidth="1"/>
    <col min="10" max="10" width="7.42578125" style="361" customWidth="1"/>
    <col min="11" max="11" width="7.7109375" style="361" customWidth="1"/>
    <col min="12" max="12" width="6.42578125" style="369" customWidth="1"/>
    <col min="13" max="13" width="10.7109375" style="371" customWidth="1"/>
    <col min="14" max="16" width="7.7109375" style="358" customWidth="1"/>
    <col min="17" max="17" width="7.7109375" style="420" customWidth="1"/>
    <col min="18" max="20" width="7.7109375" style="358" customWidth="1"/>
    <col min="21" max="21" width="8.140625" style="358" customWidth="1"/>
    <col min="22" max="22" width="7.7109375" style="358" customWidth="1"/>
    <col min="23" max="23" width="8.42578125" style="358" customWidth="1"/>
    <col min="24" max="25" width="7.7109375" style="358" customWidth="1"/>
    <col min="26" max="26" width="6.140625" style="358" customWidth="1"/>
    <col min="27" max="27" width="6" style="358" customWidth="1"/>
    <col min="28" max="31" width="7.7109375" style="407" customWidth="1"/>
    <col min="32" max="32" width="7.7109375" style="407"/>
    <col min="33" max="33" width="7.7109375" style="407" customWidth="1"/>
    <col min="34" max="35" width="7.7109375" style="407"/>
    <col min="36" max="36" width="7.7109375" style="360"/>
    <col min="37" max="37" width="7.7109375" style="407" customWidth="1"/>
    <col min="38" max="16384" width="7.7109375" style="358"/>
  </cols>
  <sheetData>
    <row r="1" spans="1:39" ht="15.75" x14ac:dyDescent="0.25">
      <c r="A1" s="407"/>
      <c r="B1" s="407"/>
      <c r="C1" s="407"/>
      <c r="D1" s="700" t="s">
        <v>404</v>
      </c>
      <c r="E1" s="700"/>
      <c r="F1" s="700"/>
      <c r="G1" s="700"/>
      <c r="H1" s="700"/>
      <c r="I1" s="700"/>
      <c r="J1" s="700"/>
      <c r="K1" s="700"/>
      <c r="L1" s="700"/>
      <c r="M1" s="700"/>
      <c r="N1" s="700"/>
      <c r="O1" s="700"/>
      <c r="P1" s="700"/>
      <c r="Q1" s="700"/>
      <c r="R1" s="700"/>
      <c r="S1" s="700"/>
      <c r="T1" s="700"/>
      <c r="U1" s="700"/>
      <c r="V1" s="700"/>
      <c r="W1" s="700"/>
      <c r="X1" s="700"/>
      <c r="Y1" s="700"/>
      <c r="Z1" s="700"/>
      <c r="AA1" s="700"/>
      <c r="AB1" s="700"/>
      <c r="AC1" s="700"/>
      <c r="AD1" s="700"/>
      <c r="AE1" s="700"/>
    </row>
    <row r="2" spans="1:39" ht="145.5" customHeight="1" x14ac:dyDescent="0.25">
      <c r="A2" s="456" t="s">
        <v>367</v>
      </c>
      <c r="B2" s="456" t="s">
        <v>502</v>
      </c>
      <c r="C2" s="456" t="s">
        <v>403</v>
      </c>
      <c r="D2" s="456" t="s">
        <v>0</v>
      </c>
      <c r="E2" s="468" t="s">
        <v>2</v>
      </c>
      <c r="F2" s="468" t="s">
        <v>3</v>
      </c>
      <c r="G2" s="468" t="s">
        <v>5</v>
      </c>
      <c r="H2" s="469" t="s">
        <v>327</v>
      </c>
      <c r="I2" s="456" t="s">
        <v>405</v>
      </c>
      <c r="J2" s="470" t="s">
        <v>2</v>
      </c>
      <c r="K2" s="470" t="s">
        <v>3</v>
      </c>
      <c r="L2" s="468" t="s">
        <v>5</v>
      </c>
      <c r="M2" s="468" t="s">
        <v>328</v>
      </c>
      <c r="N2" s="460" t="s">
        <v>1</v>
      </c>
      <c r="O2" s="460" t="s">
        <v>406</v>
      </c>
      <c r="P2" s="460" t="s">
        <v>355</v>
      </c>
      <c r="Q2" s="471" t="s">
        <v>6</v>
      </c>
      <c r="R2" s="460" t="s">
        <v>407</v>
      </c>
      <c r="S2" s="460" t="s">
        <v>408</v>
      </c>
      <c r="T2" s="460" t="s">
        <v>4</v>
      </c>
      <c r="U2" s="460" t="s">
        <v>138</v>
      </c>
      <c r="V2" s="460" t="s">
        <v>409</v>
      </c>
      <c r="W2" s="460" t="s">
        <v>410</v>
      </c>
      <c r="X2" s="460" t="s">
        <v>411</v>
      </c>
      <c r="Y2" s="460" t="s">
        <v>412</v>
      </c>
      <c r="Z2" s="460" t="s">
        <v>357</v>
      </c>
      <c r="AA2" s="460" t="s">
        <v>413</v>
      </c>
      <c r="AB2" s="460" t="s">
        <v>414</v>
      </c>
      <c r="AC2" s="460" t="s">
        <v>131</v>
      </c>
      <c r="AD2" s="460" t="s">
        <v>132</v>
      </c>
      <c r="AE2" s="460" t="s">
        <v>133</v>
      </c>
      <c r="AF2" s="472" t="s">
        <v>510</v>
      </c>
      <c r="AG2" s="460" t="s">
        <v>454</v>
      </c>
      <c r="AH2" s="460" t="s">
        <v>455</v>
      </c>
      <c r="AI2" s="460" t="s">
        <v>456</v>
      </c>
      <c r="AJ2" s="460" t="s">
        <v>468</v>
      </c>
      <c r="AK2" s="461" t="s">
        <v>509</v>
      </c>
      <c r="AL2" s="415"/>
      <c r="AM2" s="423"/>
    </row>
    <row r="3" spans="1:39" ht="16.7" customHeight="1" x14ac:dyDescent="0.25">
      <c r="A3" s="473"/>
      <c r="B3" s="441"/>
      <c r="C3" s="441"/>
      <c r="D3" s="350"/>
      <c r="E3" s="474"/>
      <c r="F3" s="474"/>
      <c r="G3" s="474"/>
      <c r="H3" s="475"/>
      <c r="I3" s="476"/>
      <c r="J3" s="476"/>
      <c r="K3" s="476"/>
      <c r="L3" s="474"/>
      <c r="M3" s="474"/>
      <c r="N3" s="408"/>
      <c r="O3" s="408"/>
      <c r="P3" s="408"/>
      <c r="Q3" s="408"/>
      <c r="R3" s="408"/>
      <c r="S3" s="408"/>
      <c r="T3" s="408"/>
      <c r="U3" s="408"/>
      <c r="V3" s="408"/>
      <c r="W3" s="408"/>
      <c r="X3" s="408"/>
      <c r="Y3" s="408"/>
      <c r="Z3" s="408"/>
      <c r="AA3" s="408"/>
      <c r="AB3" s="408"/>
      <c r="AC3" s="408"/>
      <c r="AD3" s="408"/>
      <c r="AE3" s="408"/>
    </row>
    <row r="4" spans="1:39" ht="15" customHeight="1" x14ac:dyDescent="0.25">
      <c r="A4" s="473">
        <v>1</v>
      </c>
      <c r="B4" s="413">
        <v>1</v>
      </c>
      <c r="C4" s="413">
        <v>1</v>
      </c>
      <c r="D4" s="477" t="s">
        <v>514</v>
      </c>
      <c r="E4" s="417">
        <v>33.1</v>
      </c>
      <c r="F4" s="417">
        <v>32.119999999999997</v>
      </c>
      <c r="G4" s="417">
        <f t="shared" ref="G4:G34" si="0">+E4-F4</f>
        <v>0.98000000000000398</v>
      </c>
      <c r="H4" s="417">
        <f t="shared" ref="H4:H34" si="1">+G4-O4/1000</f>
        <v>0.78000000000000402</v>
      </c>
      <c r="I4" s="405" t="s">
        <v>515</v>
      </c>
      <c r="J4" s="417">
        <v>33.42</v>
      </c>
      <c r="K4" s="417">
        <v>31.72</v>
      </c>
      <c r="L4" s="417">
        <f t="shared" ref="L4:L34" si="2">+J4-K4</f>
        <v>1.7000000000000028</v>
      </c>
      <c r="M4" s="417">
        <f t="shared" ref="M4:M34" si="3">+L4-O4/1000</f>
        <v>1.5000000000000029</v>
      </c>
      <c r="N4" s="370">
        <v>58.676802230461561</v>
      </c>
      <c r="O4" s="478">
        <v>200</v>
      </c>
      <c r="P4" s="413" t="s">
        <v>356</v>
      </c>
      <c r="Q4" s="479">
        <f>+(G4+L4)/2</f>
        <v>1.3400000000000034</v>
      </c>
      <c r="R4" s="480">
        <f>IF(Q4&lt;=1,1.1,IF(Q4&lt;=2,1.4,IF(Q4&gt;2,1.7)))</f>
        <v>1.4</v>
      </c>
      <c r="S4" s="480">
        <v>1.1000000000000001</v>
      </c>
      <c r="T4" s="413">
        <f t="shared" ref="T4:T34" si="4">+(R4+S4)/2</f>
        <v>1.25</v>
      </c>
      <c r="U4" s="370">
        <f>IF(Q4&gt;1.56,Q4*N4*2,0)</f>
        <v>0</v>
      </c>
      <c r="V4" s="370">
        <f t="shared" ref="V4:V34" si="5">IF(Q4&gt;2,2*N4*T4,Q4*T4*N4)+(X4*0.8*0.5)</f>
        <v>107.88364373602337</v>
      </c>
      <c r="W4" s="370">
        <f t="shared" ref="W4:W34" si="6">IF(Q4&gt;2,(Q4-2)*T4*N4,0)</f>
        <v>0</v>
      </c>
      <c r="X4" s="413">
        <f t="shared" ref="X4:X34" si="7">SUM(AC4:AE4)*6</f>
        <v>24</v>
      </c>
      <c r="Y4" s="370">
        <f t="shared" ref="Y4:Y34" si="8">IF(O4=200,N4,"")</f>
        <v>58.676802230461561</v>
      </c>
      <c r="Z4" s="413" t="str">
        <f t="shared" ref="Z4:Z34" si="9">IF(O4=250,N4,"")</f>
        <v/>
      </c>
      <c r="AA4" s="413" t="str">
        <f t="shared" ref="AA4:AA34" si="10">IF(O4=315,N4,"")</f>
        <v/>
      </c>
      <c r="AB4" s="413"/>
      <c r="AC4" s="413">
        <v>4</v>
      </c>
      <c r="AD4" s="409"/>
      <c r="AE4" s="413"/>
      <c r="AF4" s="413"/>
      <c r="AG4" s="413"/>
      <c r="AH4" s="370" t="str">
        <f t="shared" ref="AH4:AH14" si="11">IF(G4&gt;1.2,G4-1,"")</f>
        <v/>
      </c>
      <c r="AI4" s="370"/>
      <c r="AJ4" s="413"/>
      <c r="AK4" s="413"/>
    </row>
    <row r="5" spans="1:39" ht="16.7" customHeight="1" x14ac:dyDescent="0.25">
      <c r="A5" s="473"/>
      <c r="B5" s="441">
        <v>1</v>
      </c>
      <c r="C5" s="413">
        <v>2</v>
      </c>
      <c r="D5" s="477" t="s">
        <v>516</v>
      </c>
      <c r="E5" s="417">
        <v>33.130000000000003</v>
      </c>
      <c r="F5" s="417">
        <v>32.229999999999997</v>
      </c>
      <c r="G5" s="417">
        <f t="shared" si="0"/>
        <v>0.90000000000000568</v>
      </c>
      <c r="H5" s="417">
        <f t="shared" si="1"/>
        <v>0.70000000000000573</v>
      </c>
      <c r="I5" s="405" t="s">
        <v>517</v>
      </c>
      <c r="J5" s="417">
        <v>33.35</v>
      </c>
      <c r="K5" s="417">
        <v>31.95</v>
      </c>
      <c r="L5" s="417">
        <f t="shared" si="2"/>
        <v>1.4000000000000021</v>
      </c>
      <c r="M5" s="417">
        <f t="shared" si="3"/>
        <v>1.2000000000000022</v>
      </c>
      <c r="N5" s="370">
        <v>41.285610689331754</v>
      </c>
      <c r="O5" s="478">
        <v>200</v>
      </c>
      <c r="P5" s="413" t="s">
        <v>356</v>
      </c>
      <c r="Q5" s="479">
        <f t="shared" ref="Q5:Q21" si="12">+(G5+L5)/2</f>
        <v>1.1500000000000039</v>
      </c>
      <c r="R5" s="480">
        <f t="shared" ref="R5:R34" si="13">IF(Q5&lt;=1,1.1,IF(Q5&lt;=2,1.4,IF(Q5&gt;2,1.7)))</f>
        <v>1.4</v>
      </c>
      <c r="S5" s="480">
        <v>1.1000000000000001</v>
      </c>
      <c r="T5" s="413">
        <f t="shared" si="4"/>
        <v>1.25</v>
      </c>
      <c r="U5" s="370">
        <f t="shared" ref="U5:U34" si="14">IF(Q5&gt;1.56,Q5*N5*2,0)</f>
        <v>0</v>
      </c>
      <c r="V5" s="370">
        <f t="shared" si="5"/>
        <v>71.348065365914607</v>
      </c>
      <c r="W5" s="370">
        <f t="shared" si="6"/>
        <v>0</v>
      </c>
      <c r="X5" s="413">
        <f t="shared" si="7"/>
        <v>30</v>
      </c>
      <c r="Y5" s="370">
        <f t="shared" si="8"/>
        <v>41.285610689331754</v>
      </c>
      <c r="Z5" s="413" t="str">
        <f t="shared" si="9"/>
        <v/>
      </c>
      <c r="AA5" s="413" t="str">
        <f t="shared" si="10"/>
        <v/>
      </c>
      <c r="AB5" s="413"/>
      <c r="AC5" s="413">
        <v>5</v>
      </c>
      <c r="AD5" s="408"/>
      <c r="AE5" s="411"/>
      <c r="AF5" s="413"/>
      <c r="AG5" s="413"/>
      <c r="AH5" s="370" t="str">
        <f t="shared" si="11"/>
        <v/>
      </c>
      <c r="AI5" s="370"/>
      <c r="AJ5" s="413"/>
      <c r="AK5" s="413"/>
    </row>
    <row r="6" spans="1:39" ht="16.7" customHeight="1" x14ac:dyDescent="0.25">
      <c r="A6" s="473">
        <v>1</v>
      </c>
      <c r="B6" s="441"/>
      <c r="C6" s="413">
        <v>3</v>
      </c>
      <c r="D6" s="512" t="s">
        <v>517</v>
      </c>
      <c r="E6" s="417">
        <v>33.35</v>
      </c>
      <c r="F6" s="417">
        <v>31.94</v>
      </c>
      <c r="G6" s="417">
        <f t="shared" si="0"/>
        <v>1.4100000000000001</v>
      </c>
      <c r="H6" s="417">
        <f t="shared" si="1"/>
        <v>1.2100000000000002</v>
      </c>
      <c r="I6" s="405" t="s">
        <v>518</v>
      </c>
      <c r="J6" s="417">
        <v>33.26</v>
      </c>
      <c r="K6" s="417">
        <v>31.65</v>
      </c>
      <c r="L6" s="417">
        <f t="shared" si="2"/>
        <v>1.6099999999999994</v>
      </c>
      <c r="M6" s="417">
        <f t="shared" si="3"/>
        <v>1.4099999999999995</v>
      </c>
      <c r="N6" s="370">
        <v>41.477882118083059</v>
      </c>
      <c r="O6" s="478">
        <v>200</v>
      </c>
      <c r="P6" s="413" t="s">
        <v>356</v>
      </c>
      <c r="Q6" s="479">
        <f t="shared" si="12"/>
        <v>1.5099999999999998</v>
      </c>
      <c r="R6" s="480">
        <f t="shared" si="13"/>
        <v>1.4</v>
      </c>
      <c r="S6" s="480">
        <v>1.1000000000000001</v>
      </c>
      <c r="T6" s="413">
        <f t="shared" si="4"/>
        <v>1.25</v>
      </c>
      <c r="U6" s="370">
        <f t="shared" si="14"/>
        <v>0</v>
      </c>
      <c r="V6" s="370">
        <f t="shared" si="5"/>
        <v>92.689502497881762</v>
      </c>
      <c r="W6" s="370">
        <f t="shared" si="6"/>
        <v>0</v>
      </c>
      <c r="X6" s="413">
        <f t="shared" si="7"/>
        <v>36</v>
      </c>
      <c r="Y6" s="370">
        <f t="shared" si="8"/>
        <v>41.477882118083059</v>
      </c>
      <c r="Z6" s="413" t="str">
        <f t="shared" si="9"/>
        <v/>
      </c>
      <c r="AA6" s="413" t="str">
        <f t="shared" si="10"/>
        <v/>
      </c>
      <c r="AB6" s="413"/>
      <c r="AC6" s="413">
        <v>6</v>
      </c>
      <c r="AD6" s="408"/>
      <c r="AE6" s="411"/>
      <c r="AF6" s="478">
        <v>1</v>
      </c>
      <c r="AG6" s="370">
        <f>((((1.2+0.2)^2*PI()))/4)*(G6+0.1)</f>
        <v>2.324464404391088</v>
      </c>
      <c r="AH6" s="370">
        <f t="shared" si="11"/>
        <v>0.41000000000000014</v>
      </c>
      <c r="AI6" s="370" t="str">
        <f t="shared" ref="AI6:AI15" si="15">IF(G6&lt;=1.2,G6,"")</f>
        <v/>
      </c>
      <c r="AJ6" s="413"/>
      <c r="AK6" s="413"/>
    </row>
    <row r="7" spans="1:39" ht="16.7" customHeight="1" x14ac:dyDescent="0.25">
      <c r="A7" s="473">
        <v>1</v>
      </c>
      <c r="B7" s="441"/>
      <c r="C7" s="413">
        <v>4</v>
      </c>
      <c r="D7" s="512" t="s">
        <v>518</v>
      </c>
      <c r="E7" s="417">
        <v>33.26</v>
      </c>
      <c r="F7" s="417">
        <v>31.64</v>
      </c>
      <c r="G7" s="417">
        <f t="shared" si="0"/>
        <v>1.6199999999999974</v>
      </c>
      <c r="H7" s="417">
        <f t="shared" si="1"/>
        <v>1.4199999999999975</v>
      </c>
      <c r="I7" s="405" t="s">
        <v>519</v>
      </c>
      <c r="J7" s="417">
        <v>33.31</v>
      </c>
      <c r="K7" s="417">
        <v>31.35</v>
      </c>
      <c r="L7" s="417">
        <f t="shared" si="2"/>
        <v>1.9600000000000009</v>
      </c>
      <c r="M7" s="417">
        <f t="shared" si="3"/>
        <v>1.7600000000000009</v>
      </c>
      <c r="N7" s="370">
        <v>41.532839597166969</v>
      </c>
      <c r="O7" s="478">
        <v>200</v>
      </c>
      <c r="P7" s="413" t="s">
        <v>356</v>
      </c>
      <c r="Q7" s="479">
        <f t="shared" si="12"/>
        <v>1.7899999999999991</v>
      </c>
      <c r="R7" s="480">
        <f t="shared" si="13"/>
        <v>1.4</v>
      </c>
      <c r="S7" s="480">
        <v>1.1000000000000001</v>
      </c>
      <c r="T7" s="413">
        <f t="shared" si="4"/>
        <v>1.25</v>
      </c>
      <c r="U7" s="370">
        <f t="shared" si="14"/>
        <v>148.68756575785767</v>
      </c>
      <c r="V7" s="370">
        <f t="shared" si="5"/>
        <v>104.92972859866104</v>
      </c>
      <c r="W7" s="370">
        <f t="shared" si="6"/>
        <v>0</v>
      </c>
      <c r="X7" s="413">
        <f t="shared" si="7"/>
        <v>30</v>
      </c>
      <c r="Y7" s="370">
        <f t="shared" si="8"/>
        <v>41.532839597166969</v>
      </c>
      <c r="Z7" s="413" t="str">
        <f t="shared" si="9"/>
        <v/>
      </c>
      <c r="AA7" s="413" t="str">
        <f t="shared" si="10"/>
        <v/>
      </c>
      <c r="AB7" s="413"/>
      <c r="AC7" s="413">
        <v>5</v>
      </c>
      <c r="AD7" s="408"/>
      <c r="AE7" s="411"/>
      <c r="AF7" s="413">
        <v>1</v>
      </c>
      <c r="AG7" s="370">
        <f>((((1.2+0.2)^2*PI()))/4)*(G7+0.1)</f>
        <v>2.6477342884454735</v>
      </c>
      <c r="AH7" s="370">
        <f t="shared" si="11"/>
        <v>0.61999999999999744</v>
      </c>
      <c r="AI7" s="370" t="str">
        <f t="shared" si="15"/>
        <v/>
      </c>
      <c r="AJ7" s="413"/>
      <c r="AK7" s="413"/>
    </row>
    <row r="8" spans="1:39" ht="16.7" customHeight="1" x14ac:dyDescent="0.25">
      <c r="A8" s="473">
        <v>1</v>
      </c>
      <c r="B8" s="441"/>
      <c r="C8" s="413">
        <v>5</v>
      </c>
      <c r="D8" s="512" t="s">
        <v>519</v>
      </c>
      <c r="E8" s="417">
        <v>33.31</v>
      </c>
      <c r="F8" s="417">
        <v>31.34</v>
      </c>
      <c r="G8" s="417">
        <f t="shared" si="0"/>
        <v>1.9700000000000024</v>
      </c>
      <c r="H8" s="417">
        <f t="shared" si="1"/>
        <v>1.7700000000000025</v>
      </c>
      <c r="I8" s="405" t="s">
        <v>520</v>
      </c>
      <c r="J8" s="417">
        <v>33.159999999999997</v>
      </c>
      <c r="K8" s="417">
        <v>30.94</v>
      </c>
      <c r="L8" s="417">
        <f t="shared" si="2"/>
        <v>2.2199999999999953</v>
      </c>
      <c r="M8" s="417">
        <f t="shared" si="3"/>
        <v>2.0199999999999951</v>
      </c>
      <c r="N8" s="370">
        <v>55.808220263657731</v>
      </c>
      <c r="O8" s="478">
        <v>200</v>
      </c>
      <c r="P8" s="413" t="s">
        <v>356</v>
      </c>
      <c r="Q8" s="479">
        <f t="shared" si="12"/>
        <v>2.0949999999999989</v>
      </c>
      <c r="R8" s="480">
        <f t="shared" si="13"/>
        <v>1.7</v>
      </c>
      <c r="S8" s="480">
        <v>1.1000000000000001</v>
      </c>
      <c r="T8" s="413">
        <f t="shared" si="4"/>
        <v>1.4</v>
      </c>
      <c r="U8" s="370">
        <f t="shared" si="14"/>
        <v>233.83644290472577</v>
      </c>
      <c r="V8" s="370">
        <f t="shared" si="5"/>
        <v>170.66301673824165</v>
      </c>
      <c r="W8" s="370">
        <f t="shared" si="6"/>
        <v>7.4224932950663884</v>
      </c>
      <c r="X8" s="413">
        <f t="shared" si="7"/>
        <v>36</v>
      </c>
      <c r="Y8" s="370">
        <f t="shared" si="8"/>
        <v>55.808220263657731</v>
      </c>
      <c r="Z8" s="413" t="str">
        <f t="shared" si="9"/>
        <v/>
      </c>
      <c r="AA8" s="413" t="str">
        <f t="shared" si="10"/>
        <v/>
      </c>
      <c r="AB8" s="413"/>
      <c r="AC8" s="413">
        <v>6</v>
      </c>
      <c r="AD8" s="408"/>
      <c r="AE8" s="411"/>
      <c r="AF8" s="413">
        <v>1</v>
      </c>
      <c r="AG8" s="370">
        <f>((((1.2+0.2)^2*PI()))/4)*(G8+0.1)</f>
        <v>3.1865174285361304</v>
      </c>
      <c r="AH8" s="370">
        <f t="shared" si="11"/>
        <v>0.97000000000000242</v>
      </c>
      <c r="AI8" s="370" t="str">
        <f t="shared" si="15"/>
        <v/>
      </c>
      <c r="AJ8" s="413"/>
      <c r="AK8" s="413"/>
    </row>
    <row r="9" spans="1:39" ht="16.7" customHeight="1" x14ac:dyDescent="0.25">
      <c r="A9" s="473">
        <v>1</v>
      </c>
      <c r="B9" s="441">
        <v>1</v>
      </c>
      <c r="C9" s="413">
        <v>6</v>
      </c>
      <c r="D9" s="477" t="s">
        <v>521</v>
      </c>
      <c r="E9" s="417">
        <v>33.26</v>
      </c>
      <c r="F9" s="417">
        <v>32.08</v>
      </c>
      <c r="G9" s="417">
        <f t="shared" si="0"/>
        <v>1.1799999999999997</v>
      </c>
      <c r="H9" s="417">
        <f t="shared" si="1"/>
        <v>0.97999999999999976</v>
      </c>
      <c r="I9" s="405" t="s">
        <v>522</v>
      </c>
      <c r="J9" s="417">
        <v>33.25</v>
      </c>
      <c r="K9" s="417">
        <v>31.73</v>
      </c>
      <c r="L9" s="417">
        <f t="shared" si="2"/>
        <v>1.5199999999999996</v>
      </c>
      <c r="M9" s="417">
        <f t="shared" si="3"/>
        <v>1.3199999999999996</v>
      </c>
      <c r="N9" s="370">
        <v>50.946349848557276</v>
      </c>
      <c r="O9" s="478">
        <v>200</v>
      </c>
      <c r="P9" s="413" t="s">
        <v>356</v>
      </c>
      <c r="Q9" s="479">
        <f t="shared" si="12"/>
        <v>1.3499999999999996</v>
      </c>
      <c r="R9" s="480">
        <f t="shared" si="13"/>
        <v>1.4</v>
      </c>
      <c r="S9" s="480">
        <v>1.1000000000000001</v>
      </c>
      <c r="T9" s="413">
        <f t="shared" si="4"/>
        <v>1.25</v>
      </c>
      <c r="U9" s="370">
        <f t="shared" si="14"/>
        <v>0</v>
      </c>
      <c r="V9" s="370">
        <f t="shared" si="5"/>
        <v>112.37196536944039</v>
      </c>
      <c r="W9" s="370">
        <f t="shared" si="6"/>
        <v>0</v>
      </c>
      <c r="X9" s="413">
        <f t="shared" si="7"/>
        <v>66</v>
      </c>
      <c r="Y9" s="370">
        <f t="shared" si="8"/>
        <v>50.946349848557276</v>
      </c>
      <c r="Z9" s="413" t="str">
        <f t="shared" si="9"/>
        <v/>
      </c>
      <c r="AA9" s="413" t="str">
        <f t="shared" si="10"/>
        <v/>
      </c>
      <c r="AB9" s="413">
        <v>1</v>
      </c>
      <c r="AC9" s="413">
        <v>11</v>
      </c>
      <c r="AD9" s="408"/>
      <c r="AE9" s="411"/>
      <c r="AF9" s="413"/>
      <c r="AG9" s="370">
        <f t="shared" ref="AG9:AG25" si="16">((((1.2+0.2)^2*PI()))/4)*(AI9+0.1)</f>
        <v>1.9704069123315175</v>
      </c>
      <c r="AH9" s="370" t="str">
        <f t="shared" si="11"/>
        <v/>
      </c>
      <c r="AI9" s="370">
        <f t="shared" si="15"/>
        <v>1.1799999999999997</v>
      </c>
      <c r="AJ9" s="413"/>
      <c r="AK9" s="413"/>
    </row>
    <row r="10" spans="1:39" ht="16.7" customHeight="1" x14ac:dyDescent="0.25">
      <c r="A10" s="473">
        <v>1</v>
      </c>
      <c r="B10" s="441">
        <v>1</v>
      </c>
      <c r="C10" s="413">
        <v>7</v>
      </c>
      <c r="D10" s="477" t="s">
        <v>523</v>
      </c>
      <c r="E10" s="417">
        <v>33.35</v>
      </c>
      <c r="F10" s="417">
        <v>32.17</v>
      </c>
      <c r="G10" s="417">
        <f t="shared" si="0"/>
        <v>1.1799999999999997</v>
      </c>
      <c r="H10" s="417">
        <f t="shared" si="1"/>
        <v>0.97999999999999976</v>
      </c>
      <c r="I10" s="405" t="s">
        <v>524</v>
      </c>
      <c r="J10" s="417">
        <v>33.76</v>
      </c>
      <c r="K10" s="417">
        <v>31.82</v>
      </c>
      <c r="L10" s="417">
        <f t="shared" si="2"/>
        <v>1.9399999999999977</v>
      </c>
      <c r="M10" s="417">
        <f t="shared" si="3"/>
        <v>1.7399999999999978</v>
      </c>
      <c r="N10" s="370">
        <v>50.875631029373338</v>
      </c>
      <c r="O10" s="478">
        <v>200</v>
      </c>
      <c r="P10" s="413" t="s">
        <v>356</v>
      </c>
      <c r="Q10" s="479">
        <f t="shared" si="12"/>
        <v>1.5599999999999987</v>
      </c>
      <c r="R10" s="480">
        <f t="shared" si="13"/>
        <v>1.4</v>
      </c>
      <c r="S10" s="480">
        <v>1.1000000000000001</v>
      </c>
      <c r="T10" s="413">
        <f t="shared" si="4"/>
        <v>1.25</v>
      </c>
      <c r="U10" s="370">
        <f t="shared" si="14"/>
        <v>0</v>
      </c>
      <c r="V10" s="370">
        <f t="shared" si="5"/>
        <v>116.00748050727792</v>
      </c>
      <c r="W10" s="370">
        <f t="shared" si="6"/>
        <v>0</v>
      </c>
      <c r="X10" s="413">
        <f t="shared" si="7"/>
        <v>42</v>
      </c>
      <c r="Y10" s="370">
        <f t="shared" si="8"/>
        <v>50.875631029373338</v>
      </c>
      <c r="Z10" s="413" t="str">
        <f t="shared" si="9"/>
        <v/>
      </c>
      <c r="AA10" s="413" t="str">
        <f t="shared" si="10"/>
        <v/>
      </c>
      <c r="AB10" s="413">
        <v>1</v>
      </c>
      <c r="AC10" s="413">
        <v>7</v>
      </c>
      <c r="AD10" s="408"/>
      <c r="AE10" s="411"/>
      <c r="AF10" s="413"/>
      <c r="AG10" s="370">
        <f t="shared" si="16"/>
        <v>1.9704069123315175</v>
      </c>
      <c r="AH10" s="370" t="str">
        <f t="shared" si="11"/>
        <v/>
      </c>
      <c r="AI10" s="370">
        <f t="shared" si="15"/>
        <v>1.1799999999999997</v>
      </c>
      <c r="AJ10" s="413"/>
      <c r="AK10" s="413"/>
    </row>
    <row r="11" spans="1:39" ht="16.7" customHeight="1" x14ac:dyDescent="0.25">
      <c r="A11" s="473">
        <v>1</v>
      </c>
      <c r="B11" s="441">
        <v>1</v>
      </c>
      <c r="C11" s="413">
        <v>8</v>
      </c>
      <c r="D11" s="477" t="s">
        <v>525</v>
      </c>
      <c r="E11" s="417">
        <v>33.5</v>
      </c>
      <c r="F11" s="417">
        <v>32.299999999999997</v>
      </c>
      <c r="G11" s="417">
        <f t="shared" si="0"/>
        <v>1.2000000000000028</v>
      </c>
      <c r="H11" s="417">
        <f t="shared" si="1"/>
        <v>1.0000000000000029</v>
      </c>
      <c r="I11" s="405" t="s">
        <v>524</v>
      </c>
      <c r="J11" s="417">
        <v>33.76</v>
      </c>
      <c r="K11" s="417">
        <v>31.9</v>
      </c>
      <c r="L11" s="417">
        <f t="shared" si="2"/>
        <v>1.8599999999999994</v>
      </c>
      <c r="M11" s="417">
        <f t="shared" si="3"/>
        <v>1.6599999999999995</v>
      </c>
      <c r="N11" s="370">
        <v>52.139712647640728</v>
      </c>
      <c r="O11" s="478">
        <v>200</v>
      </c>
      <c r="P11" s="413" t="s">
        <v>356</v>
      </c>
      <c r="Q11" s="479">
        <f t="shared" si="12"/>
        <v>1.5300000000000011</v>
      </c>
      <c r="R11" s="480">
        <f t="shared" si="13"/>
        <v>1.4</v>
      </c>
      <c r="S11" s="480">
        <v>1.1000000000000001</v>
      </c>
      <c r="T11" s="413">
        <f t="shared" si="4"/>
        <v>1.25</v>
      </c>
      <c r="U11" s="370">
        <f t="shared" si="14"/>
        <v>0</v>
      </c>
      <c r="V11" s="370">
        <f t="shared" si="5"/>
        <v>116.51720043861296</v>
      </c>
      <c r="W11" s="370">
        <f t="shared" si="6"/>
        <v>0</v>
      </c>
      <c r="X11" s="413">
        <f t="shared" si="7"/>
        <v>42</v>
      </c>
      <c r="Y11" s="370">
        <f t="shared" si="8"/>
        <v>52.139712647640728</v>
      </c>
      <c r="Z11" s="413" t="str">
        <f t="shared" si="9"/>
        <v/>
      </c>
      <c r="AA11" s="413" t="str">
        <f t="shared" si="10"/>
        <v/>
      </c>
      <c r="AB11" s="413">
        <v>1</v>
      </c>
      <c r="AC11" s="413">
        <v>7</v>
      </c>
      <c r="AD11" s="408"/>
      <c r="AE11" s="411"/>
      <c r="AF11" s="413"/>
      <c r="AG11" s="370">
        <f t="shared" si="16"/>
        <v>2.0011945203367025</v>
      </c>
      <c r="AH11" s="370" t="str">
        <f t="shared" si="11"/>
        <v/>
      </c>
      <c r="AI11" s="370">
        <f t="shared" si="15"/>
        <v>1.2000000000000028</v>
      </c>
      <c r="AJ11" s="413"/>
      <c r="AK11" s="413"/>
    </row>
    <row r="12" spans="1:39" ht="16.7" customHeight="1" x14ac:dyDescent="0.25">
      <c r="A12" s="473">
        <v>1</v>
      </c>
      <c r="B12" s="441">
        <v>1</v>
      </c>
      <c r="C12" s="413">
        <v>9</v>
      </c>
      <c r="D12" s="477" t="s">
        <v>526</v>
      </c>
      <c r="E12" s="417">
        <v>33.35</v>
      </c>
      <c r="F12" s="417">
        <v>32.15</v>
      </c>
      <c r="G12" s="417">
        <f t="shared" si="0"/>
        <v>1.2000000000000028</v>
      </c>
      <c r="H12" s="417">
        <f t="shared" si="1"/>
        <v>1.0000000000000029</v>
      </c>
      <c r="I12" s="405" t="s">
        <v>522</v>
      </c>
      <c r="J12" s="417">
        <v>33.25</v>
      </c>
      <c r="K12" s="417">
        <v>31.78</v>
      </c>
      <c r="L12" s="417">
        <f t="shared" si="2"/>
        <v>1.4699999999999989</v>
      </c>
      <c r="M12" s="417">
        <f t="shared" si="3"/>
        <v>1.2699999999999989</v>
      </c>
      <c r="N12" s="370">
        <v>53.995365732023927</v>
      </c>
      <c r="O12" s="478">
        <v>200</v>
      </c>
      <c r="P12" s="413" t="s">
        <v>356</v>
      </c>
      <c r="Q12" s="479">
        <f t="shared" si="12"/>
        <v>1.3350000000000009</v>
      </c>
      <c r="R12" s="480">
        <f t="shared" si="13"/>
        <v>1.4</v>
      </c>
      <c r="S12" s="480">
        <v>1.1000000000000001</v>
      </c>
      <c r="T12" s="413">
        <f t="shared" si="4"/>
        <v>1.25</v>
      </c>
      <c r="U12" s="370">
        <f t="shared" si="14"/>
        <v>0</v>
      </c>
      <c r="V12" s="370">
        <f t="shared" si="5"/>
        <v>116.50476656531499</v>
      </c>
      <c r="W12" s="370">
        <f t="shared" si="6"/>
        <v>0</v>
      </c>
      <c r="X12" s="413">
        <f t="shared" si="7"/>
        <v>66</v>
      </c>
      <c r="Y12" s="370">
        <f t="shared" si="8"/>
        <v>53.995365732023927</v>
      </c>
      <c r="Z12" s="413" t="str">
        <f t="shared" si="9"/>
        <v/>
      </c>
      <c r="AA12" s="413" t="str">
        <f t="shared" si="10"/>
        <v/>
      </c>
      <c r="AB12" s="413">
        <v>1</v>
      </c>
      <c r="AC12" s="413">
        <v>11</v>
      </c>
      <c r="AD12" s="408"/>
      <c r="AE12" s="411"/>
      <c r="AF12" s="413"/>
      <c r="AG12" s="370">
        <f t="shared" si="16"/>
        <v>2.0011945203367025</v>
      </c>
      <c r="AH12" s="370" t="str">
        <f t="shared" si="11"/>
        <v/>
      </c>
      <c r="AI12" s="370">
        <f t="shared" si="15"/>
        <v>1.2000000000000028</v>
      </c>
      <c r="AJ12" s="413"/>
      <c r="AK12" s="413"/>
    </row>
    <row r="13" spans="1:39" ht="16.7" customHeight="1" x14ac:dyDescent="0.25">
      <c r="A13" s="473">
        <v>1</v>
      </c>
      <c r="B13" s="441"/>
      <c r="C13" s="413">
        <v>10</v>
      </c>
      <c r="D13" s="477" t="s">
        <v>520</v>
      </c>
      <c r="E13" s="417">
        <v>33.159999999999997</v>
      </c>
      <c r="F13" s="417">
        <v>30.93</v>
      </c>
      <c r="G13" s="417">
        <f t="shared" si="0"/>
        <v>2.2299999999999969</v>
      </c>
      <c r="H13" s="417">
        <f t="shared" si="1"/>
        <v>2.0299999999999967</v>
      </c>
      <c r="I13" s="405" t="s">
        <v>527</v>
      </c>
      <c r="J13" s="417">
        <v>33.14</v>
      </c>
      <c r="K13" s="417">
        <v>30.51</v>
      </c>
      <c r="L13" s="417">
        <f t="shared" si="2"/>
        <v>2.629999999999999</v>
      </c>
      <c r="M13" s="417">
        <f t="shared" si="3"/>
        <v>2.4299999999999988</v>
      </c>
      <c r="N13" s="370">
        <v>60.770508669991798</v>
      </c>
      <c r="O13" s="478">
        <v>200</v>
      </c>
      <c r="P13" s="413" t="s">
        <v>356</v>
      </c>
      <c r="Q13" s="479">
        <f t="shared" si="12"/>
        <v>2.4299999999999979</v>
      </c>
      <c r="R13" s="480">
        <f t="shared" si="13"/>
        <v>1.7</v>
      </c>
      <c r="S13" s="480">
        <v>1.1000000000000001</v>
      </c>
      <c r="T13" s="413">
        <f t="shared" si="4"/>
        <v>1.4</v>
      </c>
      <c r="U13" s="370">
        <f t="shared" si="14"/>
        <v>295.34467213615989</v>
      </c>
      <c r="V13" s="370">
        <f t="shared" si="5"/>
        <v>191.75742427597703</v>
      </c>
      <c r="W13" s="370">
        <f t="shared" si="6"/>
        <v>36.583846219334887</v>
      </c>
      <c r="X13" s="413">
        <f t="shared" si="7"/>
        <v>54</v>
      </c>
      <c r="Y13" s="370">
        <f t="shared" si="8"/>
        <v>60.770508669991798</v>
      </c>
      <c r="Z13" s="413" t="str">
        <f t="shared" si="9"/>
        <v/>
      </c>
      <c r="AA13" s="413" t="str">
        <f t="shared" si="10"/>
        <v/>
      </c>
      <c r="AB13" s="413"/>
      <c r="AC13" s="413">
        <v>9</v>
      </c>
      <c r="AD13" s="408"/>
      <c r="AE13" s="411"/>
      <c r="AF13" s="413">
        <v>1</v>
      </c>
      <c r="AG13" s="370">
        <f>((((1.2+0.2)^2*PI()))/4)*(AK13+0.1)</f>
        <v>0.985203456165759</v>
      </c>
      <c r="AH13" s="370">
        <f t="shared" si="11"/>
        <v>1.2299999999999969</v>
      </c>
      <c r="AI13" s="370" t="str">
        <f t="shared" si="15"/>
        <v/>
      </c>
      <c r="AJ13" s="413"/>
      <c r="AK13" s="413">
        <v>0.54</v>
      </c>
    </row>
    <row r="14" spans="1:39" ht="16.7" customHeight="1" x14ac:dyDescent="0.25">
      <c r="A14" s="473">
        <v>1</v>
      </c>
      <c r="B14" s="441">
        <v>1</v>
      </c>
      <c r="C14" s="413">
        <v>11</v>
      </c>
      <c r="D14" s="512" t="s">
        <v>528</v>
      </c>
      <c r="E14" s="417">
        <v>33.31</v>
      </c>
      <c r="F14" s="417">
        <v>32.21</v>
      </c>
      <c r="G14" s="417">
        <f t="shared" si="0"/>
        <v>1.1000000000000014</v>
      </c>
      <c r="H14" s="417">
        <f t="shared" si="1"/>
        <v>0.90000000000000147</v>
      </c>
      <c r="I14" s="405" t="s">
        <v>529</v>
      </c>
      <c r="J14" s="417">
        <v>33.25</v>
      </c>
      <c r="K14" s="417">
        <v>31.97</v>
      </c>
      <c r="L14" s="417">
        <f t="shared" si="2"/>
        <v>1.2800000000000011</v>
      </c>
      <c r="M14" s="417">
        <f t="shared" si="3"/>
        <v>1.0800000000000012</v>
      </c>
      <c r="N14" s="370">
        <v>35.494520001162464</v>
      </c>
      <c r="O14" s="478">
        <v>200</v>
      </c>
      <c r="P14" s="413" t="s">
        <v>356</v>
      </c>
      <c r="Q14" s="479">
        <f t="shared" si="12"/>
        <v>1.1900000000000013</v>
      </c>
      <c r="R14" s="480">
        <f t="shared" si="13"/>
        <v>1.4</v>
      </c>
      <c r="S14" s="480">
        <v>1.1000000000000001</v>
      </c>
      <c r="T14" s="413">
        <f t="shared" si="4"/>
        <v>1.25</v>
      </c>
      <c r="U14" s="370">
        <f t="shared" si="14"/>
        <v>0</v>
      </c>
      <c r="V14" s="370">
        <f t="shared" si="5"/>
        <v>67.19809850172922</v>
      </c>
      <c r="W14" s="370">
        <f t="shared" si="6"/>
        <v>0</v>
      </c>
      <c r="X14" s="413">
        <f t="shared" si="7"/>
        <v>36</v>
      </c>
      <c r="Y14" s="370">
        <f t="shared" si="8"/>
        <v>35.494520001162464</v>
      </c>
      <c r="Z14" s="413" t="str">
        <f t="shared" si="9"/>
        <v/>
      </c>
      <c r="AA14" s="413" t="str">
        <f t="shared" si="10"/>
        <v/>
      </c>
      <c r="AB14" s="413">
        <v>1</v>
      </c>
      <c r="AC14" s="413">
        <v>6</v>
      </c>
      <c r="AD14" s="408"/>
      <c r="AE14" s="411"/>
      <c r="AF14" s="370"/>
      <c r="AG14" s="370">
        <f t="shared" si="16"/>
        <v>1.8472564803108003</v>
      </c>
      <c r="AH14" s="370" t="str">
        <f t="shared" si="11"/>
        <v/>
      </c>
      <c r="AI14" s="370">
        <f t="shared" si="15"/>
        <v>1.1000000000000014</v>
      </c>
      <c r="AJ14" s="413"/>
      <c r="AK14" s="413"/>
    </row>
    <row r="15" spans="1:39" s="492" customFormat="1" ht="16.7" customHeight="1" x14ac:dyDescent="0.25">
      <c r="A15" s="481">
        <v>1</v>
      </c>
      <c r="B15" s="482"/>
      <c r="C15" s="482">
        <v>12</v>
      </c>
      <c r="D15" s="483" t="s">
        <v>529</v>
      </c>
      <c r="E15" s="484">
        <v>33.25</v>
      </c>
      <c r="F15" s="484">
        <v>31.71</v>
      </c>
      <c r="G15" s="484">
        <f t="shared" si="0"/>
        <v>1.5399999999999991</v>
      </c>
      <c r="H15" s="484">
        <f t="shared" si="1"/>
        <v>1.2899999999999991</v>
      </c>
      <c r="I15" s="485" t="s">
        <v>530</v>
      </c>
      <c r="J15" s="484">
        <v>33.58</v>
      </c>
      <c r="K15" s="484">
        <v>31.44</v>
      </c>
      <c r="L15" s="484">
        <f t="shared" si="2"/>
        <v>2.139999999999997</v>
      </c>
      <c r="M15" s="484">
        <f t="shared" si="3"/>
        <v>1.889999999999997</v>
      </c>
      <c r="N15" s="486">
        <v>57.545406975661315</v>
      </c>
      <c r="O15" s="487">
        <v>250</v>
      </c>
      <c r="P15" s="487" t="s">
        <v>356</v>
      </c>
      <c r="Q15" s="488">
        <f t="shared" si="12"/>
        <v>1.8399999999999981</v>
      </c>
      <c r="R15" s="489">
        <f t="shared" si="13"/>
        <v>1.4</v>
      </c>
      <c r="S15" s="480">
        <v>1.1000000000000001</v>
      </c>
      <c r="T15" s="487">
        <f t="shared" si="4"/>
        <v>1.25</v>
      </c>
      <c r="U15" s="486">
        <f t="shared" si="14"/>
        <v>211.76709767043343</v>
      </c>
      <c r="V15" s="486">
        <f t="shared" si="5"/>
        <v>141.95443604402089</v>
      </c>
      <c r="W15" s="486">
        <f t="shared" si="6"/>
        <v>0</v>
      </c>
      <c r="X15" s="487">
        <f t="shared" si="7"/>
        <v>24</v>
      </c>
      <c r="Y15" s="487" t="str">
        <f t="shared" si="8"/>
        <v/>
      </c>
      <c r="Z15" s="486">
        <f t="shared" si="9"/>
        <v>57.545406975661315</v>
      </c>
      <c r="AA15" s="487" t="str">
        <f t="shared" si="10"/>
        <v/>
      </c>
      <c r="AB15" s="487"/>
      <c r="AC15" s="487"/>
      <c r="AD15" s="490">
        <v>4</v>
      </c>
      <c r="AE15" s="491"/>
      <c r="AF15" s="487"/>
      <c r="AG15" s="486"/>
      <c r="AH15" s="487"/>
      <c r="AI15" s="487" t="str">
        <f t="shared" si="15"/>
        <v/>
      </c>
      <c r="AJ15" s="487"/>
      <c r="AK15" s="487"/>
    </row>
    <row r="16" spans="1:39" ht="16.7" customHeight="1" x14ac:dyDescent="0.25">
      <c r="A16" s="473"/>
      <c r="B16" s="441">
        <v>1</v>
      </c>
      <c r="C16" s="413">
        <v>13</v>
      </c>
      <c r="D16" s="477" t="s">
        <v>531</v>
      </c>
      <c r="E16" s="417">
        <v>33.1</v>
      </c>
      <c r="F16" s="417">
        <v>32.1</v>
      </c>
      <c r="G16" s="417">
        <f t="shared" si="0"/>
        <v>1</v>
      </c>
      <c r="H16" s="417">
        <f t="shared" si="1"/>
        <v>0.8</v>
      </c>
      <c r="I16" s="405" t="s">
        <v>532</v>
      </c>
      <c r="J16" s="417">
        <v>33.5</v>
      </c>
      <c r="K16" s="417">
        <v>31.82</v>
      </c>
      <c r="L16" s="417">
        <f t="shared" si="2"/>
        <v>1.6799999999999997</v>
      </c>
      <c r="M16" s="417">
        <f t="shared" si="3"/>
        <v>1.4799999999999998</v>
      </c>
      <c r="N16" s="370">
        <v>40.543821945990679</v>
      </c>
      <c r="O16" s="478">
        <v>200</v>
      </c>
      <c r="P16" s="413" t="s">
        <v>356</v>
      </c>
      <c r="Q16" s="479">
        <f t="shared" si="12"/>
        <v>1.3399999999999999</v>
      </c>
      <c r="R16" s="480">
        <f t="shared" si="13"/>
        <v>1.4</v>
      </c>
      <c r="S16" s="480">
        <v>1.1000000000000001</v>
      </c>
      <c r="T16" s="413">
        <f t="shared" si="4"/>
        <v>1.25</v>
      </c>
      <c r="U16" s="370">
        <f t="shared" si="14"/>
        <v>0</v>
      </c>
      <c r="V16" s="370">
        <f t="shared" si="5"/>
        <v>82.310901759534389</v>
      </c>
      <c r="W16" s="370">
        <f t="shared" si="6"/>
        <v>0</v>
      </c>
      <c r="X16" s="413">
        <f t="shared" si="7"/>
        <v>36</v>
      </c>
      <c r="Y16" s="370">
        <f t="shared" si="8"/>
        <v>40.543821945990679</v>
      </c>
      <c r="Z16" s="370" t="str">
        <f t="shared" si="9"/>
        <v/>
      </c>
      <c r="AA16" s="413" t="str">
        <f t="shared" si="10"/>
        <v/>
      </c>
      <c r="AB16" s="413"/>
      <c r="AC16" s="413">
        <v>6</v>
      </c>
      <c r="AD16" s="408"/>
      <c r="AE16" s="411"/>
      <c r="AF16" s="413"/>
      <c r="AG16" s="370"/>
      <c r="AH16" s="370" t="str">
        <f>IF(G16&gt;1.2,G16-1,"")</f>
        <v/>
      </c>
      <c r="AI16" s="370"/>
      <c r="AJ16" s="413"/>
      <c r="AK16" s="413"/>
    </row>
    <row r="17" spans="1:37" ht="16.7" customHeight="1" x14ac:dyDescent="0.25">
      <c r="A17" s="473">
        <v>1</v>
      </c>
      <c r="B17" s="441"/>
      <c r="C17" s="413">
        <v>14</v>
      </c>
      <c r="D17" s="477" t="s">
        <v>532</v>
      </c>
      <c r="E17" s="417">
        <v>33.5</v>
      </c>
      <c r="F17" s="417">
        <v>31.8</v>
      </c>
      <c r="G17" s="417">
        <f t="shared" si="0"/>
        <v>1.6999999999999993</v>
      </c>
      <c r="H17" s="417">
        <f t="shared" si="1"/>
        <v>1.4999999999999993</v>
      </c>
      <c r="I17" s="405" t="s">
        <v>533</v>
      </c>
      <c r="J17" s="417">
        <v>33.380000000000003</v>
      </c>
      <c r="K17" s="417">
        <v>31.51</v>
      </c>
      <c r="L17" s="417">
        <f t="shared" si="2"/>
        <v>1.870000000000001</v>
      </c>
      <c r="M17" s="417">
        <f t="shared" si="3"/>
        <v>1.670000000000001</v>
      </c>
      <c r="N17" s="370">
        <v>41.51530929665396</v>
      </c>
      <c r="O17" s="478">
        <v>200</v>
      </c>
      <c r="P17" s="413" t="s">
        <v>356</v>
      </c>
      <c r="Q17" s="479">
        <f t="shared" si="12"/>
        <v>1.7850000000000001</v>
      </c>
      <c r="R17" s="480">
        <f t="shared" si="13"/>
        <v>1.4</v>
      </c>
      <c r="S17" s="480">
        <v>1.1000000000000001</v>
      </c>
      <c r="T17" s="413">
        <f t="shared" si="4"/>
        <v>1.25</v>
      </c>
      <c r="U17" s="370">
        <f t="shared" si="14"/>
        <v>148.20965418905465</v>
      </c>
      <c r="V17" s="370">
        <f t="shared" si="5"/>
        <v>104.63103386815915</v>
      </c>
      <c r="W17" s="370">
        <f t="shared" si="6"/>
        <v>0</v>
      </c>
      <c r="X17" s="413">
        <f t="shared" si="7"/>
        <v>30</v>
      </c>
      <c r="Y17" s="370">
        <f t="shared" si="8"/>
        <v>41.51530929665396</v>
      </c>
      <c r="Z17" s="370" t="str">
        <f t="shared" si="9"/>
        <v/>
      </c>
      <c r="AA17" s="413" t="str">
        <f t="shared" si="10"/>
        <v/>
      </c>
      <c r="AB17" s="413"/>
      <c r="AC17" s="413">
        <v>5</v>
      </c>
      <c r="AD17" s="408"/>
      <c r="AE17" s="411"/>
      <c r="AF17" s="413"/>
      <c r="AG17" s="370"/>
      <c r="AH17" s="370"/>
      <c r="AI17" s="370"/>
      <c r="AJ17" s="413"/>
      <c r="AK17" s="413"/>
    </row>
    <row r="18" spans="1:37" ht="16.7" customHeight="1" x14ac:dyDescent="0.25">
      <c r="A18" s="473">
        <v>1</v>
      </c>
      <c r="B18" s="441"/>
      <c r="C18" s="413">
        <v>15</v>
      </c>
      <c r="D18" s="477" t="s">
        <v>533</v>
      </c>
      <c r="E18" s="417">
        <v>33.380000000000003</v>
      </c>
      <c r="F18" s="417">
        <v>31.49</v>
      </c>
      <c r="G18" s="417">
        <f t="shared" si="0"/>
        <v>1.8900000000000041</v>
      </c>
      <c r="H18" s="417">
        <f t="shared" si="1"/>
        <v>1.6900000000000042</v>
      </c>
      <c r="I18" s="405" t="s">
        <v>527</v>
      </c>
      <c r="J18" s="417">
        <v>33.14</v>
      </c>
      <c r="K18" s="417">
        <v>31.21</v>
      </c>
      <c r="L18" s="417">
        <f t="shared" si="2"/>
        <v>1.9299999999999997</v>
      </c>
      <c r="M18" s="417">
        <f t="shared" si="3"/>
        <v>1.7299999999999998</v>
      </c>
      <c r="N18" s="370">
        <v>40.340567794773804</v>
      </c>
      <c r="O18" s="478">
        <v>200</v>
      </c>
      <c r="P18" s="413" t="s">
        <v>356</v>
      </c>
      <c r="Q18" s="479">
        <f t="shared" si="12"/>
        <v>1.9100000000000019</v>
      </c>
      <c r="R18" s="480">
        <f t="shared" si="13"/>
        <v>1.4</v>
      </c>
      <c r="S18" s="480">
        <v>1.1000000000000001</v>
      </c>
      <c r="T18" s="413">
        <f t="shared" si="4"/>
        <v>1.25</v>
      </c>
      <c r="U18" s="370">
        <f t="shared" si="14"/>
        <v>154.10096897603609</v>
      </c>
      <c r="V18" s="370">
        <f t="shared" si="5"/>
        <v>108.31310561002256</v>
      </c>
      <c r="W18" s="370">
        <f t="shared" si="6"/>
        <v>0</v>
      </c>
      <c r="X18" s="413">
        <f t="shared" si="7"/>
        <v>30</v>
      </c>
      <c r="Y18" s="370">
        <f t="shared" si="8"/>
        <v>40.340567794773804</v>
      </c>
      <c r="Z18" s="370" t="str">
        <f t="shared" si="9"/>
        <v/>
      </c>
      <c r="AA18" s="413" t="str">
        <f t="shared" si="10"/>
        <v/>
      </c>
      <c r="AB18" s="413"/>
      <c r="AC18" s="413">
        <v>5</v>
      </c>
      <c r="AD18" s="408"/>
      <c r="AE18" s="411"/>
      <c r="AF18" s="413"/>
      <c r="AG18" s="370"/>
      <c r="AH18" s="370"/>
      <c r="AI18" s="370"/>
      <c r="AJ18" s="413"/>
      <c r="AK18" s="413"/>
    </row>
    <row r="19" spans="1:37" ht="16.5" customHeight="1" x14ac:dyDescent="0.25">
      <c r="A19" s="473">
        <v>1</v>
      </c>
      <c r="B19" s="441"/>
      <c r="C19" s="413">
        <v>16</v>
      </c>
      <c r="D19" s="477" t="s">
        <v>527</v>
      </c>
      <c r="E19" s="417">
        <v>33.14</v>
      </c>
      <c r="F19" s="417">
        <v>31.19</v>
      </c>
      <c r="G19" s="417">
        <f t="shared" si="0"/>
        <v>1.9499999999999993</v>
      </c>
      <c r="H19" s="417">
        <f t="shared" si="1"/>
        <v>1.7499999999999993</v>
      </c>
      <c r="I19" s="405" t="s">
        <v>534</v>
      </c>
      <c r="J19" s="417">
        <v>33.520000000000003</v>
      </c>
      <c r="K19" s="417">
        <v>31.08</v>
      </c>
      <c r="L19" s="417">
        <f t="shared" si="2"/>
        <v>2.4400000000000048</v>
      </c>
      <c r="M19" s="417">
        <f t="shared" si="3"/>
        <v>2.2400000000000047</v>
      </c>
      <c r="N19" s="370">
        <v>37.177219503336254</v>
      </c>
      <c r="O19" s="478">
        <v>200</v>
      </c>
      <c r="P19" s="413" t="s">
        <v>356</v>
      </c>
      <c r="Q19" s="479">
        <f t="shared" si="12"/>
        <v>2.1950000000000021</v>
      </c>
      <c r="R19" s="480">
        <f t="shared" si="13"/>
        <v>1.7</v>
      </c>
      <c r="S19" s="480">
        <v>1.1000000000000001</v>
      </c>
      <c r="T19" s="413">
        <f t="shared" si="4"/>
        <v>1.4</v>
      </c>
      <c r="U19" s="370">
        <f t="shared" si="14"/>
        <v>163.20799361964632</v>
      </c>
      <c r="V19" s="370">
        <f t="shared" si="5"/>
        <v>120.8962146093415</v>
      </c>
      <c r="W19" s="370">
        <f t="shared" si="6"/>
        <v>10.149380924410904</v>
      </c>
      <c r="X19" s="413">
        <f t="shared" si="7"/>
        <v>42</v>
      </c>
      <c r="Y19" s="370">
        <f t="shared" si="8"/>
        <v>37.177219503336254</v>
      </c>
      <c r="Z19" s="370" t="str">
        <f t="shared" si="9"/>
        <v/>
      </c>
      <c r="AA19" s="413" t="str">
        <f t="shared" si="10"/>
        <v/>
      </c>
      <c r="AB19" s="413"/>
      <c r="AC19" s="413">
        <v>7</v>
      </c>
      <c r="AD19" s="408"/>
      <c r="AE19" s="411"/>
      <c r="AF19" s="413">
        <v>1</v>
      </c>
      <c r="AG19" s="370">
        <f t="shared" ref="AG19:AG20" si="17">((((1.2+0.2)^2*PI()))/4)*(AK19+0.1)</f>
        <v>0.40023890406733958</v>
      </c>
      <c r="AH19" s="370">
        <f t="shared" ref="AH19:AH25" si="18">IF(G19&gt;1.2,G19-1,"")</f>
        <v>0.94999999999999929</v>
      </c>
      <c r="AI19" s="370" t="str">
        <f t="shared" ref="AI19:AI26" si="19">IF(G19&lt;=1.2,G19,"")</f>
        <v/>
      </c>
      <c r="AJ19" s="413">
        <v>1</v>
      </c>
      <c r="AK19" s="413">
        <v>0.16</v>
      </c>
    </row>
    <row r="20" spans="1:37" ht="16.7" customHeight="1" x14ac:dyDescent="0.25">
      <c r="A20" s="473">
        <v>1</v>
      </c>
      <c r="B20" s="441"/>
      <c r="C20" s="413">
        <v>17</v>
      </c>
      <c r="D20" s="477" t="s">
        <v>534</v>
      </c>
      <c r="E20" s="417">
        <v>33.520000000000003</v>
      </c>
      <c r="F20" s="417">
        <v>31.06</v>
      </c>
      <c r="G20" s="417">
        <f t="shared" si="0"/>
        <v>2.4600000000000044</v>
      </c>
      <c r="H20" s="417">
        <f t="shared" si="1"/>
        <v>2.2600000000000042</v>
      </c>
      <c r="I20" s="405" t="s">
        <v>535</v>
      </c>
      <c r="J20" s="417">
        <v>33.700000000000003</v>
      </c>
      <c r="K20" s="417">
        <v>31.04</v>
      </c>
      <c r="L20" s="417">
        <f t="shared" si="2"/>
        <v>2.6600000000000037</v>
      </c>
      <c r="M20" s="417">
        <f t="shared" si="3"/>
        <v>2.4600000000000035</v>
      </c>
      <c r="N20" s="370">
        <v>6.9371721185190287</v>
      </c>
      <c r="O20" s="478">
        <v>200</v>
      </c>
      <c r="P20" s="413" t="s">
        <v>356</v>
      </c>
      <c r="Q20" s="479">
        <f t="shared" si="12"/>
        <v>2.5600000000000041</v>
      </c>
      <c r="R20" s="480">
        <f t="shared" si="13"/>
        <v>1.7</v>
      </c>
      <c r="S20" s="480">
        <v>1.1000000000000001</v>
      </c>
      <c r="T20" s="413">
        <f t="shared" si="4"/>
        <v>1.4</v>
      </c>
      <c r="U20" s="370">
        <f t="shared" si="14"/>
        <v>35.518321246817486</v>
      </c>
      <c r="V20" s="370">
        <f t="shared" si="5"/>
        <v>19.42408193185328</v>
      </c>
      <c r="W20" s="370">
        <f t="shared" si="6"/>
        <v>5.4387429409189574</v>
      </c>
      <c r="X20" s="413">
        <f t="shared" si="7"/>
        <v>0</v>
      </c>
      <c r="Y20" s="370">
        <f t="shared" si="8"/>
        <v>6.9371721185190287</v>
      </c>
      <c r="Z20" s="370" t="str">
        <f t="shared" si="9"/>
        <v/>
      </c>
      <c r="AA20" s="413" t="str">
        <f t="shared" si="10"/>
        <v/>
      </c>
      <c r="AB20" s="413"/>
      <c r="AC20" s="413">
        <v>0</v>
      </c>
      <c r="AD20" s="408"/>
      <c r="AE20" s="411"/>
      <c r="AF20" s="413">
        <v>1</v>
      </c>
      <c r="AG20" s="370">
        <f t="shared" si="17"/>
        <v>0.52338933608805938</v>
      </c>
      <c r="AH20" s="370">
        <f t="shared" si="18"/>
        <v>1.4600000000000044</v>
      </c>
      <c r="AI20" s="370" t="str">
        <f t="shared" si="19"/>
        <v/>
      </c>
      <c r="AJ20" s="413"/>
      <c r="AK20" s="413">
        <v>0.24</v>
      </c>
    </row>
    <row r="21" spans="1:37" ht="16.7" customHeight="1" x14ac:dyDescent="0.25">
      <c r="A21" s="473">
        <v>1</v>
      </c>
      <c r="B21" s="441">
        <v>1</v>
      </c>
      <c r="C21" s="413">
        <v>18</v>
      </c>
      <c r="D21" s="477" t="s">
        <v>536</v>
      </c>
      <c r="E21" s="417">
        <v>33.130000000000003</v>
      </c>
      <c r="F21" s="417">
        <v>32.119999999999997</v>
      </c>
      <c r="G21" s="417">
        <f t="shared" si="0"/>
        <v>1.0100000000000051</v>
      </c>
      <c r="H21" s="417">
        <f t="shared" si="1"/>
        <v>0.81000000000000516</v>
      </c>
      <c r="I21" s="405" t="s">
        <v>515</v>
      </c>
      <c r="J21" s="417">
        <v>33.42</v>
      </c>
      <c r="K21" s="417">
        <v>31.74</v>
      </c>
      <c r="L21" s="417">
        <f t="shared" si="2"/>
        <v>1.6800000000000033</v>
      </c>
      <c r="M21" s="417">
        <f t="shared" si="3"/>
        <v>1.4800000000000033</v>
      </c>
      <c r="N21" s="370">
        <v>55.921662037336446</v>
      </c>
      <c r="O21" s="478">
        <v>200</v>
      </c>
      <c r="P21" s="413" t="s">
        <v>356</v>
      </c>
      <c r="Q21" s="479">
        <f t="shared" si="12"/>
        <v>1.3450000000000042</v>
      </c>
      <c r="R21" s="480">
        <f t="shared" si="13"/>
        <v>1.4</v>
      </c>
      <c r="S21" s="480">
        <v>1.1000000000000001</v>
      </c>
      <c r="T21" s="413">
        <f t="shared" si="4"/>
        <v>1.25</v>
      </c>
      <c r="U21" s="370">
        <f t="shared" si="14"/>
        <v>0</v>
      </c>
      <c r="V21" s="370">
        <f t="shared" si="5"/>
        <v>103.6182943002722</v>
      </c>
      <c r="W21" s="370">
        <f t="shared" si="6"/>
        <v>0</v>
      </c>
      <c r="X21" s="413">
        <f t="shared" si="7"/>
        <v>24</v>
      </c>
      <c r="Y21" s="370">
        <f t="shared" si="8"/>
        <v>55.921662037336446</v>
      </c>
      <c r="Z21" s="370" t="str">
        <f t="shared" si="9"/>
        <v/>
      </c>
      <c r="AA21" s="413" t="str">
        <f t="shared" si="10"/>
        <v/>
      </c>
      <c r="AB21" s="413"/>
      <c r="AC21" s="413">
        <v>4</v>
      </c>
      <c r="AD21" s="408"/>
      <c r="AE21" s="411"/>
      <c r="AF21" s="413">
        <v>1</v>
      </c>
      <c r="AG21" s="370">
        <f>((((1.2+0.2)^2*PI()))/4)*(G21+0.1)</f>
        <v>1.7087122442874962</v>
      </c>
      <c r="AH21" s="370" t="str">
        <f t="shared" si="18"/>
        <v/>
      </c>
      <c r="AI21" s="370">
        <f t="shared" si="19"/>
        <v>1.0100000000000051</v>
      </c>
      <c r="AJ21" s="413">
        <v>1</v>
      </c>
      <c r="AK21" s="413"/>
    </row>
    <row r="22" spans="1:37" ht="16.7" customHeight="1" x14ac:dyDescent="0.25">
      <c r="A22" s="473">
        <v>1</v>
      </c>
      <c r="B22" s="441"/>
      <c r="C22" s="413">
        <v>19</v>
      </c>
      <c r="D22" s="477" t="s">
        <v>515</v>
      </c>
      <c r="E22" s="417">
        <v>33.42</v>
      </c>
      <c r="F22" s="417">
        <v>31.7</v>
      </c>
      <c r="G22" s="417">
        <f t="shared" si="0"/>
        <v>1.7200000000000024</v>
      </c>
      <c r="H22" s="417">
        <f t="shared" si="1"/>
        <v>1.5200000000000025</v>
      </c>
      <c r="I22" s="405" t="s">
        <v>524</v>
      </c>
      <c r="J22" s="417">
        <v>33.76</v>
      </c>
      <c r="K22" s="417">
        <v>31.41</v>
      </c>
      <c r="L22" s="417">
        <f t="shared" si="2"/>
        <v>2.3499999999999979</v>
      </c>
      <c r="M22" s="417">
        <f t="shared" si="3"/>
        <v>2.1499999999999977</v>
      </c>
      <c r="N22" s="370">
        <v>41.735009979555755</v>
      </c>
      <c r="O22" s="478">
        <v>200</v>
      </c>
      <c r="P22" s="413" t="s">
        <v>356</v>
      </c>
      <c r="Q22" s="479">
        <f>+(G22+L22)/2</f>
        <v>2.0350000000000001</v>
      </c>
      <c r="R22" s="480">
        <f t="shared" si="13"/>
        <v>1.7</v>
      </c>
      <c r="S22" s="480">
        <v>1.1000000000000001</v>
      </c>
      <c r="T22" s="413">
        <f t="shared" si="4"/>
        <v>1.4</v>
      </c>
      <c r="U22" s="370">
        <f t="shared" si="14"/>
        <v>169.86149061679194</v>
      </c>
      <c r="V22" s="370">
        <f t="shared" si="5"/>
        <v>148.0580279427561</v>
      </c>
      <c r="W22" s="370">
        <f t="shared" si="6"/>
        <v>2.0450154889982404</v>
      </c>
      <c r="X22" s="413">
        <f t="shared" si="7"/>
        <v>78</v>
      </c>
      <c r="Y22" s="370">
        <f t="shared" si="8"/>
        <v>41.735009979555755</v>
      </c>
      <c r="Z22" s="370" t="str">
        <f t="shared" si="9"/>
        <v/>
      </c>
      <c r="AA22" s="413" t="str">
        <f t="shared" si="10"/>
        <v/>
      </c>
      <c r="AB22" s="413"/>
      <c r="AC22" s="413">
        <v>13</v>
      </c>
      <c r="AD22" s="408"/>
      <c r="AE22" s="411"/>
      <c r="AF22" s="413">
        <v>1</v>
      </c>
      <c r="AG22" s="370">
        <f t="shared" ref="AG22:AG24" si="20">((((1.2+0.2)^2*PI()))/4)*(AK22+0.1)</f>
        <v>0.4926017280828795</v>
      </c>
      <c r="AH22" s="370">
        <f t="shared" si="18"/>
        <v>0.72000000000000242</v>
      </c>
      <c r="AI22" s="370" t="str">
        <f t="shared" si="19"/>
        <v/>
      </c>
      <c r="AJ22" s="413">
        <v>2</v>
      </c>
      <c r="AK22" s="413">
        <v>0.22</v>
      </c>
    </row>
    <row r="23" spans="1:37" ht="16.7" customHeight="1" x14ac:dyDescent="0.25">
      <c r="A23" s="473">
        <v>1</v>
      </c>
      <c r="B23" s="441"/>
      <c r="C23" s="413">
        <v>20</v>
      </c>
      <c r="D23" s="477" t="s">
        <v>524</v>
      </c>
      <c r="E23" s="417">
        <v>33.76</v>
      </c>
      <c r="F23" s="417">
        <v>31.39</v>
      </c>
      <c r="G23" s="417">
        <f t="shared" si="0"/>
        <v>2.3699999999999974</v>
      </c>
      <c r="H23" s="417">
        <f t="shared" si="1"/>
        <v>2.1699999999999973</v>
      </c>
      <c r="I23" s="405" t="s">
        <v>522</v>
      </c>
      <c r="J23" s="417">
        <v>33.25</v>
      </c>
      <c r="K23" s="417">
        <v>31.17</v>
      </c>
      <c r="L23" s="417">
        <f t="shared" si="2"/>
        <v>2.0799999999999983</v>
      </c>
      <c r="M23" s="417">
        <f t="shared" si="3"/>
        <v>1.8799999999999983</v>
      </c>
      <c r="N23" s="370">
        <v>41.168040237656058</v>
      </c>
      <c r="O23" s="478">
        <v>200</v>
      </c>
      <c r="P23" s="413" t="s">
        <v>356</v>
      </c>
      <c r="Q23" s="479">
        <f>+(G23+L23)/2</f>
        <v>2.2249999999999979</v>
      </c>
      <c r="R23" s="480">
        <f t="shared" si="13"/>
        <v>1.7</v>
      </c>
      <c r="S23" s="480">
        <v>1.1000000000000001</v>
      </c>
      <c r="T23" s="413">
        <f t="shared" si="4"/>
        <v>1.4</v>
      </c>
      <c r="U23" s="370">
        <f t="shared" si="14"/>
        <v>183.19777905756928</v>
      </c>
      <c r="V23" s="370">
        <f t="shared" si="5"/>
        <v>141.67051266543695</v>
      </c>
      <c r="W23" s="370">
        <f t="shared" si="6"/>
        <v>12.967932674861535</v>
      </c>
      <c r="X23" s="413">
        <f t="shared" si="7"/>
        <v>66</v>
      </c>
      <c r="Y23" s="370">
        <f t="shared" si="8"/>
        <v>41.168040237656058</v>
      </c>
      <c r="Z23" s="370" t="str">
        <f t="shared" si="9"/>
        <v/>
      </c>
      <c r="AA23" s="413" t="str">
        <f t="shared" si="10"/>
        <v/>
      </c>
      <c r="AB23" s="413"/>
      <c r="AC23" s="413">
        <v>11</v>
      </c>
      <c r="AD23" s="408"/>
      <c r="AE23" s="411"/>
      <c r="AF23" s="413">
        <v>1</v>
      </c>
      <c r="AG23" s="370">
        <f t="shared" si="20"/>
        <v>0.75429639612690913</v>
      </c>
      <c r="AH23" s="370">
        <f t="shared" si="18"/>
        <v>1.3699999999999974</v>
      </c>
      <c r="AI23" s="370" t="str">
        <f t="shared" si="19"/>
        <v/>
      </c>
      <c r="AJ23" s="413">
        <v>2</v>
      </c>
      <c r="AK23" s="413">
        <v>0.39</v>
      </c>
    </row>
    <row r="24" spans="1:37" ht="16.7" customHeight="1" x14ac:dyDescent="0.25">
      <c r="A24" s="473">
        <v>1</v>
      </c>
      <c r="B24" s="441"/>
      <c r="C24" s="413">
        <v>21</v>
      </c>
      <c r="D24" s="477" t="s">
        <v>522</v>
      </c>
      <c r="E24" s="417">
        <v>33.25</v>
      </c>
      <c r="F24" s="417">
        <v>31.15</v>
      </c>
      <c r="G24" s="417">
        <f t="shared" si="0"/>
        <v>2.1000000000000014</v>
      </c>
      <c r="H24" s="417">
        <f t="shared" si="1"/>
        <v>1.9000000000000015</v>
      </c>
      <c r="I24" s="405" t="s">
        <v>520</v>
      </c>
      <c r="J24" s="417">
        <v>33.159999999999997</v>
      </c>
      <c r="K24" s="417">
        <v>30.98</v>
      </c>
      <c r="L24" s="417">
        <f t="shared" si="2"/>
        <v>2.1799999999999962</v>
      </c>
      <c r="M24" s="417">
        <f t="shared" si="3"/>
        <v>1.9799999999999962</v>
      </c>
      <c r="N24" s="370">
        <v>41.54596506267967</v>
      </c>
      <c r="O24" s="478">
        <v>200</v>
      </c>
      <c r="P24" s="413" t="s">
        <v>356</v>
      </c>
      <c r="Q24" s="479">
        <f>+(G24+L24)/2</f>
        <v>2.1399999999999988</v>
      </c>
      <c r="R24" s="480">
        <f t="shared" si="13"/>
        <v>1.7</v>
      </c>
      <c r="S24" s="480">
        <v>1.1000000000000001</v>
      </c>
      <c r="T24" s="413">
        <f t="shared" si="4"/>
        <v>1.4</v>
      </c>
      <c r="U24" s="370">
        <f t="shared" si="14"/>
        <v>177.8167304682689</v>
      </c>
      <c r="V24" s="370">
        <f t="shared" si="5"/>
        <v>142.72870217550306</v>
      </c>
      <c r="W24" s="370">
        <f t="shared" si="6"/>
        <v>8.1430091522851438</v>
      </c>
      <c r="X24" s="413">
        <f t="shared" si="7"/>
        <v>66</v>
      </c>
      <c r="Y24" s="370">
        <f t="shared" si="8"/>
        <v>41.54596506267967</v>
      </c>
      <c r="Z24" s="370" t="str">
        <f t="shared" si="9"/>
        <v/>
      </c>
      <c r="AA24" s="413" t="str">
        <f t="shared" si="10"/>
        <v/>
      </c>
      <c r="AB24" s="413"/>
      <c r="AC24" s="413">
        <v>11</v>
      </c>
      <c r="AD24" s="408"/>
      <c r="AE24" s="411"/>
      <c r="AF24" s="413">
        <v>1</v>
      </c>
      <c r="AG24" s="370">
        <f t="shared" si="20"/>
        <v>0.72350878812172914</v>
      </c>
      <c r="AH24" s="370">
        <f t="shared" si="18"/>
        <v>1.1000000000000014</v>
      </c>
      <c r="AI24" s="370" t="str">
        <f t="shared" si="19"/>
        <v/>
      </c>
      <c r="AJ24" s="413">
        <v>1</v>
      </c>
      <c r="AK24" s="413">
        <v>0.37</v>
      </c>
    </row>
    <row r="25" spans="1:37" ht="16.7" customHeight="1" x14ac:dyDescent="0.25">
      <c r="A25" s="473">
        <v>1</v>
      </c>
      <c r="B25" s="441">
        <v>1</v>
      </c>
      <c r="C25" s="413">
        <v>22</v>
      </c>
      <c r="D25" s="477" t="s">
        <v>537</v>
      </c>
      <c r="E25" s="417">
        <v>33.159999999999997</v>
      </c>
      <c r="F25" s="417">
        <v>32.06</v>
      </c>
      <c r="G25" s="417">
        <f t="shared" si="0"/>
        <v>1.0999999999999943</v>
      </c>
      <c r="H25" s="417">
        <f t="shared" si="1"/>
        <v>0.89999999999999436</v>
      </c>
      <c r="I25" s="405" t="s">
        <v>530</v>
      </c>
      <c r="J25" s="417">
        <v>33.58</v>
      </c>
      <c r="K25" s="417">
        <v>31.81</v>
      </c>
      <c r="L25" s="417">
        <f t="shared" si="2"/>
        <v>1.7699999999999996</v>
      </c>
      <c r="M25" s="417">
        <f t="shared" si="3"/>
        <v>1.5699999999999996</v>
      </c>
      <c r="N25" s="370">
        <v>36.579662913894225</v>
      </c>
      <c r="O25" s="478">
        <v>200</v>
      </c>
      <c r="P25" s="413" t="s">
        <v>356</v>
      </c>
      <c r="Q25" s="479">
        <f>+(G25+L25)/2</f>
        <v>1.4349999999999969</v>
      </c>
      <c r="R25" s="480">
        <f t="shared" si="13"/>
        <v>1.4</v>
      </c>
      <c r="S25" s="480">
        <v>1.1000000000000001</v>
      </c>
      <c r="T25" s="413">
        <f t="shared" si="4"/>
        <v>1.25</v>
      </c>
      <c r="U25" s="370">
        <f t="shared" si="14"/>
        <v>0</v>
      </c>
      <c r="V25" s="370">
        <f t="shared" si="5"/>
        <v>92.014770351797637</v>
      </c>
      <c r="W25" s="370">
        <f t="shared" si="6"/>
        <v>0</v>
      </c>
      <c r="X25" s="413">
        <f t="shared" si="7"/>
        <v>66</v>
      </c>
      <c r="Y25" s="370">
        <f t="shared" si="8"/>
        <v>36.579662913894225</v>
      </c>
      <c r="Z25" s="370" t="str">
        <f t="shared" si="9"/>
        <v/>
      </c>
      <c r="AA25" s="413" t="str">
        <f t="shared" si="10"/>
        <v/>
      </c>
      <c r="AB25" s="413">
        <v>1</v>
      </c>
      <c r="AC25" s="413">
        <v>11</v>
      </c>
      <c r="AD25" s="408"/>
      <c r="AE25" s="411"/>
      <c r="AF25" s="413"/>
      <c r="AG25" s="370">
        <f t="shared" si="16"/>
        <v>1.8472564803107894</v>
      </c>
      <c r="AH25" s="370" t="str">
        <f t="shared" si="18"/>
        <v/>
      </c>
      <c r="AI25" s="370">
        <f t="shared" si="19"/>
        <v>1.0999999999999943</v>
      </c>
      <c r="AJ25" s="413"/>
      <c r="AK25" s="413"/>
    </row>
    <row r="26" spans="1:37" ht="16.7" customHeight="1" x14ac:dyDescent="0.25">
      <c r="A26" s="441">
        <v>1</v>
      </c>
      <c r="B26" s="441"/>
      <c r="C26" s="441">
        <v>23</v>
      </c>
      <c r="D26" s="512" t="s">
        <v>530</v>
      </c>
      <c r="E26" s="511">
        <v>33.58</v>
      </c>
      <c r="F26" s="511">
        <v>31.4</v>
      </c>
      <c r="G26" s="511">
        <f t="shared" si="0"/>
        <v>2.1799999999999997</v>
      </c>
      <c r="H26" s="511">
        <f t="shared" si="1"/>
        <v>1.8649999999999998</v>
      </c>
      <c r="I26" s="405" t="s">
        <v>535</v>
      </c>
      <c r="J26" s="511">
        <v>33.700000000000003</v>
      </c>
      <c r="K26" s="511">
        <v>31.26</v>
      </c>
      <c r="L26" s="511">
        <f t="shared" si="2"/>
        <v>2.4400000000000013</v>
      </c>
      <c r="M26" s="511">
        <f t="shared" si="3"/>
        <v>2.1250000000000013</v>
      </c>
      <c r="N26" s="370">
        <v>61.85739244440466</v>
      </c>
      <c r="O26" s="413">
        <v>315</v>
      </c>
      <c r="P26" s="413" t="s">
        <v>356</v>
      </c>
      <c r="Q26" s="479">
        <f>+(G26+L26)/2</f>
        <v>2.3100000000000005</v>
      </c>
      <c r="R26" s="480">
        <f t="shared" si="13"/>
        <v>1.7</v>
      </c>
      <c r="S26" s="480">
        <v>1.1000000000000001</v>
      </c>
      <c r="T26" s="413">
        <f t="shared" si="4"/>
        <v>1.4</v>
      </c>
      <c r="U26" s="370">
        <f t="shared" si="14"/>
        <v>285.78115309314961</v>
      </c>
      <c r="V26" s="370">
        <f t="shared" si="5"/>
        <v>180.40069884433302</v>
      </c>
      <c r="W26" s="370">
        <f t="shared" si="6"/>
        <v>26.846108320871664</v>
      </c>
      <c r="X26" s="413">
        <f t="shared" si="7"/>
        <v>18</v>
      </c>
      <c r="Y26" s="413" t="str">
        <f t="shared" si="8"/>
        <v/>
      </c>
      <c r="Z26" s="370" t="str">
        <f t="shared" si="9"/>
        <v/>
      </c>
      <c r="AA26" s="370">
        <f t="shared" si="10"/>
        <v>61.85739244440466</v>
      </c>
      <c r="AB26" s="413"/>
      <c r="AC26" s="413"/>
      <c r="AD26" s="408"/>
      <c r="AE26" s="411">
        <v>3</v>
      </c>
      <c r="AF26" s="413"/>
      <c r="AG26" s="370"/>
      <c r="AH26" s="413"/>
      <c r="AI26" s="413" t="str">
        <f t="shared" si="19"/>
        <v/>
      </c>
      <c r="AJ26" s="413"/>
      <c r="AK26" s="413"/>
    </row>
    <row r="27" spans="1:37" ht="16.7" customHeight="1" x14ac:dyDescent="0.25">
      <c r="A27" s="473">
        <v>1</v>
      </c>
      <c r="B27" s="441">
        <v>1</v>
      </c>
      <c r="C27" s="413">
        <v>24</v>
      </c>
      <c r="D27" s="477" t="s">
        <v>538</v>
      </c>
      <c r="E27" s="417">
        <v>33.42</v>
      </c>
      <c r="F27" s="417">
        <v>32.32</v>
      </c>
      <c r="G27" s="417">
        <f t="shared" si="0"/>
        <v>1.1000000000000014</v>
      </c>
      <c r="H27" s="417">
        <f t="shared" si="1"/>
        <v>0.90000000000000147</v>
      </c>
      <c r="I27" s="405" t="s">
        <v>539</v>
      </c>
      <c r="J27" s="417">
        <v>33.200000000000003</v>
      </c>
      <c r="K27" s="417">
        <v>31.9</v>
      </c>
      <c r="L27" s="417">
        <f t="shared" si="2"/>
        <v>1.3000000000000043</v>
      </c>
      <c r="M27" s="417">
        <f t="shared" si="3"/>
        <v>1.1000000000000043</v>
      </c>
      <c r="N27" s="370">
        <v>61.742755534495529</v>
      </c>
      <c r="O27" s="478">
        <v>200</v>
      </c>
      <c r="P27" s="413" t="s">
        <v>356</v>
      </c>
      <c r="Q27" s="479">
        <f t="shared" ref="Q27:Q34" si="21">+(G27+L27)/2+0.1</f>
        <v>1.3000000000000029</v>
      </c>
      <c r="R27" s="480">
        <f t="shared" si="13"/>
        <v>1.4</v>
      </c>
      <c r="S27" s="480">
        <v>1.1000000000000001</v>
      </c>
      <c r="T27" s="413">
        <f t="shared" si="4"/>
        <v>1.25</v>
      </c>
      <c r="U27" s="370">
        <f t="shared" si="14"/>
        <v>0</v>
      </c>
      <c r="V27" s="370">
        <f t="shared" si="5"/>
        <v>121.93197774355545</v>
      </c>
      <c r="W27" s="370">
        <f t="shared" si="6"/>
        <v>0</v>
      </c>
      <c r="X27" s="413">
        <f t="shared" si="7"/>
        <v>54</v>
      </c>
      <c r="Y27" s="370">
        <f t="shared" si="8"/>
        <v>61.742755534495529</v>
      </c>
      <c r="Z27" s="370" t="str">
        <f t="shared" si="9"/>
        <v/>
      </c>
      <c r="AA27" s="413" t="str">
        <f t="shared" si="10"/>
        <v/>
      </c>
      <c r="AB27" s="413"/>
      <c r="AC27" s="413">
        <v>9</v>
      </c>
      <c r="AD27" s="408"/>
      <c r="AE27" s="411"/>
      <c r="AF27" s="413"/>
      <c r="AG27" s="370"/>
      <c r="AH27" s="370" t="str">
        <f>IF(G27&gt;1.2,G27-1,"")</f>
        <v/>
      </c>
      <c r="AI27" s="370"/>
      <c r="AJ27" s="413"/>
      <c r="AK27" s="413"/>
    </row>
    <row r="28" spans="1:37" ht="16.7" customHeight="1" x14ac:dyDescent="0.25">
      <c r="A28" s="473">
        <v>1</v>
      </c>
      <c r="B28" s="441"/>
      <c r="C28" s="413">
        <v>25</v>
      </c>
      <c r="D28" s="477" t="s">
        <v>539</v>
      </c>
      <c r="E28" s="417">
        <v>33.200000000000003</v>
      </c>
      <c r="F28" s="417">
        <v>31.88</v>
      </c>
      <c r="G28" s="417">
        <f t="shared" si="0"/>
        <v>1.3200000000000038</v>
      </c>
      <c r="H28" s="417">
        <f t="shared" si="1"/>
        <v>1.1200000000000039</v>
      </c>
      <c r="I28" s="405" t="s">
        <v>540</v>
      </c>
      <c r="J28" s="417">
        <v>33.33</v>
      </c>
      <c r="K28" s="417">
        <v>31.55</v>
      </c>
      <c r="L28" s="417">
        <f t="shared" si="2"/>
        <v>1.7799999999999976</v>
      </c>
      <c r="M28" s="417">
        <f t="shared" si="3"/>
        <v>1.5799999999999976</v>
      </c>
      <c r="N28" s="370">
        <v>48.493427863921816</v>
      </c>
      <c r="O28" s="478">
        <v>200</v>
      </c>
      <c r="P28" s="413" t="s">
        <v>356</v>
      </c>
      <c r="Q28" s="479">
        <f t="shared" si="21"/>
        <v>1.6500000000000008</v>
      </c>
      <c r="R28" s="480">
        <f t="shared" si="13"/>
        <v>1.4</v>
      </c>
      <c r="S28" s="480">
        <v>1.1000000000000001</v>
      </c>
      <c r="T28" s="413">
        <f t="shared" si="4"/>
        <v>1.25</v>
      </c>
      <c r="U28" s="370">
        <f t="shared" si="14"/>
        <v>160.02831195094208</v>
      </c>
      <c r="V28" s="370">
        <f t="shared" si="5"/>
        <v>107.21769496933879</v>
      </c>
      <c r="W28" s="370">
        <f t="shared" si="6"/>
        <v>0</v>
      </c>
      <c r="X28" s="413">
        <f t="shared" si="7"/>
        <v>18</v>
      </c>
      <c r="Y28" s="370">
        <f t="shared" si="8"/>
        <v>48.493427863921816</v>
      </c>
      <c r="Z28" s="370" t="str">
        <f t="shared" si="9"/>
        <v/>
      </c>
      <c r="AA28" s="413" t="str">
        <f t="shared" si="10"/>
        <v/>
      </c>
      <c r="AB28" s="413"/>
      <c r="AC28" s="413">
        <v>3</v>
      </c>
      <c r="AD28" s="408"/>
      <c r="AE28" s="411"/>
      <c r="AF28" s="413"/>
      <c r="AG28" s="370"/>
      <c r="AH28" s="370"/>
      <c r="AI28" s="370"/>
      <c r="AJ28" s="413">
        <v>1</v>
      </c>
      <c r="AK28" s="413"/>
    </row>
    <row r="29" spans="1:37" ht="16.7" customHeight="1" x14ac:dyDescent="0.25">
      <c r="A29" s="473">
        <v>1</v>
      </c>
      <c r="B29" s="441">
        <v>1</v>
      </c>
      <c r="C29" s="413">
        <v>26</v>
      </c>
      <c r="D29" s="477" t="s">
        <v>541</v>
      </c>
      <c r="E29" s="417">
        <v>33.700000000000003</v>
      </c>
      <c r="F29" s="417">
        <v>32.6</v>
      </c>
      <c r="G29" s="417">
        <f t="shared" si="0"/>
        <v>1.1000000000000014</v>
      </c>
      <c r="H29" s="417">
        <f t="shared" si="1"/>
        <v>0.90000000000000147</v>
      </c>
      <c r="I29" s="405" t="s">
        <v>542</v>
      </c>
      <c r="J29" s="417">
        <v>33.47</v>
      </c>
      <c r="K29" s="417">
        <v>32.15</v>
      </c>
      <c r="L29" s="417">
        <f t="shared" si="2"/>
        <v>1.3200000000000003</v>
      </c>
      <c r="M29" s="417">
        <f t="shared" si="3"/>
        <v>1.1200000000000003</v>
      </c>
      <c r="N29" s="370">
        <v>55.129210451429678</v>
      </c>
      <c r="O29" s="478">
        <v>200</v>
      </c>
      <c r="P29" s="413" t="s">
        <v>356</v>
      </c>
      <c r="Q29" s="479">
        <f t="shared" si="21"/>
        <v>1.3100000000000009</v>
      </c>
      <c r="R29" s="480">
        <f t="shared" si="13"/>
        <v>1.4</v>
      </c>
      <c r="S29" s="480">
        <v>1.1000000000000001</v>
      </c>
      <c r="T29" s="413">
        <f t="shared" si="4"/>
        <v>1.25</v>
      </c>
      <c r="U29" s="370">
        <f t="shared" si="14"/>
        <v>0</v>
      </c>
      <c r="V29" s="370">
        <f t="shared" si="5"/>
        <v>99.874082114216151</v>
      </c>
      <c r="W29" s="370">
        <f t="shared" si="6"/>
        <v>0</v>
      </c>
      <c r="X29" s="413">
        <f t="shared" si="7"/>
        <v>24</v>
      </c>
      <c r="Y29" s="370">
        <f t="shared" si="8"/>
        <v>55.129210451429678</v>
      </c>
      <c r="Z29" s="370" t="str">
        <f t="shared" si="9"/>
        <v/>
      </c>
      <c r="AA29" s="413" t="str">
        <f t="shared" si="10"/>
        <v/>
      </c>
      <c r="AB29" s="413"/>
      <c r="AC29" s="413">
        <v>4</v>
      </c>
      <c r="AD29" s="408"/>
      <c r="AE29" s="411"/>
      <c r="AF29" s="413"/>
      <c r="AG29" s="370"/>
      <c r="AH29" s="370" t="str">
        <f>IF(G29&gt;1.2,G29-1,"")</f>
        <v/>
      </c>
      <c r="AI29" s="370"/>
      <c r="AJ29" s="413">
        <v>1</v>
      </c>
      <c r="AK29" s="413"/>
    </row>
    <row r="30" spans="1:37" ht="16.7" customHeight="1" x14ac:dyDescent="0.25">
      <c r="A30" s="473">
        <v>1</v>
      </c>
      <c r="B30" s="441">
        <v>1</v>
      </c>
      <c r="C30" s="413">
        <v>27</v>
      </c>
      <c r="D30" s="477" t="s">
        <v>543</v>
      </c>
      <c r="E30" s="417">
        <v>33.700000000000003</v>
      </c>
      <c r="F30" s="417">
        <v>32.299999999999997</v>
      </c>
      <c r="G30" s="417">
        <f t="shared" si="0"/>
        <v>1.4000000000000057</v>
      </c>
      <c r="H30" s="417">
        <f t="shared" si="1"/>
        <v>1.2000000000000057</v>
      </c>
      <c r="I30" s="405" t="s">
        <v>544</v>
      </c>
      <c r="J30" s="417">
        <v>33.56</v>
      </c>
      <c r="K30" s="417">
        <v>31.46</v>
      </c>
      <c r="L30" s="417">
        <f t="shared" si="2"/>
        <v>2.1000000000000014</v>
      </c>
      <c r="M30" s="417">
        <f t="shared" si="3"/>
        <v>1.9000000000000015</v>
      </c>
      <c r="N30" s="370">
        <v>60.600592884939886</v>
      </c>
      <c r="O30" s="478">
        <v>200</v>
      </c>
      <c r="P30" s="413" t="s">
        <v>356</v>
      </c>
      <c r="Q30" s="479">
        <f t="shared" si="21"/>
        <v>1.8500000000000036</v>
      </c>
      <c r="R30" s="480">
        <f t="shared" si="13"/>
        <v>1.4</v>
      </c>
      <c r="S30" s="480">
        <v>1.1000000000000001</v>
      </c>
      <c r="T30" s="413">
        <f t="shared" si="4"/>
        <v>1.25</v>
      </c>
      <c r="U30" s="370">
        <f t="shared" si="14"/>
        <v>224.22219367427803</v>
      </c>
      <c r="V30" s="370">
        <f t="shared" si="5"/>
        <v>159.33887104642378</v>
      </c>
      <c r="W30" s="370">
        <f t="shared" si="6"/>
        <v>0</v>
      </c>
      <c r="X30" s="413">
        <f t="shared" si="7"/>
        <v>48</v>
      </c>
      <c r="Y30" s="370">
        <f t="shared" si="8"/>
        <v>60.600592884939886</v>
      </c>
      <c r="Z30" s="370" t="str">
        <f t="shared" si="9"/>
        <v/>
      </c>
      <c r="AA30" s="413" t="str">
        <f t="shared" si="10"/>
        <v/>
      </c>
      <c r="AB30" s="413"/>
      <c r="AC30" s="413">
        <v>8</v>
      </c>
      <c r="AD30" s="408"/>
      <c r="AE30" s="411"/>
      <c r="AF30" s="413">
        <v>1</v>
      </c>
      <c r="AG30" s="370">
        <f t="shared" ref="AG30:AG33" si="22">((((1.2+0.2)^2*PI()))/4)*(AK30+0.1)</f>
        <v>0.76969020012949918</v>
      </c>
      <c r="AH30" s="370">
        <f>IF(G30&gt;1.2,G30-1,"")</f>
        <v>0.40000000000000568</v>
      </c>
      <c r="AI30" s="370" t="str">
        <f>IF(G30&lt;=1.2,G30,"")</f>
        <v/>
      </c>
      <c r="AJ30" s="413"/>
      <c r="AK30" s="370">
        <v>0.4</v>
      </c>
    </row>
    <row r="31" spans="1:37" ht="16.7" customHeight="1" x14ac:dyDescent="0.25">
      <c r="A31" s="473">
        <v>1</v>
      </c>
      <c r="B31" s="441">
        <v>1</v>
      </c>
      <c r="C31" s="413">
        <v>28</v>
      </c>
      <c r="D31" s="477" t="s">
        <v>545</v>
      </c>
      <c r="E31" s="417">
        <v>33.07</v>
      </c>
      <c r="F31" s="417">
        <v>31.97</v>
      </c>
      <c r="G31" s="417">
        <f t="shared" si="0"/>
        <v>1.1000000000000014</v>
      </c>
      <c r="H31" s="417">
        <f t="shared" si="1"/>
        <v>0.90000000000000147</v>
      </c>
      <c r="I31" s="405" t="s">
        <v>542</v>
      </c>
      <c r="J31" s="417">
        <v>33.47</v>
      </c>
      <c r="K31" s="417">
        <v>31.61</v>
      </c>
      <c r="L31" s="417">
        <f t="shared" si="2"/>
        <v>1.8599999999999994</v>
      </c>
      <c r="M31" s="417">
        <f t="shared" si="3"/>
        <v>1.6599999999999995</v>
      </c>
      <c r="N31" s="370">
        <v>53.283844099342481</v>
      </c>
      <c r="O31" s="478">
        <v>200</v>
      </c>
      <c r="P31" s="413" t="s">
        <v>356</v>
      </c>
      <c r="Q31" s="479">
        <f t="shared" si="21"/>
        <v>1.5800000000000005</v>
      </c>
      <c r="R31" s="480">
        <f t="shared" si="13"/>
        <v>1.4</v>
      </c>
      <c r="S31" s="480">
        <v>1.1000000000000001</v>
      </c>
      <c r="T31" s="413">
        <f t="shared" si="4"/>
        <v>1.25</v>
      </c>
      <c r="U31" s="370">
        <f t="shared" si="14"/>
        <v>168.3769473539223</v>
      </c>
      <c r="V31" s="370">
        <f t="shared" si="5"/>
        <v>112.43559209620143</v>
      </c>
      <c r="W31" s="370">
        <f t="shared" si="6"/>
        <v>0</v>
      </c>
      <c r="X31" s="413">
        <f t="shared" si="7"/>
        <v>18</v>
      </c>
      <c r="Y31" s="370">
        <f t="shared" si="8"/>
        <v>53.283844099342481</v>
      </c>
      <c r="Z31" s="370" t="str">
        <f t="shared" si="9"/>
        <v/>
      </c>
      <c r="AA31" s="413" t="str">
        <f t="shared" si="10"/>
        <v/>
      </c>
      <c r="AB31" s="413"/>
      <c r="AC31" s="413">
        <v>3</v>
      </c>
      <c r="AD31" s="408"/>
      <c r="AE31" s="411"/>
      <c r="AF31" s="413">
        <v>1</v>
      </c>
      <c r="AG31" s="370">
        <f t="shared" si="22"/>
        <v>0.30787608005179967</v>
      </c>
      <c r="AH31" s="370" t="str">
        <f>IF(G31&gt;1.2,G31-1,"")</f>
        <v/>
      </c>
      <c r="AI31" s="370">
        <f>IF(G31&lt;=1.2,G31,"")</f>
        <v>1.1000000000000014</v>
      </c>
      <c r="AJ31" s="413"/>
      <c r="AK31" s="370">
        <v>0.1</v>
      </c>
    </row>
    <row r="32" spans="1:37" ht="16.7" customHeight="1" x14ac:dyDescent="0.25">
      <c r="A32" s="473">
        <v>1</v>
      </c>
      <c r="B32" s="413"/>
      <c r="C32" s="413">
        <v>29</v>
      </c>
      <c r="D32" s="477" t="s">
        <v>542</v>
      </c>
      <c r="E32" s="417">
        <v>33.47</v>
      </c>
      <c r="F32" s="417">
        <v>31.59</v>
      </c>
      <c r="G32" s="417">
        <f t="shared" si="0"/>
        <v>1.879999999999999</v>
      </c>
      <c r="H32" s="417">
        <f t="shared" si="1"/>
        <v>1.679999999999999</v>
      </c>
      <c r="I32" s="405" t="s">
        <v>540</v>
      </c>
      <c r="J32" s="417">
        <v>33.33</v>
      </c>
      <c r="K32" s="417">
        <v>31.16</v>
      </c>
      <c r="L32" s="417">
        <f t="shared" si="2"/>
        <v>2.1699999999999982</v>
      </c>
      <c r="M32" s="417">
        <f t="shared" si="3"/>
        <v>1.9699999999999982</v>
      </c>
      <c r="N32" s="370">
        <v>62.539789398479783</v>
      </c>
      <c r="O32" s="478">
        <v>200</v>
      </c>
      <c r="P32" s="413" t="s">
        <v>356</v>
      </c>
      <c r="Q32" s="479">
        <f t="shared" si="21"/>
        <v>2.1249999999999987</v>
      </c>
      <c r="R32" s="480">
        <f t="shared" si="13"/>
        <v>1.7</v>
      </c>
      <c r="S32" s="480">
        <v>1.1000000000000001</v>
      </c>
      <c r="T32" s="413">
        <f t="shared" si="4"/>
        <v>1.4</v>
      </c>
      <c r="U32" s="370">
        <f t="shared" si="14"/>
        <v>265.79410494353891</v>
      </c>
      <c r="V32" s="370">
        <f t="shared" si="5"/>
        <v>215.91141031574338</v>
      </c>
      <c r="W32" s="370">
        <f t="shared" si="6"/>
        <v>10.944463144733845</v>
      </c>
      <c r="X32" s="413">
        <f t="shared" si="7"/>
        <v>102</v>
      </c>
      <c r="Y32" s="370">
        <f t="shared" si="8"/>
        <v>62.539789398479783</v>
      </c>
      <c r="Z32" s="370" t="str">
        <f t="shared" si="9"/>
        <v/>
      </c>
      <c r="AA32" s="413" t="str">
        <f t="shared" si="10"/>
        <v/>
      </c>
      <c r="AB32" s="413"/>
      <c r="AC32" s="413">
        <v>17</v>
      </c>
      <c r="AD32" s="408"/>
      <c r="AE32" s="411"/>
      <c r="AF32" s="413">
        <v>1</v>
      </c>
      <c r="AG32" s="370">
        <f t="shared" si="22"/>
        <v>0.50799553208546944</v>
      </c>
      <c r="AH32" s="370">
        <f>IF(G32&gt;1.2,G32-1,"")</f>
        <v>0.87999999999999901</v>
      </c>
      <c r="AI32" s="370" t="str">
        <f>IF(G32&lt;=1.2,G32,"")</f>
        <v/>
      </c>
      <c r="AJ32" s="413"/>
      <c r="AK32" s="370">
        <v>0.23</v>
      </c>
    </row>
    <row r="33" spans="1:39" ht="16.7" customHeight="1" x14ac:dyDescent="0.25">
      <c r="A33" s="473">
        <v>1</v>
      </c>
      <c r="B33" s="413"/>
      <c r="C33" s="413">
        <v>30</v>
      </c>
      <c r="D33" s="477" t="s">
        <v>540</v>
      </c>
      <c r="E33" s="417">
        <v>33.33</v>
      </c>
      <c r="F33" s="417">
        <v>31.14</v>
      </c>
      <c r="G33" s="417">
        <f t="shared" si="0"/>
        <v>2.1899999999999977</v>
      </c>
      <c r="H33" s="417">
        <f t="shared" si="1"/>
        <v>1.9899999999999978</v>
      </c>
      <c r="I33" s="405" t="s">
        <v>544</v>
      </c>
      <c r="J33" s="417">
        <v>33.56</v>
      </c>
      <c r="K33" s="417">
        <v>30.88</v>
      </c>
      <c r="L33" s="417">
        <f t="shared" si="2"/>
        <v>2.6800000000000033</v>
      </c>
      <c r="M33" s="417">
        <f t="shared" si="3"/>
        <v>2.4800000000000031</v>
      </c>
      <c r="N33" s="370">
        <v>54.492720660586485</v>
      </c>
      <c r="O33" s="478">
        <v>200</v>
      </c>
      <c r="P33" s="413" t="s">
        <v>356</v>
      </c>
      <c r="Q33" s="479">
        <f t="shared" si="21"/>
        <v>2.5350000000000006</v>
      </c>
      <c r="R33" s="480">
        <f t="shared" si="13"/>
        <v>1.7</v>
      </c>
      <c r="S33" s="480">
        <v>1.1000000000000001</v>
      </c>
      <c r="T33" s="413">
        <f t="shared" si="4"/>
        <v>1.4</v>
      </c>
      <c r="U33" s="370">
        <f t="shared" si="14"/>
        <v>276.27809374917354</v>
      </c>
      <c r="V33" s="370">
        <f t="shared" si="5"/>
        <v>159.77961784964214</v>
      </c>
      <c r="W33" s="370">
        <f t="shared" si="6"/>
        <v>40.815047774779323</v>
      </c>
      <c r="X33" s="413">
        <f t="shared" si="7"/>
        <v>18</v>
      </c>
      <c r="Y33" s="370">
        <f t="shared" si="8"/>
        <v>54.492720660586485</v>
      </c>
      <c r="Z33" s="370" t="str">
        <f t="shared" si="9"/>
        <v/>
      </c>
      <c r="AA33" s="413" t="str">
        <f t="shared" si="10"/>
        <v/>
      </c>
      <c r="AB33" s="413"/>
      <c r="AC33" s="413">
        <v>3</v>
      </c>
      <c r="AD33" s="408"/>
      <c r="AE33" s="411"/>
      <c r="AF33" s="413">
        <v>1</v>
      </c>
      <c r="AG33" s="370">
        <f t="shared" si="22"/>
        <v>0.61575216010359934</v>
      </c>
      <c r="AH33" s="370">
        <f>IF(G33&gt;1.2,G33-1,"")</f>
        <v>1.1899999999999977</v>
      </c>
      <c r="AI33" s="370" t="str">
        <f>IF(G33&lt;=1.2,G33,"")</f>
        <v/>
      </c>
      <c r="AJ33" s="413">
        <v>1</v>
      </c>
      <c r="AK33" s="370">
        <v>0.3</v>
      </c>
    </row>
    <row r="34" spans="1:39" ht="16.7" customHeight="1" x14ac:dyDescent="0.25">
      <c r="A34" s="473">
        <v>1</v>
      </c>
      <c r="B34" s="413"/>
      <c r="C34" s="413">
        <v>31</v>
      </c>
      <c r="D34" s="477" t="s">
        <v>544</v>
      </c>
      <c r="E34" s="417">
        <v>33.56</v>
      </c>
      <c r="F34" s="417">
        <v>30.86</v>
      </c>
      <c r="G34" s="417">
        <f t="shared" si="0"/>
        <v>2.7000000000000028</v>
      </c>
      <c r="H34" s="417">
        <f t="shared" si="1"/>
        <v>2.5000000000000027</v>
      </c>
      <c r="I34" s="405" t="s">
        <v>546</v>
      </c>
      <c r="J34" s="417">
        <v>33.53</v>
      </c>
      <c r="K34" s="511">
        <v>30.8</v>
      </c>
      <c r="L34" s="417">
        <f t="shared" si="2"/>
        <v>2.7300000000000004</v>
      </c>
      <c r="M34" s="417">
        <f t="shared" si="3"/>
        <v>2.5300000000000002</v>
      </c>
      <c r="N34" s="370">
        <v>14.437990314762224</v>
      </c>
      <c r="O34" s="478">
        <v>200</v>
      </c>
      <c r="P34" s="413" t="s">
        <v>356</v>
      </c>
      <c r="Q34" s="479">
        <f t="shared" si="21"/>
        <v>2.8150000000000017</v>
      </c>
      <c r="R34" s="480">
        <f t="shared" si="13"/>
        <v>1.7</v>
      </c>
      <c r="S34" s="480">
        <v>1.1000000000000001</v>
      </c>
      <c r="T34" s="413">
        <f t="shared" si="4"/>
        <v>1.4</v>
      </c>
      <c r="U34" s="370">
        <f t="shared" si="14"/>
        <v>81.285885472111374</v>
      </c>
      <c r="V34" s="370">
        <f t="shared" si="5"/>
        <v>40.426372881334224</v>
      </c>
      <c r="W34" s="370">
        <f t="shared" si="6"/>
        <v>16.473746949143731</v>
      </c>
      <c r="X34" s="413">
        <f t="shared" si="7"/>
        <v>0</v>
      </c>
      <c r="Y34" s="370">
        <f t="shared" si="8"/>
        <v>14.437990314762224</v>
      </c>
      <c r="Z34" s="370" t="str">
        <f t="shared" si="9"/>
        <v/>
      </c>
      <c r="AA34" s="413" t="str">
        <f t="shared" si="10"/>
        <v/>
      </c>
      <c r="AB34" s="413">
        <v>1</v>
      </c>
      <c r="AC34" s="413">
        <v>0</v>
      </c>
      <c r="AD34" s="408"/>
      <c r="AE34" s="411"/>
      <c r="AF34" s="413"/>
      <c r="AG34" s="370">
        <f>((((1.5+0.2)^2*PI()))/4)*(L34+0.1)</f>
        <v>6.42353595897871</v>
      </c>
      <c r="AH34" s="370">
        <f>IF(L34&gt;1.2,L34-1,"")</f>
        <v>1.7300000000000004</v>
      </c>
      <c r="AI34" s="370"/>
      <c r="AJ34" s="413">
        <v>1</v>
      </c>
      <c r="AK34" s="413"/>
    </row>
    <row r="35" spans="1:39" ht="12" customHeight="1" x14ac:dyDescent="0.25">
      <c r="A35" s="493"/>
      <c r="B35" s="493"/>
      <c r="C35" s="493"/>
      <c r="D35" s="494"/>
      <c r="E35" s="474"/>
      <c r="F35" s="474"/>
      <c r="G35" s="474"/>
      <c r="H35" s="495"/>
      <c r="I35" s="496"/>
      <c r="J35" s="476"/>
      <c r="K35" s="476"/>
      <c r="L35" s="495"/>
      <c r="M35" s="495"/>
      <c r="N35" s="497"/>
      <c r="O35" s="412"/>
      <c r="P35" s="412"/>
      <c r="Q35" s="498"/>
      <c r="R35" s="499"/>
      <c r="S35" s="499"/>
      <c r="T35" s="412"/>
      <c r="U35" s="497"/>
      <c r="V35" s="497"/>
      <c r="W35" s="497"/>
      <c r="X35" s="412"/>
      <c r="Y35" s="412"/>
      <c r="Z35" s="412"/>
      <c r="AA35" s="412"/>
      <c r="AB35" s="412"/>
      <c r="AC35" s="412"/>
      <c r="AD35" s="408"/>
      <c r="AE35" s="408"/>
      <c r="AJ35" s="407"/>
      <c r="AK35" s="516"/>
    </row>
    <row r="36" spans="1:39" x14ac:dyDescent="0.25">
      <c r="D36" s="701" t="s">
        <v>93</v>
      </c>
      <c r="E36" s="701"/>
      <c r="F36" s="701"/>
      <c r="G36" s="701"/>
      <c r="H36" s="701"/>
      <c r="I36" s="701"/>
      <c r="J36" s="701"/>
      <c r="K36" s="701"/>
      <c r="L36" s="701"/>
      <c r="M36" s="370"/>
      <c r="N36" s="359">
        <f>(ROUND(SUM(N3:N35),0))-N15-N26</f>
        <v>1337.597200579934</v>
      </c>
      <c r="O36" s="359"/>
      <c r="P36" s="359"/>
      <c r="Q36" s="359"/>
      <c r="R36" s="359"/>
      <c r="S36" s="359"/>
      <c r="T36" s="359"/>
      <c r="U36" s="359">
        <f>(ROUND(SUM(U3:U35),0))-U15-U26-0.03</f>
        <v>2885.4217492364169</v>
      </c>
      <c r="V36" s="359">
        <f>(ROUND(SUM(V3:V35),0))-V15-V26</f>
        <v>3348.6448651116461</v>
      </c>
      <c r="W36" s="359">
        <f>(ROUND(SUM(W3:W35),0))-W15-W26</f>
        <v>151.15389167912832</v>
      </c>
      <c r="X36" s="359">
        <f>(ROUND(SUM(X3:X35),0))-X26-X15</f>
        <v>1182</v>
      </c>
      <c r="Y36" s="376">
        <f>SUM(Y4:Y34)</f>
        <v>1337.1882049258045</v>
      </c>
      <c r="Z36" s="359">
        <f>(ROUND(SUM(Z3:Z35),0))-Z15</f>
        <v>0.45459302433868487</v>
      </c>
      <c r="AA36" s="359">
        <f>ROUND(SUM(AA3:AA35),0)-AA26</f>
        <v>0.14260755559534033</v>
      </c>
      <c r="AB36" s="414">
        <f>ROUND(SUM(AB3:AB35),0)</f>
        <v>7</v>
      </c>
      <c r="AC36" s="414">
        <f>(ROUND(SUM(AC3:AC35),0))</f>
        <v>197</v>
      </c>
      <c r="AD36" s="414">
        <f>(ROUND(SUM(AD3:AD35),0))-AD15</f>
        <v>0</v>
      </c>
      <c r="AE36" s="414">
        <f>ROUND(SUM(AE3:AE35),0)-AE26</f>
        <v>0</v>
      </c>
      <c r="AF36" s="414">
        <f>ROUND(SUM(AF3:AF35),0)</f>
        <v>14</v>
      </c>
      <c r="AG36" s="370">
        <f>SUM(AG4:AG34)</f>
        <v>34.009232731619974</v>
      </c>
      <c r="AH36" s="370">
        <f>SUM(AH4:AH34)</f>
        <v>13.030000000000005</v>
      </c>
      <c r="AI36" s="370">
        <f>SUM(AI4:AI34)</f>
        <v>9.0700000000000074</v>
      </c>
      <c r="AJ36" s="413">
        <f>SUM(AJ4:AJ34)</f>
        <v>11</v>
      </c>
      <c r="AK36" s="413"/>
    </row>
    <row r="37" spans="1:39" x14ac:dyDescent="0.25">
      <c r="A37" s="360"/>
      <c r="B37" s="360"/>
      <c r="C37" s="360"/>
      <c r="L37" s="361"/>
      <c r="M37" s="361"/>
      <c r="N37" s="361"/>
      <c r="O37" s="361"/>
      <c r="P37" s="361"/>
      <c r="Q37" s="361"/>
      <c r="R37" s="361"/>
      <c r="S37" s="361"/>
      <c r="T37" s="361"/>
      <c r="U37" s="361"/>
      <c r="V37" s="361"/>
      <c r="Y37" s="360"/>
      <c r="AK37" s="493"/>
    </row>
    <row r="38" spans="1:39" ht="14.25" customHeight="1" x14ac:dyDescent="0.25">
      <c r="D38" s="370">
        <f>+N30+N34</f>
        <v>75.038583199702117</v>
      </c>
      <c r="E38" s="702" t="s">
        <v>378</v>
      </c>
      <c r="F38" s="702"/>
      <c r="H38" s="511">
        <f>SUM(N4:N34)-D38+D38</f>
        <v>1456.5910043458703</v>
      </c>
      <c r="I38" s="418" t="s">
        <v>379</v>
      </c>
      <c r="L38" s="419">
        <v>30</v>
      </c>
      <c r="M38" s="703" t="s">
        <v>427</v>
      </c>
      <c r="N38" s="703"/>
      <c r="O38" s="703"/>
      <c r="P38" s="703"/>
      <c r="Q38" s="703"/>
      <c r="S38" s="421">
        <f>+AB36</f>
        <v>7</v>
      </c>
      <c r="T38" s="699" t="s">
        <v>426</v>
      </c>
      <c r="U38" s="699"/>
      <c r="W38" s="513">
        <f>+Y36+AA36+Z36</f>
        <v>1337.7854055057385</v>
      </c>
      <c r="X38" s="704" t="s">
        <v>457</v>
      </c>
      <c r="Y38" s="704"/>
      <c r="Z38" s="704"/>
      <c r="AA38" s="704"/>
      <c r="AF38" s="423"/>
      <c r="AG38" s="421">
        <v>8</v>
      </c>
      <c r="AH38" s="698" t="s">
        <v>549</v>
      </c>
      <c r="AI38" s="698"/>
      <c r="AJ38" s="358"/>
    </row>
    <row r="39" spans="1:39" x14ac:dyDescent="0.25">
      <c r="N39" s="526"/>
      <c r="T39" s="420"/>
      <c r="AJ39" s="422"/>
      <c r="AK39" s="440"/>
      <c r="AL39" s="423"/>
      <c r="AM39" s="423"/>
    </row>
    <row r="40" spans="1:39" x14ac:dyDescent="0.25">
      <c r="S40" s="421">
        <f>+AF36</f>
        <v>14</v>
      </c>
      <c r="T40" s="699" t="s">
        <v>550</v>
      </c>
      <c r="U40" s="699"/>
      <c r="V40" s="699"/>
      <c r="AG40" s="478">
        <v>12</v>
      </c>
      <c r="AH40" s="698" t="s">
        <v>511</v>
      </c>
      <c r="AI40" s="698"/>
    </row>
    <row r="41" spans="1:39" x14ac:dyDescent="0.25">
      <c r="S41" s="518"/>
      <c r="T41" s="519"/>
      <c r="U41" s="519"/>
      <c r="V41" s="423"/>
    </row>
    <row r="42" spans="1:39" x14ac:dyDescent="0.25">
      <c r="S42" s="423"/>
      <c r="T42" s="423"/>
      <c r="U42" s="423"/>
      <c r="V42" s="423"/>
      <c r="AG42" s="421">
        <f>+AB34</f>
        <v>1</v>
      </c>
      <c r="AH42" s="698" t="s">
        <v>512</v>
      </c>
      <c r="AI42" s="698"/>
    </row>
    <row r="43" spans="1:39" x14ac:dyDescent="0.25">
      <c r="S43" s="423"/>
      <c r="T43" s="423"/>
      <c r="U43" s="423"/>
      <c r="V43" s="423"/>
    </row>
    <row r="44" spans="1:39" x14ac:dyDescent="0.25">
      <c r="S44" s="423"/>
      <c r="T44" s="423"/>
      <c r="U44" s="423"/>
      <c r="V44" s="423"/>
    </row>
  </sheetData>
  <autoFilter ref="D2:AE35"/>
  <mergeCells count="10">
    <mergeCell ref="AH38:AI38"/>
    <mergeCell ref="T40:V40"/>
    <mergeCell ref="AH40:AI40"/>
    <mergeCell ref="AH42:AI42"/>
    <mergeCell ref="D1:AE1"/>
    <mergeCell ref="D36:L36"/>
    <mergeCell ref="E38:F38"/>
    <mergeCell ref="M38:Q38"/>
    <mergeCell ref="T38:U38"/>
    <mergeCell ref="X38:AA38"/>
  </mergeCells>
  <printOptions horizontalCentered="1"/>
  <pageMargins left="0.15748031496062992" right="0.15748031496062992" top="0.93" bottom="0.74803149606299213" header="0.31496062992125984" footer="0.31496062992125984"/>
  <pageSetup scale="52"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58"/>
  <sheetViews>
    <sheetView view="pageBreakPreview" topLeftCell="A17" zoomScaleNormal="85" zoomScaleSheetLayoutView="100" workbookViewId="0">
      <selection activeCell="E39" sqref="E39"/>
    </sheetView>
  </sheetViews>
  <sheetFormatPr baseColWidth="10" defaultRowHeight="14.25" x14ac:dyDescent="0.2"/>
  <cols>
    <col min="1" max="1" width="14.5703125" style="122" customWidth="1"/>
    <col min="2" max="2" width="8" style="126" customWidth="1"/>
    <col min="3" max="3" width="53" style="122" customWidth="1"/>
    <col min="4" max="4" width="7.28515625" style="122" customWidth="1"/>
    <col min="5" max="5" width="11.140625" style="289" customWidth="1"/>
    <col min="6" max="6" width="14.7109375" style="307" customWidth="1"/>
    <col min="7" max="7" width="20.28515625" style="307" customWidth="1"/>
    <col min="8" max="8" width="27.140625" style="122" customWidth="1"/>
    <col min="9" max="9" width="23.85546875" style="122" customWidth="1"/>
    <col min="10" max="10" width="18.7109375" style="122" bestFit="1" customWidth="1"/>
    <col min="11" max="16384" width="11.42578125" style="122"/>
  </cols>
  <sheetData>
    <row r="1" spans="1:8" ht="21.75" customHeight="1" x14ac:dyDescent="0.2"/>
    <row r="2" spans="1:8" ht="32.25" customHeight="1" x14ac:dyDescent="0.2">
      <c r="A2" s="710" t="s">
        <v>597</v>
      </c>
      <c r="B2" s="710"/>
      <c r="C2" s="710"/>
      <c r="D2" s="710"/>
      <c r="E2" s="710"/>
      <c r="F2" s="710"/>
      <c r="G2" s="710"/>
    </row>
    <row r="3" spans="1:8" ht="30" customHeight="1" x14ac:dyDescent="0.2">
      <c r="A3" s="710" t="s">
        <v>551</v>
      </c>
      <c r="B3" s="710"/>
      <c r="C3" s="710"/>
      <c r="D3" s="710"/>
      <c r="E3" s="710"/>
      <c r="F3" s="710"/>
      <c r="G3" s="710"/>
    </row>
    <row r="4" spans="1:8" ht="14.25" customHeight="1" x14ac:dyDescent="0.2">
      <c r="A4" s="711"/>
      <c r="B4" s="711"/>
      <c r="C4" s="711"/>
      <c r="D4" s="711"/>
      <c r="E4" s="711"/>
      <c r="F4" s="711"/>
      <c r="G4" s="711"/>
    </row>
    <row r="5" spans="1:8" ht="24" customHeight="1" x14ac:dyDescent="0.2">
      <c r="A5" s="712" t="s">
        <v>423</v>
      </c>
      <c r="B5" s="712"/>
      <c r="C5" s="712"/>
      <c r="D5" s="712"/>
      <c r="E5" s="712"/>
      <c r="F5" s="712"/>
      <c r="G5" s="712"/>
    </row>
    <row r="6" spans="1:8" ht="14.25" customHeight="1" thickBot="1" x14ac:dyDescent="0.25">
      <c r="B6" s="464"/>
      <c r="C6" s="123"/>
      <c r="D6" s="123"/>
      <c r="E6" s="283"/>
      <c r="F6" s="298"/>
      <c r="G6" s="298"/>
    </row>
    <row r="7" spans="1:8" ht="39.75" customHeight="1" thickBot="1" x14ac:dyDescent="0.25">
      <c r="A7" s="382" t="s">
        <v>8</v>
      </c>
      <c r="B7" s="384" t="s">
        <v>425</v>
      </c>
      <c r="C7" s="124" t="s">
        <v>390</v>
      </c>
      <c r="D7" s="124" t="s">
        <v>11</v>
      </c>
      <c r="E7" s="284" t="s">
        <v>12</v>
      </c>
      <c r="F7" s="299" t="s">
        <v>13</v>
      </c>
      <c r="G7" s="300" t="s">
        <v>14</v>
      </c>
    </row>
    <row r="8" spans="1:8" ht="15" x14ac:dyDescent="0.2">
      <c r="A8" s="386"/>
      <c r="B8" s="276">
        <v>1</v>
      </c>
      <c r="C8" s="378" t="s">
        <v>428</v>
      </c>
      <c r="D8" s="207"/>
      <c r="E8" s="285"/>
      <c r="F8" s="301"/>
      <c r="G8" s="302" t="e">
        <f>SUM(G9:G13)</f>
        <v>#REF!</v>
      </c>
      <c r="H8" s="541"/>
    </row>
    <row r="9" spans="1:8" ht="27.75" customHeight="1" x14ac:dyDescent="0.2">
      <c r="A9" s="34">
        <v>105</v>
      </c>
      <c r="B9" s="82">
        <v>1.1000000000000001</v>
      </c>
      <c r="C9" s="83" t="s">
        <v>461</v>
      </c>
      <c r="D9" s="39" t="s">
        <v>21</v>
      </c>
      <c r="E9" s="445">
        <f>14-4</f>
        <v>10</v>
      </c>
      <c r="F9" s="303" t="e">
        <f>#REF!</f>
        <v>#REF!</v>
      </c>
      <c r="G9" s="304" t="e">
        <f>E9*F9</f>
        <v>#REF!</v>
      </c>
      <c r="H9" s="541"/>
    </row>
    <row r="10" spans="1:8" ht="14.25" hidden="1" customHeight="1" x14ac:dyDescent="0.2">
      <c r="A10" s="34"/>
      <c r="B10" s="82">
        <v>1.2</v>
      </c>
      <c r="C10" s="379" t="s">
        <v>83</v>
      </c>
      <c r="D10" s="39" t="s">
        <v>19</v>
      </c>
      <c r="E10" s="288"/>
      <c r="F10" s="303"/>
      <c r="G10" s="304">
        <f>E10*F10</f>
        <v>0</v>
      </c>
      <c r="H10" s="541"/>
    </row>
    <row r="11" spans="1:8" ht="28.5" hidden="1" customHeight="1" x14ac:dyDescent="0.2">
      <c r="A11" s="466"/>
      <c r="B11" s="82">
        <v>1.3</v>
      </c>
      <c r="C11" s="83" t="s">
        <v>310</v>
      </c>
      <c r="D11" s="39" t="s">
        <v>22</v>
      </c>
      <c r="E11" s="288"/>
      <c r="F11" s="303"/>
      <c r="G11" s="304">
        <f>E11*F11</f>
        <v>0</v>
      </c>
      <c r="H11" s="541"/>
    </row>
    <row r="12" spans="1:8" ht="14.25" hidden="1" customHeight="1" x14ac:dyDescent="0.2">
      <c r="A12" s="466"/>
      <c r="B12" s="82">
        <v>1.4</v>
      </c>
      <c r="C12" s="83" t="s">
        <v>81</v>
      </c>
      <c r="D12" s="39" t="s">
        <v>19</v>
      </c>
      <c r="E12" s="288"/>
      <c r="F12" s="303"/>
      <c r="G12" s="304">
        <v>0</v>
      </c>
      <c r="H12" s="541"/>
    </row>
    <row r="13" spans="1:8" ht="28.5" hidden="1" customHeight="1" x14ac:dyDescent="0.2">
      <c r="A13" s="466"/>
      <c r="B13" s="82">
        <v>1.5</v>
      </c>
      <c r="C13" s="83" t="s">
        <v>308</v>
      </c>
      <c r="D13" s="39" t="s">
        <v>22</v>
      </c>
      <c r="E13" s="288"/>
      <c r="F13" s="303"/>
      <c r="G13" s="304">
        <v>0</v>
      </c>
      <c r="H13" s="541"/>
    </row>
    <row r="14" spans="1:8" ht="15" x14ac:dyDescent="0.2">
      <c r="A14" s="386"/>
      <c r="B14" s="276">
        <v>2</v>
      </c>
      <c r="C14" s="378" t="s">
        <v>23</v>
      </c>
      <c r="D14" s="207"/>
      <c r="E14" s="285"/>
      <c r="F14" s="301"/>
      <c r="G14" s="302" t="e">
        <f>G15+G17+G20+G24</f>
        <v>#REF!</v>
      </c>
      <c r="H14" s="541"/>
    </row>
    <row r="15" spans="1:8" ht="15" x14ac:dyDescent="0.2">
      <c r="A15" s="388"/>
      <c r="B15" s="277">
        <v>2.1</v>
      </c>
      <c r="C15" s="380" t="s">
        <v>86</v>
      </c>
      <c r="D15" s="252"/>
      <c r="E15" s="287"/>
      <c r="F15" s="305"/>
      <c r="G15" s="306" t="e">
        <f>+G16</f>
        <v>#REF!</v>
      </c>
      <c r="H15" s="541"/>
    </row>
    <row r="16" spans="1:8" ht="20.25" customHeight="1" x14ac:dyDescent="0.2">
      <c r="A16" s="465">
        <v>202</v>
      </c>
      <c r="B16" s="82" t="s">
        <v>376</v>
      </c>
      <c r="C16" s="379" t="s">
        <v>92</v>
      </c>
      <c r="D16" s="39" t="s">
        <v>22</v>
      </c>
      <c r="E16" s="281">
        <f>+'Memoria Cálculo_ANR'!U36</f>
        <v>2885.4217492364169</v>
      </c>
      <c r="F16" s="303" t="e">
        <f>#REF!</f>
        <v>#REF!</v>
      </c>
      <c r="G16" s="304" t="e">
        <f>E16*F16</f>
        <v>#REF!</v>
      </c>
      <c r="H16" s="541"/>
    </row>
    <row r="17" spans="1:10" ht="15" customHeight="1" x14ac:dyDescent="0.2">
      <c r="A17" s="389"/>
      <c r="B17" s="277">
        <v>2.2000000000000002</v>
      </c>
      <c r="C17" s="380" t="s">
        <v>26</v>
      </c>
      <c r="D17" s="252"/>
      <c r="E17" s="287"/>
      <c r="F17" s="305"/>
      <c r="G17" s="306" t="e">
        <f>SUM(G18:G19)</f>
        <v>#REF!</v>
      </c>
      <c r="H17" s="541"/>
    </row>
    <row r="18" spans="1:10" ht="14.25" customHeight="1" x14ac:dyDescent="0.2">
      <c r="A18" s="705">
        <v>201</v>
      </c>
      <c r="B18" s="82" t="s">
        <v>416</v>
      </c>
      <c r="C18" s="379" t="s">
        <v>605</v>
      </c>
      <c r="D18" s="39" t="s">
        <v>29</v>
      </c>
      <c r="E18" s="281">
        <f>+'Memoria Cálculo_ANR'!V36+'Memoria Cálculo_ANR'!AG36</f>
        <v>3382.6540978432663</v>
      </c>
      <c r="F18" s="303" t="e">
        <f>#REF!</f>
        <v>#REF!</v>
      </c>
      <c r="G18" s="304" t="e">
        <f>E18*F18</f>
        <v>#REF!</v>
      </c>
      <c r="H18" s="541"/>
      <c r="J18" s="400"/>
    </row>
    <row r="19" spans="1:10" ht="14.25" customHeight="1" x14ac:dyDescent="0.2">
      <c r="A19" s="706"/>
      <c r="B19" s="82" t="s">
        <v>417</v>
      </c>
      <c r="C19" s="379" t="s">
        <v>606</v>
      </c>
      <c r="D19" s="39" t="s">
        <v>29</v>
      </c>
      <c r="E19" s="281">
        <f>+'Memoria Cálculo_ANR'!W36</f>
        <v>151.15389167912832</v>
      </c>
      <c r="F19" s="303" t="e">
        <f>#REF!</f>
        <v>#REF!</v>
      </c>
      <c r="G19" s="304" t="e">
        <f>E19*F19</f>
        <v>#REF!</v>
      </c>
      <c r="H19" s="541"/>
    </row>
    <row r="20" spans="1:10" ht="15" customHeight="1" x14ac:dyDescent="0.2">
      <c r="A20" s="389"/>
      <c r="B20" s="277">
        <v>2.2999999999999998</v>
      </c>
      <c r="C20" s="380" t="s">
        <v>33</v>
      </c>
      <c r="D20" s="252"/>
      <c r="E20" s="287"/>
      <c r="F20" s="305"/>
      <c r="G20" s="306" t="e">
        <f>SUM(G21:G23)</f>
        <v>#REF!</v>
      </c>
      <c r="H20" s="542"/>
    </row>
    <row r="21" spans="1:10" ht="42.75" x14ac:dyDescent="0.2">
      <c r="A21" s="707">
        <v>204</v>
      </c>
      <c r="B21" s="82" t="s">
        <v>418</v>
      </c>
      <c r="C21" s="83" t="s">
        <v>430</v>
      </c>
      <c r="D21" s="39" t="s">
        <v>29</v>
      </c>
      <c r="E21" s="288">
        <f>+((E18+E19-'Memoria Cálculo_ANR'!AG36)*0.2)-0.01</f>
        <v>699.94975135815491</v>
      </c>
      <c r="F21" s="303" t="e">
        <f>#REF!</f>
        <v>#REF!</v>
      </c>
      <c r="G21" s="304" t="e">
        <f>E21*F21</f>
        <v>#REF!</v>
      </c>
      <c r="H21" s="542"/>
    </row>
    <row r="22" spans="1:10" ht="42.75" x14ac:dyDescent="0.2">
      <c r="A22" s="708"/>
      <c r="B22" s="82" t="s">
        <v>419</v>
      </c>
      <c r="C22" s="83" t="s">
        <v>603</v>
      </c>
      <c r="D22" s="39" t="s">
        <v>29</v>
      </c>
      <c r="E22" s="446">
        <f>+(E18+E19-'Memoria Cálculo_ANR'!AG36)*0.7</f>
        <v>2449.8591297535418</v>
      </c>
      <c r="F22" s="303" t="e">
        <f>#REF!</f>
        <v>#REF!</v>
      </c>
      <c r="G22" s="304" t="e">
        <f>E22*F22</f>
        <v>#REF!</v>
      </c>
      <c r="H22" s="542"/>
    </row>
    <row r="23" spans="1:10" x14ac:dyDescent="0.2">
      <c r="A23" s="443">
        <v>404</v>
      </c>
      <c r="B23" s="82" t="s">
        <v>559</v>
      </c>
      <c r="C23" s="379" t="s">
        <v>604</v>
      </c>
      <c r="D23" s="39" t="s">
        <v>29</v>
      </c>
      <c r="E23" s="288">
        <f>(+E18+E19-'Memoria Cálculo_ANR'!AG36)*0.1</f>
        <v>349.97987567907745</v>
      </c>
      <c r="F23" s="303" t="e">
        <f>#REF!</f>
        <v>#REF!</v>
      </c>
      <c r="G23" s="304" t="e">
        <f>E23*F23</f>
        <v>#REF!</v>
      </c>
      <c r="H23" s="542"/>
    </row>
    <row r="24" spans="1:10" ht="15" x14ac:dyDescent="0.2">
      <c r="A24" s="389"/>
      <c r="B24" s="277">
        <v>2.4</v>
      </c>
      <c r="C24" s="380" t="s">
        <v>429</v>
      </c>
      <c r="D24" s="252"/>
      <c r="E24" s="290"/>
      <c r="F24" s="305"/>
      <c r="G24" s="306" t="e">
        <f>G25</f>
        <v>#REF!</v>
      </c>
      <c r="H24" s="542"/>
    </row>
    <row r="25" spans="1:10" ht="28.5" x14ac:dyDescent="0.2">
      <c r="A25" s="34">
        <v>205</v>
      </c>
      <c r="B25" s="82" t="s">
        <v>421</v>
      </c>
      <c r="C25" s="545" t="s">
        <v>608</v>
      </c>
      <c r="D25" s="39" t="s">
        <v>29</v>
      </c>
      <c r="E25" s="288">
        <f>(+E18+E19)-E21+'Memoria Cálculo_ANR'!AG36</f>
        <v>2867.8674708958597</v>
      </c>
      <c r="F25" s="303" t="e">
        <f>#REF!</f>
        <v>#REF!</v>
      </c>
      <c r="G25" s="304" t="e">
        <f>E25*F25</f>
        <v>#REF!</v>
      </c>
      <c r="H25" s="542"/>
    </row>
    <row r="26" spans="1:10" ht="15" x14ac:dyDescent="0.2">
      <c r="A26" s="390"/>
      <c r="B26" s="276">
        <v>3</v>
      </c>
      <c r="C26" s="381" t="s">
        <v>51</v>
      </c>
      <c r="D26" s="207"/>
      <c r="E26" s="285"/>
      <c r="F26" s="301"/>
      <c r="G26" s="302" t="e">
        <f>SUM(G27:G39)</f>
        <v>#REF!</v>
      </c>
      <c r="H26" s="542"/>
    </row>
    <row r="27" spans="1:10" x14ac:dyDescent="0.2">
      <c r="A27" s="34" t="s">
        <v>167</v>
      </c>
      <c r="B27" s="82">
        <v>3.1</v>
      </c>
      <c r="C27" s="83" t="s">
        <v>52</v>
      </c>
      <c r="D27" s="39" t="s">
        <v>21</v>
      </c>
      <c r="E27" s="445">
        <f>+'Memoria Cálculo_ANR'!AJ36</f>
        <v>11</v>
      </c>
      <c r="F27" s="303" t="e">
        <f>#REF!</f>
        <v>#REF!</v>
      </c>
      <c r="G27" s="304" t="e">
        <f t="shared" ref="G27:G39" si="0">E27*F27</f>
        <v>#REF!</v>
      </c>
      <c r="H27" s="542"/>
    </row>
    <row r="28" spans="1:10" ht="30" customHeight="1" x14ac:dyDescent="0.2">
      <c r="A28" s="34" t="s">
        <v>167</v>
      </c>
      <c r="B28" s="82">
        <v>3.2</v>
      </c>
      <c r="C28" s="83" t="s">
        <v>462</v>
      </c>
      <c r="D28" s="39" t="s">
        <v>21</v>
      </c>
      <c r="E28" s="445">
        <f>+'Memoria Cálculo_ANR'!S38+'Memoria Cálculo_ANR'!S40-'Memoria Cálculo_ANR'!AG42</f>
        <v>20</v>
      </c>
      <c r="F28" s="303" t="e">
        <f>#REF!</f>
        <v>#REF!</v>
      </c>
      <c r="G28" s="304" t="e">
        <f t="shared" si="0"/>
        <v>#REF!</v>
      </c>
      <c r="H28" s="542"/>
    </row>
    <row r="29" spans="1:10" ht="30" customHeight="1" x14ac:dyDescent="0.2">
      <c r="A29" s="34" t="s">
        <v>167</v>
      </c>
      <c r="B29" s="82">
        <v>3.3</v>
      </c>
      <c r="C29" s="83" t="s">
        <v>557</v>
      </c>
      <c r="D29" s="39" t="s">
        <v>21</v>
      </c>
      <c r="E29" s="445">
        <f>+E31</f>
        <v>1</v>
      </c>
      <c r="F29" s="303" t="e">
        <f>+#REF!</f>
        <v>#REF!</v>
      </c>
      <c r="G29" s="304" t="e">
        <f t="shared" si="0"/>
        <v>#REF!</v>
      </c>
      <c r="H29" s="542"/>
    </row>
    <row r="30" spans="1:10" ht="31.5" customHeight="1" x14ac:dyDescent="0.2">
      <c r="A30" s="525" t="s">
        <v>563</v>
      </c>
      <c r="B30" s="82">
        <v>3.4</v>
      </c>
      <c r="C30" s="83" t="s">
        <v>463</v>
      </c>
      <c r="D30" s="39" t="s">
        <v>21</v>
      </c>
      <c r="E30" s="445">
        <f>+'Memoria Cálculo_ANR'!AG40</f>
        <v>12</v>
      </c>
      <c r="F30" s="303" t="e">
        <f>#REF!</f>
        <v>#REF!</v>
      </c>
      <c r="G30" s="304" t="e">
        <f t="shared" si="0"/>
        <v>#REF!</v>
      </c>
      <c r="H30" s="542"/>
    </row>
    <row r="31" spans="1:10" ht="31.5" customHeight="1" x14ac:dyDescent="0.2">
      <c r="A31" s="525" t="s">
        <v>563</v>
      </c>
      <c r="B31" s="82">
        <v>3.5</v>
      </c>
      <c r="C31" s="83" t="s">
        <v>558</v>
      </c>
      <c r="D31" s="39" t="s">
        <v>21</v>
      </c>
      <c r="E31" s="445">
        <f>+'Memoria Cálculo_ANR'!AG42</f>
        <v>1</v>
      </c>
      <c r="F31" s="303" t="e">
        <f>#REF!</f>
        <v>#REF!</v>
      </c>
      <c r="G31" s="304" t="e">
        <f t="shared" si="0"/>
        <v>#REF!</v>
      </c>
      <c r="H31" s="542"/>
    </row>
    <row r="32" spans="1:10" ht="28.5" x14ac:dyDescent="0.2">
      <c r="A32" s="525" t="s">
        <v>564</v>
      </c>
      <c r="B32" s="82">
        <v>3.6</v>
      </c>
      <c r="C32" s="83" t="s">
        <v>464</v>
      </c>
      <c r="D32" s="39" t="s">
        <v>19</v>
      </c>
      <c r="E32" s="288">
        <f>+'Memoria Cálculo_ANR'!AH36-'Memoria Cálculo_ANR'!AH34</f>
        <v>11.300000000000004</v>
      </c>
      <c r="F32" s="303" t="e">
        <f>#REF!</f>
        <v>#REF!</v>
      </c>
      <c r="G32" s="304" t="e">
        <f t="shared" si="0"/>
        <v>#REF!</v>
      </c>
      <c r="H32" s="542"/>
      <c r="J32" s="402"/>
    </row>
    <row r="33" spans="1:10" ht="28.5" x14ac:dyDescent="0.2">
      <c r="A33" s="525" t="s">
        <v>564</v>
      </c>
      <c r="B33" s="82">
        <v>3.7</v>
      </c>
      <c r="C33" s="83" t="s">
        <v>556</v>
      </c>
      <c r="D33" s="39" t="s">
        <v>19</v>
      </c>
      <c r="E33" s="288">
        <f>+'Memoria Cálculo_ANR'!AH34</f>
        <v>1.7300000000000004</v>
      </c>
      <c r="F33" s="303" t="e">
        <f>+#REF!</f>
        <v>#REF!</v>
      </c>
      <c r="G33" s="304" t="e">
        <f t="shared" si="0"/>
        <v>#REF!</v>
      </c>
      <c r="H33" s="542"/>
      <c r="J33" s="402"/>
    </row>
    <row r="34" spans="1:10" ht="28.5" x14ac:dyDescent="0.2">
      <c r="A34" s="34" t="s">
        <v>565</v>
      </c>
      <c r="B34" s="82">
        <v>3.8</v>
      </c>
      <c r="C34" s="83" t="s">
        <v>53</v>
      </c>
      <c r="D34" s="39" t="s">
        <v>21</v>
      </c>
      <c r="E34" s="282">
        <f>((E33+E32)/0.3)+(E28+E29)</f>
        <v>64.433333333333351</v>
      </c>
      <c r="F34" s="303" t="e">
        <f>#REF!</f>
        <v>#REF!</v>
      </c>
      <c r="G34" s="304" t="e">
        <f t="shared" si="0"/>
        <v>#REF!</v>
      </c>
      <c r="H34" s="542"/>
    </row>
    <row r="35" spans="1:10" ht="28.5" x14ac:dyDescent="0.2">
      <c r="A35" s="525">
        <v>809</v>
      </c>
      <c r="B35" s="82">
        <v>3.9</v>
      </c>
      <c r="C35" s="83" t="s">
        <v>415</v>
      </c>
      <c r="D35" s="39" t="s">
        <v>21</v>
      </c>
      <c r="E35" s="282">
        <f>+'Memoria Cálculo_ANR'!AG38</f>
        <v>8</v>
      </c>
      <c r="F35" s="303" t="e">
        <f>#REF!</f>
        <v>#REF!</v>
      </c>
      <c r="G35" s="304" t="e">
        <f t="shared" si="0"/>
        <v>#REF!</v>
      </c>
      <c r="H35" s="542"/>
    </row>
    <row r="36" spans="1:10" ht="19.5" customHeight="1" x14ac:dyDescent="0.2">
      <c r="A36" s="34" t="s">
        <v>567</v>
      </c>
      <c r="B36" s="115">
        <v>3.1</v>
      </c>
      <c r="C36" s="426" t="s">
        <v>465</v>
      </c>
      <c r="D36" s="427" t="s">
        <v>19</v>
      </c>
      <c r="E36" s="282">
        <f>E43*0.3</f>
        <v>59.099999999999994</v>
      </c>
      <c r="F36" s="303" t="e">
        <f>#REF!</f>
        <v>#REF!</v>
      </c>
      <c r="G36" s="304" t="e">
        <f t="shared" si="0"/>
        <v>#REF!</v>
      </c>
      <c r="H36" s="542"/>
    </row>
    <row r="37" spans="1:10" ht="25.5" x14ac:dyDescent="0.2">
      <c r="A37" s="34" t="s">
        <v>567</v>
      </c>
      <c r="B37" s="82">
        <v>3.11</v>
      </c>
      <c r="C37" s="426" t="s">
        <v>466</v>
      </c>
      <c r="D37" s="427" t="s">
        <v>21</v>
      </c>
      <c r="E37" s="282">
        <f>E36</f>
        <v>59.099999999999994</v>
      </c>
      <c r="F37" s="303" t="e">
        <f>#REF!</f>
        <v>#REF!</v>
      </c>
      <c r="G37" s="304" t="e">
        <f t="shared" si="0"/>
        <v>#REF!</v>
      </c>
      <c r="H37" s="542"/>
    </row>
    <row r="38" spans="1:10" x14ac:dyDescent="0.2">
      <c r="A38" s="34" t="s">
        <v>567</v>
      </c>
      <c r="B38" s="82">
        <v>3.14</v>
      </c>
      <c r="C38" s="426" t="s">
        <v>177</v>
      </c>
      <c r="D38" s="427" t="s">
        <v>19</v>
      </c>
      <c r="E38" s="282">
        <f>E43*0.4</f>
        <v>78.800000000000011</v>
      </c>
      <c r="F38" s="303" t="e">
        <f>#REF!</f>
        <v>#REF!</v>
      </c>
      <c r="G38" s="304" t="e">
        <f t="shared" si="0"/>
        <v>#REF!</v>
      </c>
      <c r="H38" s="542"/>
    </row>
    <row r="39" spans="1:10" ht="25.5" x14ac:dyDescent="0.2">
      <c r="A39" s="34" t="s">
        <v>567</v>
      </c>
      <c r="B39" s="82">
        <v>3.15</v>
      </c>
      <c r="C39" s="426" t="s">
        <v>176</v>
      </c>
      <c r="D39" s="427" t="s">
        <v>21</v>
      </c>
      <c r="E39" s="282">
        <f>E38</f>
        <v>78.800000000000011</v>
      </c>
      <c r="F39" s="303" t="e">
        <f>#REF!</f>
        <v>#REF!</v>
      </c>
      <c r="G39" s="304" t="e">
        <f t="shared" si="0"/>
        <v>#REF!</v>
      </c>
      <c r="H39" s="542"/>
    </row>
    <row r="40" spans="1:10" ht="15" x14ac:dyDescent="0.2">
      <c r="A40" s="391"/>
      <c r="B40" s="276">
        <v>4</v>
      </c>
      <c r="C40" s="381" t="s">
        <v>431</v>
      </c>
      <c r="D40" s="207"/>
      <c r="E40" s="285"/>
      <c r="F40" s="301"/>
      <c r="G40" s="302" t="e">
        <f>SUM(G41:G47)</f>
        <v>#REF!</v>
      </c>
      <c r="H40" s="542"/>
    </row>
    <row r="41" spans="1:10" ht="28.5" x14ac:dyDescent="0.2">
      <c r="A41" s="524" t="s">
        <v>568</v>
      </c>
      <c r="B41" s="82">
        <v>4.0999999999999996</v>
      </c>
      <c r="C41" s="83" t="s">
        <v>571</v>
      </c>
      <c r="D41" s="39" t="s">
        <v>19</v>
      </c>
      <c r="E41" s="281">
        <f>+'Memoria Cálculo_ANR'!X36</f>
        <v>1182</v>
      </c>
      <c r="F41" s="444" t="e">
        <f>#REF!</f>
        <v>#REF!</v>
      </c>
      <c r="G41" s="304" t="e">
        <f>E41*F41</f>
        <v>#REF!</v>
      </c>
      <c r="H41" s="542"/>
    </row>
    <row r="42" spans="1:10" x14ac:dyDescent="0.2">
      <c r="A42" s="443" t="s">
        <v>569</v>
      </c>
      <c r="B42" s="82">
        <v>4.2</v>
      </c>
      <c r="C42" s="83" t="s">
        <v>572</v>
      </c>
      <c r="D42" s="39" t="s">
        <v>19</v>
      </c>
      <c r="E42" s="281">
        <f>+'Memoria Cálculo_ANR'!Y36</f>
        <v>1337.1882049258045</v>
      </c>
      <c r="F42" s="444" t="e">
        <f>#REF!</f>
        <v>#REF!</v>
      </c>
      <c r="G42" s="304" t="e">
        <f>E42*F42</f>
        <v>#REF!</v>
      </c>
      <c r="H42" s="542"/>
    </row>
    <row r="43" spans="1:10" x14ac:dyDescent="0.2">
      <c r="A43" s="443" t="s">
        <v>570</v>
      </c>
      <c r="B43" s="82">
        <v>4.3</v>
      </c>
      <c r="C43" s="83" t="s">
        <v>432</v>
      </c>
      <c r="D43" s="39" t="s">
        <v>21</v>
      </c>
      <c r="E43" s="282">
        <f>+'Memoria Cálculo_ANR'!AC36</f>
        <v>197</v>
      </c>
      <c r="F43" s="303" t="e">
        <f>#REF!</f>
        <v>#REF!</v>
      </c>
      <c r="G43" s="304" t="e">
        <f t="shared" ref="G43:G47" si="1">+E43*F43</f>
        <v>#REF!</v>
      </c>
      <c r="H43" s="542"/>
    </row>
    <row r="44" spans="1:10" x14ac:dyDescent="0.2">
      <c r="A44" s="443" t="s">
        <v>570</v>
      </c>
      <c r="B44" s="82">
        <v>4.4000000000000004</v>
      </c>
      <c r="C44" s="32" t="s">
        <v>467</v>
      </c>
      <c r="D44" s="39" t="s">
        <v>21</v>
      </c>
      <c r="E44" s="520">
        <f>E43+2*E45</f>
        <v>512.20000000000005</v>
      </c>
      <c r="F44" s="303" t="e">
        <f>#REF!</f>
        <v>#REF!</v>
      </c>
      <c r="G44" s="304" t="e">
        <f t="shared" si="1"/>
        <v>#REF!</v>
      </c>
      <c r="H44" s="542"/>
    </row>
    <row r="45" spans="1:10" x14ac:dyDescent="0.2">
      <c r="A45" s="443" t="s">
        <v>570</v>
      </c>
      <c r="B45" s="82">
        <v>4.5</v>
      </c>
      <c r="C45" s="342" t="s">
        <v>574</v>
      </c>
      <c r="D45" s="428" t="s">
        <v>21</v>
      </c>
      <c r="E45" s="445">
        <f>E43*0.8</f>
        <v>157.60000000000002</v>
      </c>
      <c r="F45" s="303" t="e">
        <f>#REF!</f>
        <v>#REF!</v>
      </c>
      <c r="G45" s="304" t="e">
        <f t="shared" si="1"/>
        <v>#REF!</v>
      </c>
      <c r="H45" s="542"/>
    </row>
    <row r="46" spans="1:10" x14ac:dyDescent="0.2">
      <c r="A46" s="443" t="s">
        <v>570</v>
      </c>
      <c r="B46" s="82">
        <v>4.5999999999999996</v>
      </c>
      <c r="C46" s="342" t="s">
        <v>573</v>
      </c>
      <c r="D46" s="343" t="s">
        <v>21</v>
      </c>
      <c r="E46" s="282">
        <f>E43*0.3</f>
        <v>59.099999999999994</v>
      </c>
      <c r="F46" s="303" t="e">
        <f>#REF!</f>
        <v>#REF!</v>
      </c>
      <c r="G46" s="304" t="e">
        <f t="shared" si="1"/>
        <v>#REF!</v>
      </c>
      <c r="H46" s="542"/>
    </row>
    <row r="47" spans="1:10" ht="15" thickBot="1" x14ac:dyDescent="0.25">
      <c r="A47" s="443" t="s">
        <v>570</v>
      </c>
      <c r="B47" s="82">
        <v>4.7</v>
      </c>
      <c r="C47" s="342" t="s">
        <v>548</v>
      </c>
      <c r="D47" s="343" t="s">
        <v>21</v>
      </c>
      <c r="E47" s="510">
        <f>E46</f>
        <v>59.099999999999994</v>
      </c>
      <c r="F47" s="505" t="e">
        <f>#REF!</f>
        <v>#REF!</v>
      </c>
      <c r="G47" s="506" t="e">
        <f t="shared" si="1"/>
        <v>#REF!</v>
      </c>
      <c r="H47" s="542"/>
    </row>
    <row r="48" spans="1:10" ht="15.75" thickBot="1" x14ac:dyDescent="0.3">
      <c r="A48" s="507"/>
      <c r="B48" s="709" t="s">
        <v>340</v>
      </c>
      <c r="C48" s="709"/>
      <c r="D48" s="709"/>
      <c r="E48" s="709"/>
      <c r="F48" s="508"/>
      <c r="G48" s="509" t="e">
        <f>+G8+G14+G26+G40</f>
        <v>#REF!</v>
      </c>
      <c r="H48" s="543"/>
      <c r="I48" s="448"/>
      <c r="J48" s="430"/>
    </row>
    <row r="49" spans="3:9" x14ac:dyDescent="0.2">
      <c r="G49" s="308"/>
    </row>
    <row r="50" spans="3:9" x14ac:dyDescent="0.2">
      <c r="G50" s="309"/>
      <c r="H50" s="401"/>
      <c r="I50" s="401"/>
    </row>
    <row r="51" spans="3:9" ht="15" x14ac:dyDescent="0.25">
      <c r="G51" s="449"/>
    </row>
    <row r="52" spans="3:9" x14ac:dyDescent="0.2">
      <c r="G52" s="309"/>
      <c r="H52" s="346"/>
      <c r="I52" s="346"/>
    </row>
    <row r="58" spans="3:9" x14ac:dyDescent="0.2">
      <c r="C58" s="122">
        <v>8194769</v>
      </c>
    </row>
  </sheetData>
  <mergeCells count="7">
    <mergeCell ref="A18:A19"/>
    <mergeCell ref="A21:A22"/>
    <mergeCell ref="B48:E48"/>
    <mergeCell ref="A2:G2"/>
    <mergeCell ref="A3:G3"/>
    <mergeCell ref="A4:G4"/>
    <mergeCell ref="A5:G5"/>
  </mergeCells>
  <printOptions horizontalCentered="1"/>
  <pageMargins left="0.27559055118110237" right="0.16" top="0.31" bottom="0.19685039370078741" header="0.23622047244094491" footer="0.19685039370078741"/>
  <pageSetup scale="7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sheetPr>
  <dimension ref="A3:H23"/>
  <sheetViews>
    <sheetView view="pageBreakPreview" zoomScale="90" zoomScaleNormal="80" zoomScaleSheetLayoutView="90" workbookViewId="0">
      <selection activeCell="C11" sqref="C11"/>
    </sheetView>
  </sheetViews>
  <sheetFormatPr baseColWidth="10" defaultColWidth="11.42578125" defaultRowHeight="14.25" x14ac:dyDescent="0.2"/>
  <cols>
    <col min="1" max="1" width="15.28515625" style="1" customWidth="1"/>
    <col min="2" max="2" width="6.28515625" style="40" customWidth="1"/>
    <col min="3" max="3" width="39.42578125" style="1" customWidth="1"/>
    <col min="4" max="4" width="7.28515625" style="1" customWidth="1"/>
    <col min="5" max="5" width="10.28515625" style="1" customWidth="1"/>
    <col min="6" max="6" width="12.42578125" style="1" customWidth="1"/>
    <col min="7" max="7" width="19.85546875" style="1" customWidth="1"/>
    <col min="8" max="9" width="11.42578125" style="1"/>
    <col min="10" max="10" width="43.7109375" style="1" customWidth="1"/>
    <col min="11" max="11" width="11.42578125" style="1"/>
    <col min="12" max="12" width="13.85546875" style="1" bestFit="1" customWidth="1"/>
    <col min="13" max="14" width="11.42578125" style="1"/>
    <col min="15" max="15" width="15.5703125" style="1" bestFit="1" customWidth="1"/>
    <col min="16" max="16384" width="11.42578125" style="1"/>
  </cols>
  <sheetData>
    <row r="3" spans="1:8" ht="30" customHeight="1" x14ac:dyDescent="0.2">
      <c r="A3" s="713" t="s">
        <v>597</v>
      </c>
      <c r="B3" s="713"/>
      <c r="C3" s="713"/>
      <c r="D3" s="713"/>
      <c r="E3" s="713"/>
      <c r="F3" s="713"/>
      <c r="G3" s="713"/>
    </row>
    <row r="4" spans="1:8" ht="36.75" customHeight="1" x14ac:dyDescent="0.2">
      <c r="A4" s="710" t="s">
        <v>561</v>
      </c>
      <c r="B4" s="710"/>
      <c r="C4" s="710"/>
      <c r="D4" s="710"/>
      <c r="E4" s="710"/>
      <c r="F4" s="710"/>
      <c r="G4" s="710"/>
    </row>
    <row r="5" spans="1:8" ht="24" customHeight="1" x14ac:dyDescent="0.2">
      <c r="A5" s="711"/>
      <c r="B5" s="711"/>
      <c r="C5" s="711"/>
      <c r="D5" s="711"/>
      <c r="E5" s="711"/>
      <c r="F5" s="711"/>
      <c r="G5" s="711"/>
    </row>
    <row r="6" spans="1:8" ht="24" customHeight="1" x14ac:dyDescent="0.2">
      <c r="A6" s="714" t="s">
        <v>424</v>
      </c>
      <c r="B6" s="714"/>
      <c r="C6" s="714"/>
      <c r="D6" s="714"/>
      <c r="E6" s="714"/>
      <c r="F6" s="714"/>
      <c r="G6" s="714"/>
    </row>
    <row r="7" spans="1:8" ht="14.25" customHeight="1" thickBot="1" x14ac:dyDescent="0.25">
      <c r="B7" s="462"/>
      <c r="C7" s="3"/>
      <c r="D7" s="3"/>
      <c r="E7" s="3"/>
      <c r="F7" s="3"/>
      <c r="G7" s="3"/>
    </row>
    <row r="8" spans="1:8" ht="39.75" customHeight="1" thickBot="1" x14ac:dyDescent="0.25">
      <c r="A8" s="111" t="s">
        <v>8</v>
      </c>
      <c r="B8" s="392" t="s">
        <v>9</v>
      </c>
      <c r="C8" s="6" t="s">
        <v>10</v>
      </c>
      <c r="D8" s="6" t="s">
        <v>11</v>
      </c>
      <c r="E8" s="6" t="s">
        <v>12</v>
      </c>
      <c r="F8" s="4" t="s">
        <v>13</v>
      </c>
      <c r="G8" s="7" t="s">
        <v>14</v>
      </c>
    </row>
    <row r="9" spans="1:8" ht="15" x14ac:dyDescent="0.25">
      <c r="A9" s="398"/>
      <c r="B9" s="393">
        <v>1</v>
      </c>
      <c r="C9" s="394" t="s">
        <v>55</v>
      </c>
      <c r="D9" s="395"/>
      <c r="E9" s="395"/>
      <c r="F9" s="396"/>
      <c r="G9" s="397" t="e">
        <f>SUM(G10:G16)</f>
        <v>#REF!</v>
      </c>
    </row>
    <row r="10" spans="1:8" ht="28.5" x14ac:dyDescent="0.2">
      <c r="A10" s="443" t="str">
        <f>'[4]Presupuesto Obra'!A37</f>
        <v>801, 803, 806, 814, 815</v>
      </c>
      <c r="B10" s="82">
        <v>1.1000000000000001</v>
      </c>
      <c r="C10" s="83" t="s">
        <v>576</v>
      </c>
      <c r="D10" s="14" t="s">
        <v>19</v>
      </c>
      <c r="E10" s="523">
        <f>+'Presupuesto Obra_ANR'!E41</f>
        <v>1182</v>
      </c>
      <c r="F10" s="539" t="e">
        <f>#REF!</f>
        <v>#REF!</v>
      </c>
      <c r="G10" s="17" t="e">
        <f>E10*F10</f>
        <v>#REF!</v>
      </c>
      <c r="H10" s="41"/>
    </row>
    <row r="11" spans="1:8" x14ac:dyDescent="0.2">
      <c r="A11" s="443" t="s">
        <v>569</v>
      </c>
      <c r="B11" s="82">
        <v>1.2</v>
      </c>
      <c r="C11" s="32" t="s">
        <v>577</v>
      </c>
      <c r="D11" s="14" t="s">
        <v>19</v>
      </c>
      <c r="E11" s="523">
        <f>+'Presupuesto Obra_ANR'!E42</f>
        <v>1337.1882049258045</v>
      </c>
      <c r="F11" s="539" t="e">
        <f>#REF!</f>
        <v>#REF!</v>
      </c>
      <c r="G11" s="17" t="e">
        <f t="shared" ref="G11:G16" si="0">E11*F11</f>
        <v>#REF!</v>
      </c>
      <c r="H11" s="41"/>
    </row>
    <row r="12" spans="1:8" x14ac:dyDescent="0.2">
      <c r="A12" s="443" t="s">
        <v>570</v>
      </c>
      <c r="B12" s="82">
        <v>1.3</v>
      </c>
      <c r="C12" s="32" t="s">
        <v>152</v>
      </c>
      <c r="D12" s="39" t="s">
        <v>21</v>
      </c>
      <c r="E12" s="523">
        <f>+'Presupuesto Obra_ANR'!E43</f>
        <v>197</v>
      </c>
      <c r="F12" s="539" t="e">
        <f>#REF!</f>
        <v>#REF!</v>
      </c>
      <c r="G12" s="17" t="e">
        <f t="shared" si="0"/>
        <v>#REF!</v>
      </c>
    </row>
    <row r="13" spans="1:8" x14ac:dyDescent="0.2">
      <c r="A13" s="443" t="s">
        <v>570</v>
      </c>
      <c r="B13" s="82">
        <v>1.4</v>
      </c>
      <c r="C13" s="32" t="s">
        <v>467</v>
      </c>
      <c r="D13" s="39" t="s">
        <v>21</v>
      </c>
      <c r="E13" s="523">
        <f>+'Presupuesto Obra_ANR'!E44</f>
        <v>512.20000000000005</v>
      </c>
      <c r="F13" s="539" t="e">
        <f>#REF!</f>
        <v>#REF!</v>
      </c>
      <c r="G13" s="17" t="e">
        <f t="shared" si="0"/>
        <v>#REF!</v>
      </c>
    </row>
    <row r="14" spans="1:8" x14ac:dyDescent="0.2">
      <c r="A14" s="443" t="s">
        <v>570</v>
      </c>
      <c r="B14" s="82">
        <v>1.5</v>
      </c>
      <c r="C14" s="342" t="s">
        <v>574</v>
      </c>
      <c r="D14" s="39" t="s">
        <v>21</v>
      </c>
      <c r="E14" s="523">
        <f>+'Presupuesto Obra_ANR'!E45</f>
        <v>157.60000000000002</v>
      </c>
      <c r="F14" s="539" t="e">
        <f>#REF!</f>
        <v>#REF!</v>
      </c>
      <c r="G14" s="17" t="e">
        <f t="shared" si="0"/>
        <v>#REF!</v>
      </c>
    </row>
    <row r="15" spans="1:8" ht="15" customHeight="1" x14ac:dyDescent="0.2">
      <c r="A15" s="443" t="s">
        <v>570</v>
      </c>
      <c r="B15" s="82">
        <v>1.6</v>
      </c>
      <c r="C15" s="342" t="s">
        <v>573</v>
      </c>
      <c r="D15" s="39" t="s">
        <v>21</v>
      </c>
      <c r="E15" s="523">
        <f>+'Presupuesto Obra_ANR'!E46</f>
        <v>59.099999999999994</v>
      </c>
      <c r="F15" s="540" t="e">
        <f>#REF!</f>
        <v>#REF!</v>
      </c>
      <c r="G15" s="17" t="e">
        <f t="shared" si="0"/>
        <v>#REF!</v>
      </c>
    </row>
    <row r="16" spans="1:8" x14ac:dyDescent="0.2">
      <c r="A16" s="443" t="s">
        <v>570</v>
      </c>
      <c r="B16" s="82">
        <v>1.7</v>
      </c>
      <c r="C16" s="342" t="s">
        <v>575</v>
      </c>
      <c r="D16" s="39" t="s">
        <v>21</v>
      </c>
      <c r="E16" s="523">
        <f>+'Presupuesto Obra_ANR'!E47</f>
        <v>59.099999999999994</v>
      </c>
      <c r="F16" s="539" t="e">
        <f>#REF!</f>
        <v>#REF!</v>
      </c>
      <c r="G16" s="17" t="e">
        <f t="shared" si="0"/>
        <v>#REF!</v>
      </c>
    </row>
    <row r="17" spans="1:7" ht="15.75" thickBot="1" x14ac:dyDescent="0.3">
      <c r="A17" s="61"/>
      <c r="B17" s="715" t="s">
        <v>340</v>
      </c>
      <c r="C17" s="716"/>
      <c r="D17" s="716"/>
      <c r="E17" s="717"/>
      <c r="F17" s="521"/>
      <c r="G17" s="522" t="e">
        <f>ROUND(+G9,0)</f>
        <v>#REF!</v>
      </c>
    </row>
    <row r="23" spans="1:7" x14ac:dyDescent="0.2">
      <c r="E23" s="122"/>
    </row>
  </sheetData>
  <mergeCells count="5">
    <mergeCell ref="A3:G3"/>
    <mergeCell ref="A4:G4"/>
    <mergeCell ref="A5:G5"/>
    <mergeCell ref="A6:G6"/>
    <mergeCell ref="B17:E17"/>
  </mergeCells>
  <printOptions horizontalCentered="1"/>
  <pageMargins left="0.28999999999999998" right="0.38" top="0.77" bottom="0.74803149606299213" header="0.31496062992125984" footer="0.31496062992125984"/>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46"/>
  <sheetViews>
    <sheetView view="pageBreakPreview" zoomScale="80" zoomScaleNormal="90" zoomScaleSheetLayoutView="80" workbookViewId="0">
      <pane xSplit="9" ySplit="1" topLeftCell="J2" activePane="bottomRight" state="frozen"/>
      <selection activeCell="AD38" sqref="AD38"/>
      <selection pane="topRight" activeCell="AD38" sqref="AD38"/>
      <selection pane="bottomLeft" activeCell="AD38" sqref="AD38"/>
      <selection pane="bottomRight" activeCell="S19" sqref="S19"/>
    </sheetView>
  </sheetViews>
  <sheetFormatPr baseColWidth="10" defaultColWidth="7.7109375" defaultRowHeight="12.75" x14ac:dyDescent="0.25"/>
  <cols>
    <col min="1" max="3" width="3.42578125" style="358" bestFit="1" customWidth="1"/>
    <col min="4" max="4" width="18.85546875" style="325" customWidth="1"/>
    <col min="5" max="6" width="7.7109375" style="369" customWidth="1"/>
    <col min="7" max="7" width="9.28515625" style="369" customWidth="1"/>
    <col min="8" max="8" width="9.28515625" style="362" customWidth="1"/>
    <col min="9" max="9" width="15.5703125" style="325" customWidth="1"/>
    <col min="10" max="11" width="6.42578125" style="361" customWidth="1"/>
    <col min="12" max="12" width="6.5703125" style="369" customWidth="1"/>
    <col min="13" max="13" width="6.5703125" style="371" customWidth="1"/>
    <col min="14" max="14" width="7.28515625" style="358" customWidth="1"/>
    <col min="15" max="16" width="6.5703125" style="358" customWidth="1"/>
    <col min="17" max="17" width="6.42578125" style="420" customWidth="1"/>
    <col min="18" max="19" width="7.7109375" style="358" customWidth="1"/>
    <col min="20" max="20" width="6.5703125" style="363" customWidth="1"/>
    <col min="21" max="21" width="9.5703125" style="363" customWidth="1"/>
    <col min="22" max="22" width="7" style="363" customWidth="1"/>
    <col min="23" max="23" width="7.7109375" style="358" customWidth="1"/>
    <col min="24" max="24" width="7.5703125" style="358" customWidth="1"/>
    <col min="25" max="25" width="7.7109375" style="358" customWidth="1"/>
    <col min="26" max="30" width="7.7109375" style="363" customWidth="1"/>
    <col min="31" max="31" width="5.28515625" style="407" customWidth="1"/>
    <col min="32" max="33" width="6.140625" style="407" customWidth="1"/>
    <col min="34" max="36" width="6.140625" style="406" customWidth="1"/>
    <col min="37" max="40" width="7.7109375" style="406"/>
    <col min="41" max="41" width="7.7109375" style="364"/>
    <col min="42" max="42" width="7.7109375" style="406"/>
    <col min="43" max="16384" width="7.7109375" style="363"/>
  </cols>
  <sheetData>
    <row r="1" spans="1:44" ht="15.75" x14ac:dyDescent="0.25">
      <c r="A1" s="354"/>
      <c r="B1" s="354"/>
      <c r="C1" s="354"/>
      <c r="D1" s="700" t="s">
        <v>404</v>
      </c>
      <c r="E1" s="700"/>
      <c r="F1" s="700"/>
      <c r="G1" s="700"/>
      <c r="H1" s="700"/>
      <c r="I1" s="700"/>
      <c r="J1" s="700"/>
      <c r="K1" s="700"/>
      <c r="L1" s="700"/>
      <c r="M1" s="700"/>
      <c r="N1" s="700"/>
      <c r="O1" s="700"/>
      <c r="P1" s="700"/>
      <c r="Q1" s="700"/>
      <c r="R1" s="700"/>
      <c r="S1" s="700"/>
      <c r="T1" s="700"/>
      <c r="U1" s="700"/>
      <c r="V1" s="700"/>
      <c r="W1" s="700"/>
      <c r="X1" s="700"/>
      <c r="Y1" s="700"/>
      <c r="Z1" s="700"/>
      <c r="AA1" s="700"/>
      <c r="AB1" s="700"/>
      <c r="AC1" s="700"/>
      <c r="AD1" s="700"/>
      <c r="AE1" s="700"/>
      <c r="AF1" s="700"/>
      <c r="AG1" s="700"/>
      <c r="AH1" s="700"/>
      <c r="AI1" s="700"/>
      <c r="AJ1" s="700"/>
    </row>
    <row r="2" spans="1:44" s="358" customFormat="1" ht="145.5" customHeight="1" x14ac:dyDescent="0.25">
      <c r="A2" s="455" t="s">
        <v>367</v>
      </c>
      <c r="B2" s="456" t="s">
        <v>502</v>
      </c>
      <c r="C2" s="455" t="s">
        <v>403</v>
      </c>
      <c r="D2" s="455" t="s">
        <v>0</v>
      </c>
      <c r="E2" s="457" t="s">
        <v>2</v>
      </c>
      <c r="F2" s="457" t="s">
        <v>3</v>
      </c>
      <c r="G2" s="457" t="s">
        <v>5</v>
      </c>
      <c r="H2" s="458" t="s">
        <v>327</v>
      </c>
      <c r="I2" s="455" t="s">
        <v>405</v>
      </c>
      <c r="J2" s="459" t="s">
        <v>2</v>
      </c>
      <c r="K2" s="459" t="s">
        <v>3</v>
      </c>
      <c r="L2" s="457" t="s">
        <v>5</v>
      </c>
      <c r="M2" s="457" t="s">
        <v>328</v>
      </c>
      <c r="N2" s="451" t="s">
        <v>1</v>
      </c>
      <c r="O2" s="451" t="s">
        <v>406</v>
      </c>
      <c r="P2" s="451" t="s">
        <v>355</v>
      </c>
      <c r="Q2" s="452" t="s">
        <v>6</v>
      </c>
      <c r="R2" s="451" t="s">
        <v>407</v>
      </c>
      <c r="S2" s="451" t="s">
        <v>408</v>
      </c>
      <c r="T2" s="451" t="s">
        <v>4</v>
      </c>
      <c r="U2" s="451" t="s">
        <v>138</v>
      </c>
      <c r="V2" s="451" t="s">
        <v>137</v>
      </c>
      <c r="W2" s="451" t="s">
        <v>409</v>
      </c>
      <c r="X2" s="451" t="s">
        <v>410</v>
      </c>
      <c r="Y2" s="451" t="s">
        <v>411</v>
      </c>
      <c r="Z2" s="451" t="s">
        <v>412</v>
      </c>
      <c r="AA2" s="451" t="s">
        <v>413</v>
      </c>
      <c r="AB2" s="451" t="s">
        <v>358</v>
      </c>
      <c r="AC2" s="451" t="s">
        <v>359</v>
      </c>
      <c r="AD2" s="451" t="s">
        <v>360</v>
      </c>
      <c r="AE2" s="460" t="s">
        <v>414</v>
      </c>
      <c r="AF2" s="460" t="s">
        <v>131</v>
      </c>
      <c r="AG2" s="460" t="s">
        <v>133</v>
      </c>
      <c r="AH2" s="460" t="s">
        <v>134</v>
      </c>
      <c r="AI2" s="460" t="s">
        <v>135</v>
      </c>
      <c r="AJ2" s="460" t="s">
        <v>136</v>
      </c>
      <c r="AK2" s="461" t="s">
        <v>459</v>
      </c>
      <c r="AL2" s="460" t="s">
        <v>454</v>
      </c>
      <c r="AM2" s="460" t="s">
        <v>455</v>
      </c>
      <c r="AN2" s="460" t="s">
        <v>456</v>
      </c>
      <c r="AO2" s="460" t="s">
        <v>468</v>
      </c>
      <c r="AP2" s="461" t="s">
        <v>509</v>
      </c>
      <c r="AQ2" s="415"/>
      <c r="AR2" s="423"/>
    </row>
    <row r="3" spans="1:44" s="358" customFormat="1" ht="16.5" customHeight="1" x14ac:dyDescent="0.25">
      <c r="A3" s="357"/>
      <c r="B3" s="355"/>
      <c r="C3" s="355"/>
      <c r="D3" s="350" t="s">
        <v>453</v>
      </c>
      <c r="E3" s="368"/>
      <c r="F3" s="368"/>
      <c r="G3" s="368"/>
      <c r="H3" s="352"/>
      <c r="I3" s="351"/>
      <c r="J3" s="351"/>
      <c r="K3" s="351"/>
      <c r="L3" s="368"/>
      <c r="M3" s="368"/>
      <c r="N3" s="353"/>
      <c r="O3" s="353"/>
      <c r="P3" s="353"/>
      <c r="Q3" s="353"/>
      <c r="R3" s="353"/>
      <c r="S3" s="353"/>
      <c r="T3" s="353"/>
      <c r="U3" s="353"/>
      <c r="V3" s="353"/>
      <c r="W3" s="353"/>
      <c r="X3" s="353"/>
      <c r="Y3" s="353"/>
      <c r="Z3" s="353"/>
      <c r="AA3" s="353"/>
      <c r="AB3" s="353"/>
      <c r="AC3" s="353"/>
      <c r="AD3" s="353"/>
      <c r="AE3" s="408"/>
      <c r="AF3" s="408"/>
      <c r="AG3" s="408"/>
      <c r="AH3" s="408"/>
      <c r="AI3" s="408"/>
      <c r="AJ3" s="408"/>
      <c r="AK3" s="407"/>
      <c r="AL3" s="407"/>
      <c r="AM3" s="407"/>
      <c r="AN3" s="407"/>
      <c r="AO3" s="360"/>
      <c r="AP3" s="407"/>
    </row>
    <row r="4" spans="1:44" x14ac:dyDescent="0.25">
      <c r="A4" s="357">
        <v>1</v>
      </c>
      <c r="B4" s="348">
        <v>1</v>
      </c>
      <c r="C4" s="348">
        <f>Cantidades_MATA!A5</f>
        <v>1</v>
      </c>
      <c r="D4" s="348" t="str">
        <f>Cantidades_MATA!B5</f>
        <v>APA_MDGSC020</v>
      </c>
      <c r="E4" s="356">
        <f>Cantidades_MATA!H5</f>
        <v>21.9</v>
      </c>
      <c r="F4" s="356">
        <f>Cantidades_MATA!E5</f>
        <v>21.1</v>
      </c>
      <c r="G4" s="356">
        <f t="shared" ref="G4:G34" si="0">+E4-F4</f>
        <v>0.79999999999999716</v>
      </c>
      <c r="H4" s="356">
        <f t="shared" ref="H4:H34" si="1">+G4-O4/1000</f>
        <v>0.5999999999999972</v>
      </c>
      <c r="I4" s="405" t="str">
        <f>Cantidades_MATA!C5</f>
        <v>APA_MDGSC021</v>
      </c>
      <c r="J4" s="356">
        <f>Cantidades_MATA!I5</f>
        <v>21.89</v>
      </c>
      <c r="K4" s="356">
        <f>Cantidades_MATA!F5</f>
        <v>20.79</v>
      </c>
      <c r="L4" s="356">
        <f t="shared" ref="L4:L32" si="2">+J4-K4</f>
        <v>1.1000000000000014</v>
      </c>
      <c r="M4" s="356">
        <f t="shared" ref="M4:M32" si="3">+L4-O4/1000</f>
        <v>0.90000000000000147</v>
      </c>
      <c r="N4" s="349">
        <f>Cantidades_MATA!D5</f>
        <v>45.249716452712967</v>
      </c>
      <c r="O4" s="348">
        <f>Cantidades_MATA!G5</f>
        <v>200</v>
      </c>
      <c r="P4" s="348" t="s">
        <v>356</v>
      </c>
      <c r="Q4" s="453">
        <f>+(G4+L4)/2</f>
        <v>0.94999999999999929</v>
      </c>
      <c r="R4" s="374">
        <f>IF(Q4&lt;=1,1.1,IF(Q4&lt;=2,1.4,IF(Q4&gt;2,1.7)))</f>
        <v>1.1000000000000001</v>
      </c>
      <c r="S4" s="374">
        <v>1.1000000000000001</v>
      </c>
      <c r="T4" s="348">
        <f>+(R4+S4)/2</f>
        <v>1.1000000000000001</v>
      </c>
      <c r="U4" s="349">
        <f>IF(Q4&gt;1.5,Q4*N4*2,0)</f>
        <v>0</v>
      </c>
      <c r="V4" s="349"/>
      <c r="W4" s="349">
        <f>IF(Q4&gt;2,2*N4*T4,Q4*T4*N4)+(Y4*0.8*0.5)</f>
        <v>66.485953693085023</v>
      </c>
      <c r="X4" s="349">
        <f>IF(Q4&gt;2,(Q4-2)*T4*N4,0)</f>
        <v>0</v>
      </c>
      <c r="Y4" s="348">
        <f t="shared" ref="Y4:Y34" si="4">SUM(AF4:AJ4)*6</f>
        <v>48</v>
      </c>
      <c r="Z4" s="349">
        <f>N4</f>
        <v>45.249716452712967</v>
      </c>
      <c r="AA4" s="348"/>
      <c r="AB4" s="348"/>
      <c r="AC4" s="348"/>
      <c r="AD4" s="348"/>
      <c r="AE4" s="413"/>
      <c r="AF4" s="413">
        <v>8</v>
      </c>
      <c r="AG4" s="413"/>
      <c r="AH4" s="413"/>
      <c r="AI4" s="413"/>
      <c r="AJ4" s="413"/>
      <c r="AK4" s="410">
        <v>1</v>
      </c>
      <c r="AL4" s="370">
        <f>((((1.2+0.4)^2*PI()))/4)*(AP4+0.1)</f>
        <v>1.005309649148731</v>
      </c>
      <c r="AM4" s="370"/>
      <c r="AN4" s="370">
        <f t="shared" ref="AN4:AN11" si="5">+G4</f>
        <v>0.79999999999999716</v>
      </c>
      <c r="AO4" s="410"/>
      <c r="AP4" s="410">
        <f>21.5-21.1</f>
        <v>0.39999999999999858</v>
      </c>
    </row>
    <row r="5" spans="1:44" s="358" customFormat="1" ht="16.5" customHeight="1" x14ac:dyDescent="0.25">
      <c r="A5" s="357">
        <v>1</v>
      </c>
      <c r="B5" s="355">
        <v>1</v>
      </c>
      <c r="C5" s="348">
        <f>Cantidades_MATA!A6</f>
        <v>2</v>
      </c>
      <c r="D5" s="348" t="str">
        <f>Cantidades_MATA!B6</f>
        <v>APA_MDGSC012</v>
      </c>
      <c r="E5" s="356">
        <f>Cantidades_MATA!H6</f>
        <v>22.11</v>
      </c>
      <c r="F5" s="356">
        <f>Cantidades_MATA!E6</f>
        <v>21</v>
      </c>
      <c r="G5" s="356">
        <f t="shared" si="0"/>
        <v>1.1099999999999994</v>
      </c>
      <c r="H5" s="356">
        <f t="shared" si="1"/>
        <v>0.90999999999999948</v>
      </c>
      <c r="I5" s="405" t="str">
        <f>Cantidades_MATA!C6</f>
        <v>APA_MDGSC013</v>
      </c>
      <c r="J5" s="356">
        <f>Cantidades_MATA!I6</f>
        <v>22.02</v>
      </c>
      <c r="K5" s="356">
        <f>Cantidades_MATA!F6</f>
        <v>20.59</v>
      </c>
      <c r="L5" s="356">
        <f t="shared" si="2"/>
        <v>1.4299999999999997</v>
      </c>
      <c r="M5" s="356">
        <f t="shared" si="3"/>
        <v>1.2299999999999998</v>
      </c>
      <c r="N5" s="349">
        <f>Cantidades_MATA!D6</f>
        <v>59.483931040239248</v>
      </c>
      <c r="O5" s="348">
        <f>Cantidades_MATA!G6</f>
        <v>200</v>
      </c>
      <c r="P5" s="348" t="s">
        <v>356</v>
      </c>
      <c r="Q5" s="453">
        <f t="shared" ref="Q5" si="6">+(G5+L5)/2</f>
        <v>1.2699999999999996</v>
      </c>
      <c r="R5" s="374">
        <f t="shared" ref="R5:R32" si="7">IF(Q5&lt;=1,1.1,IF(Q5&lt;=2,1.4,IF(Q5&gt;2,1.7)))</f>
        <v>1.4</v>
      </c>
      <c r="S5" s="374">
        <v>1.1000000000000001</v>
      </c>
      <c r="T5" s="348">
        <f>+(R5+S5)/2</f>
        <v>1.25</v>
      </c>
      <c r="U5" s="349">
        <f t="shared" ref="U5:U32" si="8">IF(Q5&gt;1.5,Q5*N5*2,0)</f>
        <v>0</v>
      </c>
      <c r="V5" s="349"/>
      <c r="W5" s="349">
        <f t="shared" ref="W5:W20" si="9">IF(Q5&gt;2,2*N5*T5,Q5*T5*N5)+(Y5*0.8*0.5)</f>
        <v>111.23074052637978</v>
      </c>
      <c r="X5" s="349">
        <f t="shared" ref="X5:X20" si="10">IF(Q5&gt;2,(Q5-2)*T5*N5,0)</f>
        <v>0</v>
      </c>
      <c r="Y5" s="348">
        <f t="shared" si="4"/>
        <v>42</v>
      </c>
      <c r="Z5" s="349">
        <f>N5</f>
        <v>59.483931040239248</v>
      </c>
      <c r="AA5" s="348"/>
      <c r="AB5" s="348"/>
      <c r="AC5" s="348"/>
      <c r="AD5" s="348"/>
      <c r="AE5" s="413"/>
      <c r="AF5" s="413">
        <v>7</v>
      </c>
      <c r="AG5" s="411"/>
      <c r="AH5" s="411"/>
      <c r="AI5" s="411"/>
      <c r="AJ5" s="411"/>
      <c r="AK5" s="413">
        <v>1</v>
      </c>
      <c r="AL5" s="370">
        <f>((((1.2+0.4)^2*PI()))/4)*(AP5+0.1)</f>
        <v>0.80424771931898853</v>
      </c>
      <c r="AM5" s="370"/>
      <c r="AN5" s="370">
        <f t="shared" si="5"/>
        <v>1.1099999999999994</v>
      </c>
      <c r="AO5" s="413"/>
      <c r="AP5" s="413">
        <f>21.3-21</f>
        <v>0.30000000000000071</v>
      </c>
    </row>
    <row r="6" spans="1:44" s="358" customFormat="1" ht="16.5" customHeight="1" x14ac:dyDescent="0.25">
      <c r="A6" s="357">
        <v>1</v>
      </c>
      <c r="B6" s="355">
        <v>1</v>
      </c>
      <c r="C6" s="348">
        <f>Cantidades_MATA!A7</f>
        <v>3</v>
      </c>
      <c r="D6" s="348" t="str">
        <f>Cantidades_MATA!B7</f>
        <v>APA_MDGSC015</v>
      </c>
      <c r="E6" s="356">
        <f>Cantidades_MATA!H7</f>
        <v>22.06</v>
      </c>
      <c r="F6" s="356">
        <f>Cantidades_MATA!E7</f>
        <v>20.96</v>
      </c>
      <c r="G6" s="356">
        <f t="shared" si="0"/>
        <v>1.0999999999999979</v>
      </c>
      <c r="H6" s="356">
        <f t="shared" si="1"/>
        <v>0.89999999999999791</v>
      </c>
      <c r="I6" s="405" t="str">
        <f>Cantidades_MATA!C7</f>
        <v>APA_MDGSC016</v>
      </c>
      <c r="J6" s="356">
        <f>Cantidades_MATA!I7</f>
        <v>22.03</v>
      </c>
      <c r="K6" s="356">
        <f>Cantidades_MATA!F7</f>
        <v>20.45</v>
      </c>
      <c r="L6" s="356">
        <f t="shared" si="2"/>
        <v>1.5800000000000018</v>
      </c>
      <c r="M6" s="356">
        <f t="shared" si="3"/>
        <v>1.3800000000000019</v>
      </c>
      <c r="N6" s="349">
        <f>Cantidades_MATA!D7</f>
        <v>60.02499420249903</v>
      </c>
      <c r="O6" s="348">
        <f>Cantidades_MATA!G7</f>
        <v>200</v>
      </c>
      <c r="P6" s="348" t="s">
        <v>356</v>
      </c>
      <c r="Q6" s="553">
        <f t="shared" ref="Q6:Q11" si="11">+(G6+L6)/2</f>
        <v>1.3399999999999999</v>
      </c>
      <c r="R6" s="374">
        <f t="shared" si="7"/>
        <v>1.4</v>
      </c>
      <c r="S6" s="374">
        <v>1.1000000000000001</v>
      </c>
      <c r="T6" s="348">
        <f>+(R6+S6)/2</f>
        <v>1.25</v>
      </c>
      <c r="U6" s="349">
        <f t="shared" si="8"/>
        <v>0</v>
      </c>
      <c r="V6" s="349"/>
      <c r="W6" s="349">
        <f>IF(Q6&gt;2,2*N6*T6,Q6*T6*N6)+(Y6*0.8*0.5)</f>
        <v>124.54186528918586</v>
      </c>
      <c r="X6" s="349">
        <f>IF(Q6&gt;2,(Q6-2)*T6*N6,0)</f>
        <v>0</v>
      </c>
      <c r="Y6" s="348">
        <f t="shared" si="4"/>
        <v>60</v>
      </c>
      <c r="Z6" s="349">
        <f>N6</f>
        <v>60.02499420249903</v>
      </c>
      <c r="AA6" s="348"/>
      <c r="AB6" s="348"/>
      <c r="AC6" s="348"/>
      <c r="AD6" s="348"/>
      <c r="AE6" s="413"/>
      <c r="AF6" s="413">
        <v>10</v>
      </c>
      <c r="AG6" s="411"/>
      <c r="AH6" s="411"/>
      <c r="AI6" s="411"/>
      <c r="AJ6" s="411"/>
      <c r="AK6" s="413">
        <v>1</v>
      </c>
      <c r="AL6" s="370">
        <f>((((1.2+0.4)^2*PI()))/4)*(AP6+0.1)</f>
        <v>0.76403533335303286</v>
      </c>
      <c r="AM6" s="413"/>
      <c r="AN6" s="370">
        <f t="shared" si="5"/>
        <v>1.0999999999999979</v>
      </c>
      <c r="AO6" s="413"/>
      <c r="AP6" s="413">
        <f>21.24-20.96</f>
        <v>0.27999999999999758</v>
      </c>
    </row>
    <row r="7" spans="1:44" s="358" customFormat="1" ht="16.7" customHeight="1" x14ac:dyDescent="0.25">
      <c r="A7" s="357">
        <v>1</v>
      </c>
      <c r="B7" s="355">
        <v>1</v>
      </c>
      <c r="C7" s="348">
        <f>Cantidades_MATA!A8</f>
        <v>4</v>
      </c>
      <c r="D7" s="348" t="str">
        <f>Cantidades_MATA!B8</f>
        <v>APA_MDGSC019</v>
      </c>
      <c r="E7" s="356">
        <f>Cantidades_MATA!H8</f>
        <v>22.01</v>
      </c>
      <c r="F7" s="356">
        <f>Cantidades_MATA!E8</f>
        <v>20.91</v>
      </c>
      <c r="G7" s="356">
        <f t="shared" si="0"/>
        <v>1.1000000000000014</v>
      </c>
      <c r="H7" s="356">
        <f t="shared" si="1"/>
        <v>0.90000000000000147</v>
      </c>
      <c r="I7" s="405" t="str">
        <f>Cantidades_MATA!C8</f>
        <v>APA_MDGSC021</v>
      </c>
      <c r="J7" s="356">
        <f>Cantidades_MATA!I8</f>
        <v>21.89</v>
      </c>
      <c r="K7" s="356">
        <f>Cantidades_MATA!F8</f>
        <v>20.59</v>
      </c>
      <c r="L7" s="356">
        <f t="shared" si="2"/>
        <v>1.3000000000000007</v>
      </c>
      <c r="M7" s="356">
        <f t="shared" si="3"/>
        <v>1.1000000000000008</v>
      </c>
      <c r="N7" s="349">
        <f>Cantidades_MATA!D8</f>
        <v>46.954489595461141</v>
      </c>
      <c r="O7" s="348">
        <f>Cantidades_MATA!G8</f>
        <v>200</v>
      </c>
      <c r="P7" s="348" t="s">
        <v>356</v>
      </c>
      <c r="Q7" s="453">
        <f t="shared" si="11"/>
        <v>1.2000000000000011</v>
      </c>
      <c r="R7" s="374">
        <f t="shared" si="7"/>
        <v>1.4</v>
      </c>
      <c r="S7" s="374">
        <v>1.1000000000000001</v>
      </c>
      <c r="T7" s="348">
        <f t="shared" ref="T7:T15" si="12">+(R7+S7)/2</f>
        <v>1.25</v>
      </c>
      <c r="U7" s="349">
        <f t="shared" si="8"/>
        <v>0</v>
      </c>
      <c r="V7" s="349"/>
      <c r="W7" s="349">
        <f t="shared" si="9"/>
        <v>96.83173439319178</v>
      </c>
      <c r="X7" s="349">
        <f t="shared" si="10"/>
        <v>0</v>
      </c>
      <c r="Y7" s="348">
        <f t="shared" si="4"/>
        <v>66</v>
      </c>
      <c r="Z7" s="349">
        <f>N7</f>
        <v>46.954489595461141</v>
      </c>
      <c r="AA7" s="348"/>
      <c r="AB7" s="348"/>
      <c r="AC7" s="348"/>
      <c r="AD7" s="348"/>
      <c r="AE7" s="413"/>
      <c r="AF7" s="413">
        <v>11</v>
      </c>
      <c r="AG7" s="411"/>
      <c r="AH7" s="411"/>
      <c r="AI7" s="411"/>
      <c r="AJ7" s="411"/>
      <c r="AK7" s="413">
        <v>1</v>
      </c>
      <c r="AL7" s="370">
        <f>((((1.2+0.4)^2*PI()))/4)*(AP7+0.1)</f>
        <v>0.80424771931898853</v>
      </c>
      <c r="AM7" s="413"/>
      <c r="AN7" s="370">
        <f t="shared" si="5"/>
        <v>1.1000000000000014</v>
      </c>
      <c r="AO7" s="413">
        <v>1</v>
      </c>
      <c r="AP7" s="413">
        <f>21.21-20.91</f>
        <v>0.30000000000000071</v>
      </c>
    </row>
    <row r="8" spans="1:44" s="358" customFormat="1" ht="16.7" customHeight="1" x14ac:dyDescent="0.25">
      <c r="A8" s="357">
        <v>1</v>
      </c>
      <c r="B8" s="355">
        <v>1</v>
      </c>
      <c r="C8" s="348">
        <f>Cantidades_MATA!A9</f>
        <v>5</v>
      </c>
      <c r="D8" s="348" t="str">
        <f>Cantidades_MATA!B9</f>
        <v>APA_MDGSC006</v>
      </c>
      <c r="E8" s="356">
        <f>Cantidades_MATA!H9</f>
        <v>22.32</v>
      </c>
      <c r="F8" s="356">
        <f>Cantidades_MATA!E9</f>
        <v>21.52</v>
      </c>
      <c r="G8" s="356">
        <f t="shared" si="0"/>
        <v>0.80000000000000071</v>
      </c>
      <c r="H8" s="356">
        <f t="shared" si="1"/>
        <v>0.60000000000000075</v>
      </c>
      <c r="I8" s="405" t="str">
        <f>Cantidades_MATA!C9</f>
        <v>APA_MDGSC005</v>
      </c>
      <c r="J8" s="356">
        <f>Cantidades_MATA!I9</f>
        <v>22.64</v>
      </c>
      <c r="K8" s="356">
        <f>Cantidades_MATA!F9</f>
        <v>21.06</v>
      </c>
      <c r="L8" s="356">
        <f t="shared" si="2"/>
        <v>1.5800000000000018</v>
      </c>
      <c r="M8" s="356">
        <f t="shared" si="3"/>
        <v>1.3800000000000019</v>
      </c>
      <c r="N8" s="349">
        <f>Cantidades_MATA!D9</f>
        <v>67.820443184881526</v>
      </c>
      <c r="O8" s="348">
        <f>Cantidades_MATA!G9</f>
        <v>200</v>
      </c>
      <c r="P8" s="348" t="s">
        <v>356</v>
      </c>
      <c r="Q8" s="453">
        <f t="shared" si="11"/>
        <v>1.1900000000000013</v>
      </c>
      <c r="R8" s="374">
        <f t="shared" si="7"/>
        <v>1.4</v>
      </c>
      <c r="S8" s="374">
        <v>1.1000000000000001</v>
      </c>
      <c r="T8" s="348">
        <f t="shared" si="12"/>
        <v>1.25</v>
      </c>
      <c r="U8" s="349">
        <f t="shared" si="8"/>
        <v>0</v>
      </c>
      <c r="V8" s="349"/>
      <c r="W8" s="349">
        <f t="shared" si="9"/>
        <v>139.28290923751138</v>
      </c>
      <c r="X8" s="349">
        <f t="shared" si="10"/>
        <v>0</v>
      </c>
      <c r="Y8" s="348">
        <f t="shared" si="4"/>
        <v>96</v>
      </c>
      <c r="Z8" s="349">
        <f>N8</f>
        <v>67.820443184881526</v>
      </c>
      <c r="AA8" s="348"/>
      <c r="AB8" s="348"/>
      <c r="AC8" s="348"/>
      <c r="AD8" s="348"/>
      <c r="AE8" s="413">
        <v>1</v>
      </c>
      <c r="AF8" s="413">
        <v>16</v>
      </c>
      <c r="AG8" s="411"/>
      <c r="AH8" s="411"/>
      <c r="AI8" s="411"/>
      <c r="AJ8" s="411"/>
      <c r="AK8" s="413"/>
      <c r="AL8" s="370">
        <f>((((1.2+0.4)^2*PI()))/4)*(AN8+0.1)</f>
        <v>1.8095573684677224</v>
      </c>
      <c r="AM8" s="413"/>
      <c r="AN8" s="370">
        <f t="shared" si="5"/>
        <v>0.80000000000000071</v>
      </c>
      <c r="AO8" s="413">
        <v>1</v>
      </c>
      <c r="AP8" s="413"/>
    </row>
    <row r="9" spans="1:44" s="358" customFormat="1" ht="15.75" customHeight="1" x14ac:dyDescent="0.25">
      <c r="A9" s="357">
        <v>1</v>
      </c>
      <c r="B9" s="355">
        <v>1</v>
      </c>
      <c r="C9" s="348">
        <f>Cantidades_MATA!A10</f>
        <v>6</v>
      </c>
      <c r="D9" s="348" t="str">
        <f>Cantidades_MATA!B10</f>
        <v>APA_MDGSC007</v>
      </c>
      <c r="E9" s="356">
        <f>Cantidades_MATA!H10</f>
        <v>22.21</v>
      </c>
      <c r="F9" s="356">
        <f>Cantidades_MATA!E10</f>
        <v>21.41</v>
      </c>
      <c r="G9" s="356">
        <f t="shared" si="0"/>
        <v>0.80000000000000071</v>
      </c>
      <c r="H9" s="356">
        <f t="shared" si="1"/>
        <v>0.60000000000000075</v>
      </c>
      <c r="I9" s="405" t="str">
        <f>Cantidades_MATA!C10</f>
        <v>APA_MDGSC008</v>
      </c>
      <c r="J9" s="356">
        <f>Cantidades_MATA!I10</f>
        <v>22.25</v>
      </c>
      <c r="K9" s="356">
        <f>Cantidades_MATA!F10</f>
        <v>21.26</v>
      </c>
      <c r="L9" s="356">
        <f t="shared" si="2"/>
        <v>0.98999999999999844</v>
      </c>
      <c r="M9" s="356">
        <f t="shared" si="3"/>
        <v>0.78999999999999848</v>
      </c>
      <c r="N9" s="349">
        <f>Cantidades_MATA!D10</f>
        <v>21.806765724951241</v>
      </c>
      <c r="O9" s="348">
        <f>Cantidades_MATA!G10</f>
        <v>200</v>
      </c>
      <c r="P9" s="348" t="s">
        <v>356</v>
      </c>
      <c r="Q9" s="453">
        <f t="shared" si="11"/>
        <v>0.89499999999999957</v>
      </c>
      <c r="R9" s="374">
        <f t="shared" si="7"/>
        <v>1.1000000000000001</v>
      </c>
      <c r="S9" s="374">
        <v>1.1000000000000001</v>
      </c>
      <c r="T9" s="348">
        <f t="shared" si="12"/>
        <v>1.1000000000000001</v>
      </c>
      <c r="U9" s="349">
        <f t="shared" si="8"/>
        <v>0</v>
      </c>
      <c r="V9" s="349"/>
      <c r="W9" s="349">
        <f t="shared" si="9"/>
        <v>35.868760856214486</v>
      </c>
      <c r="X9" s="349">
        <f t="shared" si="10"/>
        <v>0</v>
      </c>
      <c r="Y9" s="348">
        <f t="shared" si="4"/>
        <v>36</v>
      </c>
      <c r="Z9" s="349">
        <f t="shared" ref="Z9:Z19" si="13">+N9</f>
        <v>21.806765724951241</v>
      </c>
      <c r="AA9" s="348"/>
      <c r="AB9" s="348"/>
      <c r="AC9" s="348"/>
      <c r="AD9" s="348"/>
      <c r="AE9" s="413">
        <v>1</v>
      </c>
      <c r="AF9" s="413">
        <f>5*1.2</f>
        <v>6</v>
      </c>
      <c r="AG9" s="411"/>
      <c r="AH9" s="411"/>
      <c r="AI9" s="411"/>
      <c r="AJ9" s="411"/>
      <c r="AK9" s="413"/>
      <c r="AL9" s="370">
        <f>((((1.2+0.4)^2*PI()))/4)*(AN9+0.1)</f>
        <v>1.8095573684677224</v>
      </c>
      <c r="AM9" s="413"/>
      <c r="AN9" s="370">
        <f t="shared" si="5"/>
        <v>0.80000000000000071</v>
      </c>
      <c r="AO9" s="413"/>
      <c r="AP9" s="413"/>
    </row>
    <row r="10" spans="1:44" s="358" customFormat="1" ht="16.5" customHeight="1" x14ac:dyDescent="0.25">
      <c r="A10" s="357">
        <v>1</v>
      </c>
      <c r="B10" s="355">
        <v>0</v>
      </c>
      <c r="C10" s="348">
        <f>Cantidades_MATA!A11</f>
        <v>7</v>
      </c>
      <c r="D10" s="348" t="str">
        <f>Cantidades_MATA!B11</f>
        <v>APA_MDGSC008</v>
      </c>
      <c r="E10" s="356">
        <f>Cantidades_MATA!H11</f>
        <v>22.25</v>
      </c>
      <c r="F10" s="356">
        <f>Cantidades_MATA!E11</f>
        <v>21.25</v>
      </c>
      <c r="G10" s="356">
        <f t="shared" si="0"/>
        <v>1</v>
      </c>
      <c r="H10" s="356">
        <f t="shared" si="1"/>
        <v>0.8</v>
      </c>
      <c r="I10" s="405" t="str">
        <f>Cantidades_MATA!C11</f>
        <v>APA_MDGSC009</v>
      </c>
      <c r="J10" s="356">
        <f>Cantidades_MATA!I11</f>
        <v>22.5</v>
      </c>
      <c r="K10" s="356">
        <f>Cantidades_MATA!F11</f>
        <v>20.93</v>
      </c>
      <c r="L10" s="356">
        <f t="shared" si="2"/>
        <v>1.5700000000000003</v>
      </c>
      <c r="M10" s="356">
        <f t="shared" si="3"/>
        <v>1.3700000000000003</v>
      </c>
      <c r="N10" s="349">
        <f>Cantidades_MATA!D11</f>
        <v>46.27007686867897</v>
      </c>
      <c r="O10" s="348">
        <f>Cantidades_MATA!G11</f>
        <v>200</v>
      </c>
      <c r="P10" s="348" t="s">
        <v>356</v>
      </c>
      <c r="Q10" s="453">
        <f t="shared" si="11"/>
        <v>1.2850000000000001</v>
      </c>
      <c r="R10" s="374">
        <f t="shared" si="7"/>
        <v>1.4</v>
      </c>
      <c r="S10" s="374">
        <v>1.1000000000000001</v>
      </c>
      <c r="T10" s="348">
        <f t="shared" si="12"/>
        <v>1.25</v>
      </c>
      <c r="U10" s="349">
        <f t="shared" si="8"/>
        <v>0</v>
      </c>
      <c r="V10" s="349"/>
      <c r="W10" s="349">
        <f t="shared" si="9"/>
        <v>88.721310970315614</v>
      </c>
      <c r="X10" s="349">
        <f t="shared" si="10"/>
        <v>0</v>
      </c>
      <c r="Y10" s="348">
        <f t="shared" si="4"/>
        <v>36</v>
      </c>
      <c r="Z10" s="349">
        <f t="shared" si="13"/>
        <v>46.27007686867897</v>
      </c>
      <c r="AA10" s="348"/>
      <c r="AB10" s="348"/>
      <c r="AC10" s="348"/>
      <c r="AD10" s="348"/>
      <c r="AE10" s="413">
        <v>1</v>
      </c>
      <c r="AF10" s="413">
        <f>5*1.2</f>
        <v>6</v>
      </c>
      <c r="AG10" s="411"/>
      <c r="AH10" s="411"/>
      <c r="AI10" s="411"/>
      <c r="AJ10" s="411"/>
      <c r="AK10" s="413"/>
      <c r="AL10" s="370">
        <f>((((1.2+0.4)^2*PI()))/4)*(AN10+0.1)</f>
        <v>2.2116812281272149</v>
      </c>
      <c r="AM10" s="413"/>
      <c r="AN10" s="370">
        <f t="shared" si="5"/>
        <v>1</v>
      </c>
      <c r="AO10" s="413">
        <v>1</v>
      </c>
      <c r="AP10" s="413"/>
    </row>
    <row r="11" spans="1:44" s="358" customFormat="1" ht="16.5" customHeight="1" x14ac:dyDescent="0.25">
      <c r="A11" s="357">
        <v>1</v>
      </c>
      <c r="B11" s="355">
        <v>1</v>
      </c>
      <c r="C11" s="348">
        <f>Cantidades_MATA!A12</f>
        <v>8</v>
      </c>
      <c r="D11" s="348" t="str">
        <f>Cantidades_MATA!B12</f>
        <v>APA_MDGSC014</v>
      </c>
      <c r="E11" s="356">
        <f>Cantidades_MATA!H12</f>
        <v>21.99</v>
      </c>
      <c r="F11" s="356">
        <f>Cantidades_MATA!E12</f>
        <v>21.02</v>
      </c>
      <c r="G11" s="356">
        <f t="shared" si="0"/>
        <v>0.96999999999999886</v>
      </c>
      <c r="H11" s="356">
        <f t="shared" si="1"/>
        <v>0.76999999999999891</v>
      </c>
      <c r="I11" s="405" t="str">
        <f>Cantidades_MATA!C12</f>
        <v>APA_MDGSC013</v>
      </c>
      <c r="J11" s="356">
        <f>Cantidades_MATA!I12</f>
        <v>22.02</v>
      </c>
      <c r="K11" s="356">
        <f>Cantidades_MATA!F12</f>
        <v>20.59</v>
      </c>
      <c r="L11" s="356">
        <f t="shared" si="2"/>
        <v>1.4299999999999997</v>
      </c>
      <c r="M11" s="356">
        <f t="shared" si="3"/>
        <v>1.2299999999999998</v>
      </c>
      <c r="N11" s="349">
        <f>Cantidades_MATA!D12</f>
        <v>62.407768772990551</v>
      </c>
      <c r="O11" s="348">
        <f>Cantidades_MATA!G12</f>
        <v>200</v>
      </c>
      <c r="P11" s="348" t="s">
        <v>356</v>
      </c>
      <c r="Q11" s="453">
        <f t="shared" si="11"/>
        <v>1.1999999999999993</v>
      </c>
      <c r="R11" s="374">
        <f t="shared" si="7"/>
        <v>1.4</v>
      </c>
      <c r="S11" s="374">
        <v>1.1000000000000001</v>
      </c>
      <c r="T11" s="348">
        <f t="shared" si="12"/>
        <v>1.25</v>
      </c>
      <c r="U11" s="349">
        <f t="shared" si="8"/>
        <v>0</v>
      </c>
      <c r="V11" s="349"/>
      <c r="W11" s="349">
        <f t="shared" si="9"/>
        <v>120.01165315948577</v>
      </c>
      <c r="X11" s="349">
        <f t="shared" si="10"/>
        <v>0</v>
      </c>
      <c r="Y11" s="348">
        <f t="shared" si="4"/>
        <v>66</v>
      </c>
      <c r="Z11" s="349">
        <f t="shared" si="13"/>
        <v>62.407768772990551</v>
      </c>
      <c r="AA11" s="348"/>
      <c r="AB11" s="348"/>
      <c r="AC11" s="348"/>
      <c r="AD11" s="348"/>
      <c r="AE11" s="413"/>
      <c r="AF11" s="413">
        <v>11</v>
      </c>
      <c r="AG11" s="411"/>
      <c r="AH11" s="411"/>
      <c r="AI11" s="411"/>
      <c r="AJ11" s="411"/>
      <c r="AK11" s="413">
        <v>1</v>
      </c>
      <c r="AL11" s="370">
        <f>((((1.2+0.4)^2*PI()))/4)*(AP11+0.1)</f>
        <v>1.0053096491487381</v>
      </c>
      <c r="AM11" s="370"/>
      <c r="AN11" s="370">
        <f t="shared" si="5"/>
        <v>0.96999999999999886</v>
      </c>
      <c r="AO11" s="413">
        <v>1</v>
      </c>
      <c r="AP11" s="413">
        <f>21.42-21.02</f>
        <v>0.40000000000000213</v>
      </c>
    </row>
    <row r="12" spans="1:44" s="358" customFormat="1" ht="16.7" customHeight="1" x14ac:dyDescent="0.25">
      <c r="A12" s="357">
        <v>1</v>
      </c>
      <c r="B12" s="355">
        <v>0</v>
      </c>
      <c r="C12" s="348">
        <f>Cantidades_MATA!A13</f>
        <v>9</v>
      </c>
      <c r="D12" s="348" t="str">
        <f>Cantidades_MATA!B13</f>
        <v>APA_MDGSC013</v>
      </c>
      <c r="E12" s="356">
        <f>Cantidades_MATA!H13</f>
        <v>22.02</v>
      </c>
      <c r="F12" s="356">
        <f>Cantidades_MATA!E13</f>
        <v>20.57</v>
      </c>
      <c r="G12" s="356">
        <f t="shared" si="0"/>
        <v>1.4499999999999993</v>
      </c>
      <c r="H12" s="356">
        <f t="shared" si="1"/>
        <v>1.2499999999999993</v>
      </c>
      <c r="I12" s="405" t="str">
        <f>Cantidades_MATA!C13</f>
        <v>APA_MDGSC016</v>
      </c>
      <c r="J12" s="356">
        <f>Cantidades_MATA!I13</f>
        <v>22.03</v>
      </c>
      <c r="K12" s="356">
        <f>Cantidades_MATA!F13</f>
        <v>20.25</v>
      </c>
      <c r="L12" s="356">
        <f t="shared" si="2"/>
        <v>1.7800000000000011</v>
      </c>
      <c r="M12" s="356">
        <f t="shared" si="3"/>
        <v>1.5800000000000012</v>
      </c>
      <c r="N12" s="349">
        <f>Cantidades_MATA!D13</f>
        <v>48.907210317132794</v>
      </c>
      <c r="O12" s="348">
        <f>Cantidades_MATA!G13</f>
        <v>200</v>
      </c>
      <c r="P12" s="549" t="s">
        <v>356</v>
      </c>
      <c r="Q12" s="553">
        <f>+(G12+L12)/2+0.07</f>
        <v>1.6850000000000003</v>
      </c>
      <c r="R12" s="551">
        <f t="shared" si="7"/>
        <v>1.4</v>
      </c>
      <c r="S12" s="551">
        <v>1.1000000000000001</v>
      </c>
      <c r="T12" s="549">
        <f t="shared" si="12"/>
        <v>1.25</v>
      </c>
      <c r="U12" s="550">
        <f t="shared" si="8"/>
        <v>164.81729876873754</v>
      </c>
      <c r="V12" s="550"/>
      <c r="W12" s="349">
        <f t="shared" si="9"/>
        <v>107.81081173046096</v>
      </c>
      <c r="X12" s="349">
        <f t="shared" si="10"/>
        <v>0</v>
      </c>
      <c r="Y12" s="348">
        <f t="shared" si="4"/>
        <v>12</v>
      </c>
      <c r="Z12" s="348">
        <f t="shared" si="13"/>
        <v>48.907210317132794</v>
      </c>
      <c r="AA12" s="348"/>
      <c r="AB12" s="348"/>
      <c r="AC12" s="348"/>
      <c r="AD12" s="348"/>
      <c r="AE12" s="413"/>
      <c r="AF12" s="413">
        <v>2</v>
      </c>
      <c r="AG12" s="411"/>
      <c r="AH12" s="411"/>
      <c r="AI12" s="411"/>
      <c r="AJ12" s="411"/>
      <c r="AK12" s="413">
        <v>1</v>
      </c>
      <c r="AL12" s="370">
        <f>((((1.2+0.4)^2*PI()))/4)*(AP12+0.1)</f>
        <v>1.4677520877571495</v>
      </c>
      <c r="AM12" s="370">
        <f>+G12-1</f>
        <v>0.44999999999999929</v>
      </c>
      <c r="AN12" s="413"/>
      <c r="AO12" s="413">
        <v>1</v>
      </c>
      <c r="AP12" s="413">
        <f>21.2-20.57</f>
        <v>0.62999999999999901</v>
      </c>
    </row>
    <row r="13" spans="1:44" s="358" customFormat="1" ht="16.5" customHeight="1" x14ac:dyDescent="0.25">
      <c r="A13" s="357">
        <v>1</v>
      </c>
      <c r="B13" s="355">
        <v>0</v>
      </c>
      <c r="C13" s="348">
        <f>Cantidades_MATA!A14</f>
        <v>10</v>
      </c>
      <c r="D13" s="348" t="str">
        <f>Cantidades_MATA!B14</f>
        <v>APA_MDGSC016</v>
      </c>
      <c r="E13" s="356">
        <f>Cantidades_MATA!H14</f>
        <v>22.03</v>
      </c>
      <c r="F13" s="356">
        <f>Cantidades_MATA!E14</f>
        <v>20.239999999999998</v>
      </c>
      <c r="G13" s="356">
        <f t="shared" si="0"/>
        <v>1.7900000000000027</v>
      </c>
      <c r="H13" s="356">
        <f t="shared" si="1"/>
        <v>1.5900000000000027</v>
      </c>
      <c r="I13" s="405" t="str">
        <f>Cantidades_MATA!C14</f>
        <v>APA_MDGSC017</v>
      </c>
      <c r="J13" s="356">
        <f>Cantidades_MATA!I14</f>
        <v>22</v>
      </c>
      <c r="K13" s="356">
        <f>Cantidades_MATA!F14</f>
        <v>20.14</v>
      </c>
      <c r="L13" s="356">
        <f t="shared" si="2"/>
        <v>1.8599999999999994</v>
      </c>
      <c r="M13" s="356">
        <f t="shared" si="3"/>
        <v>1.6599999999999995</v>
      </c>
      <c r="N13" s="349">
        <f>Cantidades_MATA!D14</f>
        <v>18.8510133849806</v>
      </c>
      <c r="O13" s="348">
        <f>Cantidades_MATA!G14</f>
        <v>200</v>
      </c>
      <c r="P13" s="549" t="s">
        <v>356</v>
      </c>
      <c r="Q13" s="553">
        <f t="shared" ref="Q13:Q34" si="14">+(G13+L13)/2+0.1</f>
        <v>1.9250000000000012</v>
      </c>
      <c r="R13" s="551">
        <f t="shared" si="7"/>
        <v>1.4</v>
      </c>
      <c r="S13" s="551">
        <v>1.1000000000000001</v>
      </c>
      <c r="T13" s="549">
        <f t="shared" si="12"/>
        <v>1.25</v>
      </c>
      <c r="U13" s="550">
        <f t="shared" si="8"/>
        <v>72.576401532175353</v>
      </c>
      <c r="V13" s="550"/>
      <c r="W13" s="349">
        <f t="shared" si="9"/>
        <v>50.160250957609591</v>
      </c>
      <c r="X13" s="349">
        <f t="shared" si="10"/>
        <v>0</v>
      </c>
      <c r="Y13" s="348">
        <f t="shared" si="4"/>
        <v>12</v>
      </c>
      <c r="Z13" s="348">
        <f t="shared" si="13"/>
        <v>18.8510133849806</v>
      </c>
      <c r="AA13" s="348"/>
      <c r="AB13" s="348"/>
      <c r="AC13" s="348"/>
      <c r="AD13" s="348"/>
      <c r="AE13" s="413"/>
      <c r="AF13" s="413">
        <v>2</v>
      </c>
      <c r="AG13" s="411"/>
      <c r="AH13" s="411"/>
      <c r="AI13" s="411"/>
      <c r="AJ13" s="411"/>
      <c r="AK13" s="413">
        <v>1</v>
      </c>
      <c r="AL13" s="370">
        <f>((((1.2+0.4)^2*PI()))/4)*(AP13+0.1)</f>
        <v>1.8497697544336709</v>
      </c>
      <c r="AM13" s="370">
        <f>+G13-1</f>
        <v>0.7900000000000027</v>
      </c>
      <c r="AN13" s="370"/>
      <c r="AO13" s="413"/>
      <c r="AP13" s="413">
        <f>21.06-20.24</f>
        <v>0.82000000000000028</v>
      </c>
    </row>
    <row r="14" spans="1:44" s="358" customFormat="1" ht="16.5" customHeight="1" x14ac:dyDescent="0.25">
      <c r="A14" s="357">
        <v>1</v>
      </c>
      <c r="B14" s="355">
        <v>0</v>
      </c>
      <c r="C14" s="348">
        <f>Cantidades_MATA!A15</f>
        <v>11</v>
      </c>
      <c r="D14" s="348" t="str">
        <f>Cantidades_MATA!B15</f>
        <v>APA_MDGSC017</v>
      </c>
      <c r="E14" s="356">
        <f>Cantidades_MATA!H15</f>
        <v>22</v>
      </c>
      <c r="F14" s="356">
        <f>Cantidades_MATA!E15</f>
        <v>20.13</v>
      </c>
      <c r="G14" s="356">
        <f t="shared" si="0"/>
        <v>1.870000000000001</v>
      </c>
      <c r="H14" s="356">
        <f t="shared" si="1"/>
        <v>1.670000000000001</v>
      </c>
      <c r="I14" s="405" t="str">
        <f>Cantidades_MATA!C15</f>
        <v>APA_MDGSC018</v>
      </c>
      <c r="J14" s="356">
        <f>Cantidades_MATA!I15</f>
        <v>22.12</v>
      </c>
      <c r="K14" s="356">
        <f>Cantidades_MATA!F15</f>
        <v>19.920000000000002</v>
      </c>
      <c r="L14" s="356">
        <f t="shared" si="2"/>
        <v>2.1999999999999993</v>
      </c>
      <c r="M14" s="356">
        <f t="shared" si="3"/>
        <v>1.9999999999999993</v>
      </c>
      <c r="N14" s="349">
        <f>Cantidades_MATA!D15</f>
        <v>44.441165394753256</v>
      </c>
      <c r="O14" s="348">
        <f>Cantidades_MATA!G15</f>
        <v>200</v>
      </c>
      <c r="P14" s="549" t="s">
        <v>356</v>
      </c>
      <c r="Q14" s="553">
        <f t="shared" si="14"/>
        <v>2.1350000000000002</v>
      </c>
      <c r="R14" s="551">
        <f t="shared" si="7"/>
        <v>1.7</v>
      </c>
      <c r="S14" s="551">
        <v>1.1000000000000001</v>
      </c>
      <c r="T14" s="549">
        <f t="shared" si="12"/>
        <v>1.4</v>
      </c>
      <c r="U14" s="550">
        <f t="shared" si="8"/>
        <v>189.76377623559642</v>
      </c>
      <c r="V14" s="550"/>
      <c r="W14" s="349">
        <f>IF(Q14&gt;2,2*N14*T14,Q14*T14*N14)+(Y14*0.8*0.5)</f>
        <v>126.83526310530911</v>
      </c>
      <c r="X14" s="349">
        <f>IF(Q14&gt;2,(Q14-2)*T14*N14,0)</f>
        <v>8.3993802596083782</v>
      </c>
      <c r="Y14" s="348">
        <f t="shared" si="4"/>
        <v>6</v>
      </c>
      <c r="Z14" s="348">
        <f t="shared" si="13"/>
        <v>44.441165394753256</v>
      </c>
      <c r="AA14" s="348"/>
      <c r="AB14" s="348"/>
      <c r="AC14" s="348"/>
      <c r="AD14" s="348"/>
      <c r="AE14" s="413">
        <v>1</v>
      </c>
      <c r="AF14" s="413">
        <v>1</v>
      </c>
      <c r="AG14" s="411"/>
      <c r="AH14" s="411"/>
      <c r="AI14" s="411"/>
      <c r="AJ14" s="411"/>
      <c r="AK14" s="370"/>
      <c r="AL14" s="370">
        <f>((((1.2+0.4)^2*PI()))/4)*(G14+0.1)</f>
        <v>3.9609200176460138</v>
      </c>
      <c r="AM14" s="370">
        <f>+G14-1</f>
        <v>0.87000000000000099</v>
      </c>
      <c r="AN14" s="370"/>
      <c r="AO14" s="413">
        <v>1</v>
      </c>
      <c r="AP14" s="413"/>
    </row>
    <row r="15" spans="1:44" s="358" customFormat="1" ht="16.7" customHeight="1" x14ac:dyDescent="0.25">
      <c r="A15" s="357">
        <v>1</v>
      </c>
      <c r="B15" s="355">
        <v>1</v>
      </c>
      <c r="C15" s="348">
        <f>Cantidades_MATA!A16</f>
        <v>12</v>
      </c>
      <c r="D15" s="348" t="str">
        <f>Cantidades_MATA!B16</f>
        <v>APA_MDGSC023</v>
      </c>
      <c r="E15" s="356">
        <f>Cantidades_MATA!H16</f>
        <v>21.82</v>
      </c>
      <c r="F15" s="356">
        <f>Cantidades_MATA!E16</f>
        <v>20.92</v>
      </c>
      <c r="G15" s="356">
        <f t="shared" si="0"/>
        <v>0.89999999999999858</v>
      </c>
      <c r="H15" s="356">
        <f t="shared" si="1"/>
        <v>0.69999999999999862</v>
      </c>
      <c r="I15" s="405" t="str">
        <f>Cantidades_MATA!C16</f>
        <v>APA_MDGSC024</v>
      </c>
      <c r="J15" s="356">
        <f>Cantidades_MATA!I16</f>
        <v>21.75</v>
      </c>
      <c r="K15" s="356">
        <f>Cantidades_MATA!F16</f>
        <v>20.62</v>
      </c>
      <c r="L15" s="356">
        <f t="shared" si="2"/>
        <v>1.129999999999999</v>
      </c>
      <c r="M15" s="356">
        <f t="shared" si="3"/>
        <v>0.92999999999999905</v>
      </c>
      <c r="N15" s="349">
        <f>Cantidades_MATA!D16</f>
        <v>43.278737237793884</v>
      </c>
      <c r="O15" s="348">
        <f>Cantidades_MATA!G16</f>
        <v>200</v>
      </c>
      <c r="P15" s="549" t="s">
        <v>356</v>
      </c>
      <c r="Q15" s="553">
        <f t="shared" si="14"/>
        <v>1.1149999999999989</v>
      </c>
      <c r="R15" s="551">
        <f t="shared" si="7"/>
        <v>1.4</v>
      </c>
      <c r="S15" s="551">
        <v>1.1000000000000001</v>
      </c>
      <c r="T15" s="549">
        <f t="shared" si="12"/>
        <v>1.25</v>
      </c>
      <c r="U15" s="550">
        <f t="shared" si="8"/>
        <v>0</v>
      </c>
      <c r="V15" s="550"/>
      <c r="W15" s="349">
        <f>IF(Q15&gt;2,2*N15*T15,Q15*T15*N15)+(Y15*0.8*0.5)</f>
        <v>96.31974002517515</v>
      </c>
      <c r="X15" s="349">
        <f>IF(Q15&gt;2,(Q15-2)*T15*N15,0)</f>
        <v>0</v>
      </c>
      <c r="Y15" s="348">
        <f t="shared" si="4"/>
        <v>90</v>
      </c>
      <c r="Z15" s="349">
        <f t="shared" si="13"/>
        <v>43.278737237793884</v>
      </c>
      <c r="AA15" s="348"/>
      <c r="AB15" s="348"/>
      <c r="AC15" s="348"/>
      <c r="AD15" s="348"/>
      <c r="AE15" s="413">
        <v>1</v>
      </c>
      <c r="AF15" s="413">
        <v>15</v>
      </c>
      <c r="AG15" s="411"/>
      <c r="AH15" s="411"/>
      <c r="AI15" s="411"/>
      <c r="AJ15" s="411"/>
      <c r="AK15" s="413"/>
      <c r="AL15" s="370">
        <f>((((1.2+0.4)^2*PI()))/4)*(AN15+0.1)</f>
        <v>2.0106192982974647</v>
      </c>
      <c r="AM15" s="413"/>
      <c r="AN15" s="370">
        <f>+G15</f>
        <v>0.89999999999999858</v>
      </c>
      <c r="AO15" s="413"/>
      <c r="AP15" s="413"/>
    </row>
    <row r="16" spans="1:44" s="358" customFormat="1" ht="16.5" customHeight="1" x14ac:dyDescent="0.25">
      <c r="A16" s="357">
        <v>1</v>
      </c>
      <c r="B16" s="355">
        <v>0</v>
      </c>
      <c r="C16" s="348">
        <f>Cantidades_MATA!A17</f>
        <v>13</v>
      </c>
      <c r="D16" s="348" t="str">
        <f>Cantidades_MATA!B17</f>
        <v>APA_MDGSC024</v>
      </c>
      <c r="E16" s="356">
        <f>Cantidades_MATA!H17</f>
        <v>21.75</v>
      </c>
      <c r="F16" s="356">
        <f>Cantidades_MATA!E17</f>
        <v>20.61</v>
      </c>
      <c r="G16" s="356">
        <f t="shared" si="0"/>
        <v>1.1400000000000006</v>
      </c>
      <c r="H16" s="356">
        <f t="shared" si="1"/>
        <v>0.94000000000000061</v>
      </c>
      <c r="I16" s="405" t="str">
        <f>Cantidades_MATA!C17</f>
        <v>APA_MDGSC021</v>
      </c>
      <c r="J16" s="356">
        <f>Cantidades_MATA!I17</f>
        <v>21.89</v>
      </c>
      <c r="K16" s="356">
        <f>Cantidades_MATA!F17</f>
        <v>20.440000000000001</v>
      </c>
      <c r="L16" s="356">
        <f t="shared" si="2"/>
        <v>1.4499999999999993</v>
      </c>
      <c r="M16" s="356">
        <f t="shared" si="3"/>
        <v>1.2499999999999993</v>
      </c>
      <c r="N16" s="349">
        <f>Cantidades_MATA!D17</f>
        <v>25.080462891465423</v>
      </c>
      <c r="O16" s="348">
        <f>Cantidades_MATA!G17</f>
        <v>200</v>
      </c>
      <c r="P16" s="549" t="s">
        <v>356</v>
      </c>
      <c r="Q16" s="553">
        <f t="shared" si="14"/>
        <v>1.395</v>
      </c>
      <c r="R16" s="551">
        <f t="shared" si="7"/>
        <v>1.4</v>
      </c>
      <c r="S16" s="551">
        <v>1.1000000000000001</v>
      </c>
      <c r="T16" s="549">
        <f>+(R16+S16)/2</f>
        <v>1.25</v>
      </c>
      <c r="U16" s="550">
        <f t="shared" si="8"/>
        <v>0</v>
      </c>
      <c r="V16" s="550"/>
      <c r="W16" s="349">
        <f>IF(Q16&gt;2,2*N16*T16,Q16*T16*N16)+(Y16*0.8*0.5)</f>
        <v>43.734057166992827</v>
      </c>
      <c r="X16" s="349">
        <f>IF(Q16&gt;2,(Q16-2)*T16*N16,0)</f>
        <v>0</v>
      </c>
      <c r="Y16" s="348">
        <f t="shared" si="4"/>
        <v>0</v>
      </c>
      <c r="Z16" s="349">
        <f t="shared" si="13"/>
        <v>25.080462891465423</v>
      </c>
      <c r="AA16" s="348"/>
      <c r="AB16" s="348"/>
      <c r="AC16" s="348"/>
      <c r="AD16" s="348"/>
      <c r="AE16" s="413">
        <v>1</v>
      </c>
      <c r="AF16" s="413"/>
      <c r="AG16" s="411"/>
      <c r="AH16" s="411"/>
      <c r="AI16" s="411"/>
      <c r="AJ16" s="411"/>
      <c r="AK16" s="413"/>
      <c r="AL16" s="370">
        <f>((((1.2+0.4)^2*PI()))/4)*(AN16+0.1)</f>
        <v>2.4931679298888612</v>
      </c>
      <c r="AM16" s="413"/>
      <c r="AN16" s="370">
        <f>+G16</f>
        <v>1.1400000000000006</v>
      </c>
      <c r="AO16" s="413">
        <v>1</v>
      </c>
      <c r="AP16" s="413"/>
    </row>
    <row r="17" spans="1:42" s="358" customFormat="1" ht="16.7" customHeight="1" x14ac:dyDescent="0.25">
      <c r="A17" s="357">
        <v>1</v>
      </c>
      <c r="B17" s="441">
        <v>0</v>
      </c>
      <c r="C17" s="348">
        <f>Cantidades_MATA!A18</f>
        <v>14</v>
      </c>
      <c r="D17" s="348" t="str">
        <f>Cantidades_MATA!B18</f>
        <v>APA_MDGSC021</v>
      </c>
      <c r="E17" s="356">
        <f>Cantidades_MATA!H18</f>
        <v>21.89</v>
      </c>
      <c r="F17" s="356">
        <f>Cantidades_MATA!E18</f>
        <v>20.420000000000002</v>
      </c>
      <c r="G17" s="356">
        <f t="shared" si="0"/>
        <v>1.4699999999999989</v>
      </c>
      <c r="H17" s="356">
        <f t="shared" si="1"/>
        <v>1.2699999999999989</v>
      </c>
      <c r="I17" s="405" t="str">
        <f>Cantidades_MATA!C18</f>
        <v>APA_MDGSC022</v>
      </c>
      <c r="J17" s="356">
        <f>Cantidades_MATA!I18</f>
        <v>22.11</v>
      </c>
      <c r="K17" s="356">
        <f>Cantidades_MATA!F18</f>
        <v>20.100000000000001</v>
      </c>
      <c r="L17" s="356">
        <f t="shared" si="2"/>
        <v>2.009999999999998</v>
      </c>
      <c r="M17" s="356">
        <f t="shared" si="3"/>
        <v>1.8099999999999981</v>
      </c>
      <c r="N17" s="349">
        <f>Cantidades_MATA!D18</f>
        <v>47.601742457609468</v>
      </c>
      <c r="O17" s="348">
        <f>Cantidades_MATA!G18</f>
        <v>200</v>
      </c>
      <c r="P17" s="549" t="s">
        <v>356</v>
      </c>
      <c r="Q17" s="553">
        <f t="shared" si="14"/>
        <v>1.8399999999999985</v>
      </c>
      <c r="R17" s="551">
        <f t="shared" si="7"/>
        <v>1.4</v>
      </c>
      <c r="S17" s="551">
        <v>1.1000000000000001</v>
      </c>
      <c r="T17" s="549">
        <f>+(R17+S17)/2</f>
        <v>1.25</v>
      </c>
      <c r="U17" s="550">
        <f t="shared" si="8"/>
        <v>175.1744122440027</v>
      </c>
      <c r="V17" s="550"/>
      <c r="W17" s="349">
        <f t="shared" si="9"/>
        <v>121.48400765250169</v>
      </c>
      <c r="X17" s="349">
        <f t="shared" si="10"/>
        <v>0</v>
      </c>
      <c r="Y17" s="348">
        <f t="shared" si="4"/>
        <v>30</v>
      </c>
      <c r="Z17" s="349">
        <f t="shared" si="13"/>
        <v>47.601742457609468</v>
      </c>
      <c r="AA17" s="348"/>
      <c r="AB17" s="348"/>
      <c r="AC17" s="348"/>
      <c r="AD17" s="348"/>
      <c r="AE17" s="413"/>
      <c r="AF17" s="413">
        <v>5</v>
      </c>
      <c r="AG17" s="411"/>
      <c r="AH17" s="411"/>
      <c r="AI17" s="411"/>
      <c r="AJ17" s="411"/>
      <c r="AK17" s="413">
        <v>1</v>
      </c>
      <c r="AL17" s="370">
        <f t="shared" ref="AL17:AL22" si="15">((((1.2+0.4)^2*PI()))/4)*(AP17+0.1)</f>
        <v>1.4275397017912008</v>
      </c>
      <c r="AM17" s="370">
        <f>+G17-1</f>
        <v>0.46999999999999886</v>
      </c>
      <c r="AN17" s="413"/>
      <c r="AO17" s="413">
        <v>1</v>
      </c>
      <c r="AP17" s="413">
        <f>21.03-20.42</f>
        <v>0.60999999999999943</v>
      </c>
    </row>
    <row r="18" spans="1:42" s="358" customFormat="1" ht="16.5" customHeight="1" x14ac:dyDescent="0.25">
      <c r="A18" s="357">
        <v>1</v>
      </c>
      <c r="B18" s="355">
        <v>1</v>
      </c>
      <c r="C18" s="348">
        <f>Cantidades_MATA!A19</f>
        <v>15</v>
      </c>
      <c r="D18" s="348" t="str">
        <f>Cantidades_MATA!B19</f>
        <v>APA_MDGSC010</v>
      </c>
      <c r="E18" s="356">
        <f>Cantidades_MATA!H19</f>
        <v>22.42</v>
      </c>
      <c r="F18" s="356">
        <f>Cantidades_MATA!E19</f>
        <v>21.35</v>
      </c>
      <c r="G18" s="356">
        <f t="shared" si="0"/>
        <v>1.0700000000000003</v>
      </c>
      <c r="H18" s="356">
        <f t="shared" si="1"/>
        <v>0.87000000000000033</v>
      </c>
      <c r="I18" s="405" t="str">
        <f>Cantidades_MATA!C19</f>
        <v>APA_MDGSC011</v>
      </c>
      <c r="J18" s="356">
        <f>Cantidades_MATA!I19</f>
        <v>22.4</v>
      </c>
      <c r="K18" s="356">
        <f>Cantidades_MATA!F19</f>
        <v>21.05</v>
      </c>
      <c r="L18" s="356">
        <f t="shared" si="2"/>
        <v>1.3499999999999979</v>
      </c>
      <c r="M18" s="356">
        <f t="shared" si="3"/>
        <v>1.1499999999999979</v>
      </c>
      <c r="N18" s="349">
        <f>Cantidades_MATA!D19</f>
        <v>42.30899901834816</v>
      </c>
      <c r="O18" s="348">
        <f>Cantidades_MATA!G19</f>
        <v>200</v>
      </c>
      <c r="P18" s="549" t="s">
        <v>356</v>
      </c>
      <c r="Q18" s="553">
        <f t="shared" si="14"/>
        <v>1.3099999999999992</v>
      </c>
      <c r="R18" s="551">
        <f t="shared" si="7"/>
        <v>1.4</v>
      </c>
      <c r="S18" s="551">
        <v>1.1000000000000001</v>
      </c>
      <c r="T18" s="549">
        <f>+(R18+S18)/2</f>
        <v>1.25</v>
      </c>
      <c r="U18" s="550">
        <f t="shared" si="8"/>
        <v>0</v>
      </c>
      <c r="V18" s="550"/>
      <c r="W18" s="349">
        <f t="shared" si="9"/>
        <v>86.080985892545058</v>
      </c>
      <c r="X18" s="349">
        <f t="shared" si="10"/>
        <v>0</v>
      </c>
      <c r="Y18" s="348">
        <f t="shared" si="4"/>
        <v>42</v>
      </c>
      <c r="Z18" s="349">
        <f t="shared" si="13"/>
        <v>42.30899901834816</v>
      </c>
      <c r="AA18" s="348"/>
      <c r="AB18" s="348"/>
      <c r="AC18" s="348"/>
      <c r="AD18" s="348"/>
      <c r="AE18" s="413"/>
      <c r="AF18" s="413">
        <v>7</v>
      </c>
      <c r="AG18" s="411"/>
      <c r="AH18" s="411"/>
      <c r="AI18" s="411"/>
      <c r="AJ18" s="411"/>
      <c r="AK18" s="413">
        <v>1</v>
      </c>
      <c r="AL18" s="370">
        <f t="shared" si="15"/>
        <v>0.88467249125088554</v>
      </c>
      <c r="AM18" s="413"/>
      <c r="AN18" s="370">
        <f>+G18</f>
        <v>1.0700000000000003</v>
      </c>
      <c r="AO18" s="413">
        <v>1</v>
      </c>
      <c r="AP18" s="413">
        <f>21.69-21.35</f>
        <v>0.33999999999999986</v>
      </c>
    </row>
    <row r="19" spans="1:42" s="358" customFormat="1" ht="16.5" customHeight="1" x14ac:dyDescent="0.25">
      <c r="A19" s="357">
        <v>1</v>
      </c>
      <c r="B19" s="355">
        <v>1</v>
      </c>
      <c r="C19" s="348">
        <f>Cantidades_MATA!A20</f>
        <v>16</v>
      </c>
      <c r="D19" s="348" t="str">
        <f>Cantidades_MATA!B20</f>
        <v>APA_MDGSC002</v>
      </c>
      <c r="E19" s="356">
        <f>Cantidades_MATA!H20</f>
        <v>23.57</v>
      </c>
      <c r="F19" s="356">
        <f>Cantidades_MATA!E20</f>
        <v>21.66</v>
      </c>
      <c r="G19" s="356">
        <f t="shared" si="0"/>
        <v>1.9100000000000001</v>
      </c>
      <c r="H19" s="356">
        <f t="shared" si="1"/>
        <v>1.7100000000000002</v>
      </c>
      <c r="I19" s="405" t="str">
        <f>Cantidades_MATA!C20</f>
        <v>APA_MDGSC003</v>
      </c>
      <c r="J19" s="356">
        <f>Cantidades_MATA!I20</f>
        <v>23.48</v>
      </c>
      <c r="K19" s="356">
        <f>Cantidades_MATA!F20</f>
        <v>21.56</v>
      </c>
      <c r="L19" s="356">
        <f t="shared" si="2"/>
        <v>1.9200000000000017</v>
      </c>
      <c r="M19" s="356">
        <f t="shared" si="3"/>
        <v>1.7200000000000017</v>
      </c>
      <c r="N19" s="349">
        <f>Cantidades_MATA!D20</f>
        <v>23.027804940048998</v>
      </c>
      <c r="O19" s="348">
        <f>Cantidades_MATA!G20</f>
        <v>200</v>
      </c>
      <c r="P19" s="549" t="s">
        <v>356</v>
      </c>
      <c r="Q19" s="553">
        <f t="shared" si="14"/>
        <v>2.015000000000001</v>
      </c>
      <c r="R19" s="551">
        <f t="shared" si="7"/>
        <v>1.7</v>
      </c>
      <c r="S19" s="551">
        <v>1.1000000000000001</v>
      </c>
      <c r="T19" s="549">
        <f>+(R19+S19)/2</f>
        <v>1.4</v>
      </c>
      <c r="U19" s="550">
        <f t="shared" si="8"/>
        <v>92.802053908397511</v>
      </c>
      <c r="V19" s="550"/>
      <c r="W19" s="349">
        <f t="shared" si="9"/>
        <v>66.877853832137191</v>
      </c>
      <c r="X19" s="349">
        <f t="shared" si="10"/>
        <v>0.48358390374106158</v>
      </c>
      <c r="Y19" s="348">
        <f t="shared" si="4"/>
        <v>6</v>
      </c>
      <c r="Z19" s="349">
        <f t="shared" si="13"/>
        <v>23.027804940048998</v>
      </c>
      <c r="AA19" s="348"/>
      <c r="AB19" s="348"/>
      <c r="AC19" s="348"/>
      <c r="AD19" s="348"/>
      <c r="AE19" s="413"/>
      <c r="AF19" s="413">
        <v>1</v>
      </c>
      <c r="AG19" s="411"/>
      <c r="AH19" s="411"/>
      <c r="AI19" s="411"/>
      <c r="AJ19" s="411"/>
      <c r="AK19" s="413">
        <v>1</v>
      </c>
      <c r="AL19" s="370">
        <f t="shared" si="15"/>
        <v>2.5132741228718318</v>
      </c>
      <c r="AM19" s="370">
        <f t="shared" ref="AM19:AM34" si="16">+G19-1</f>
        <v>0.91000000000000014</v>
      </c>
      <c r="AN19" s="413"/>
      <c r="AO19" s="413"/>
      <c r="AP19" s="413">
        <f>22.81-21.66</f>
        <v>1.1499999999999986</v>
      </c>
    </row>
    <row r="20" spans="1:42" s="358" customFormat="1" ht="16.5" customHeight="1" x14ac:dyDescent="0.25">
      <c r="A20" s="357">
        <v>1</v>
      </c>
      <c r="B20" s="355">
        <v>0</v>
      </c>
      <c r="C20" s="348">
        <f>Cantidades_MATA!A21</f>
        <v>17</v>
      </c>
      <c r="D20" s="348" t="str">
        <f>Cantidades_MATA!B21</f>
        <v>APA_MDGSC003</v>
      </c>
      <c r="E20" s="356">
        <f>Cantidades_MATA!H21</f>
        <v>23.48</v>
      </c>
      <c r="F20" s="356">
        <f>Cantidades_MATA!E21</f>
        <v>21.54</v>
      </c>
      <c r="G20" s="356">
        <f t="shared" si="0"/>
        <v>1.9400000000000013</v>
      </c>
      <c r="H20" s="356">
        <f t="shared" si="1"/>
        <v>1.6250000000000013</v>
      </c>
      <c r="I20" s="405" t="str">
        <f>Cantidades_MATA!C21</f>
        <v>APA_MDGSC004</v>
      </c>
      <c r="J20" s="356">
        <f>Cantidades_MATA!I21</f>
        <v>22.79</v>
      </c>
      <c r="K20" s="356">
        <f>Cantidades_MATA!F21</f>
        <v>21.27</v>
      </c>
      <c r="L20" s="356">
        <f t="shared" si="2"/>
        <v>1.5199999999999996</v>
      </c>
      <c r="M20" s="356">
        <f t="shared" si="3"/>
        <v>1.2049999999999996</v>
      </c>
      <c r="N20" s="349">
        <f>Cantidades_MATA!D21</f>
        <v>114.06776526766042</v>
      </c>
      <c r="O20" s="348">
        <f>Cantidades_MATA!G21</f>
        <v>315</v>
      </c>
      <c r="P20" s="549" t="s">
        <v>356</v>
      </c>
      <c r="Q20" s="553">
        <f t="shared" si="14"/>
        <v>1.8300000000000005</v>
      </c>
      <c r="R20" s="551">
        <f t="shared" si="7"/>
        <v>1.4</v>
      </c>
      <c r="S20" s="551">
        <v>1.1000000000000001</v>
      </c>
      <c r="T20" s="549">
        <f>+(R20+S20)/2</f>
        <v>1.25</v>
      </c>
      <c r="U20" s="550">
        <f t="shared" si="8"/>
        <v>417.48802087963725</v>
      </c>
      <c r="V20" s="550"/>
      <c r="W20" s="349">
        <f t="shared" si="9"/>
        <v>272.93001304977327</v>
      </c>
      <c r="X20" s="349">
        <f t="shared" si="10"/>
        <v>0</v>
      </c>
      <c r="Y20" s="348">
        <f t="shared" si="4"/>
        <v>30</v>
      </c>
      <c r="Z20" s="349"/>
      <c r="AA20" s="349">
        <f>N20</f>
        <v>114.06776526766042</v>
      </c>
      <c r="AB20" s="348"/>
      <c r="AC20" s="348"/>
      <c r="AD20" s="348"/>
      <c r="AE20" s="413"/>
      <c r="AF20" s="413"/>
      <c r="AG20" s="411">
        <v>5</v>
      </c>
      <c r="AH20" s="411"/>
      <c r="AI20" s="411"/>
      <c r="AJ20" s="411"/>
      <c r="AK20" s="413">
        <v>1</v>
      </c>
      <c r="AL20" s="370">
        <f t="shared" si="15"/>
        <v>1.8899821403996193</v>
      </c>
      <c r="AM20" s="370">
        <f t="shared" si="16"/>
        <v>0.94000000000000128</v>
      </c>
      <c r="AN20" s="413"/>
      <c r="AO20" s="413"/>
      <c r="AP20" s="413">
        <f>22.38-21.54</f>
        <v>0.83999999999999986</v>
      </c>
    </row>
    <row r="21" spans="1:42" s="358" customFormat="1" ht="16.5" customHeight="1" x14ac:dyDescent="0.25">
      <c r="A21" s="357">
        <v>1</v>
      </c>
      <c r="B21" s="355">
        <v>0</v>
      </c>
      <c r="C21" s="348">
        <f>Cantidades_MATA!A22</f>
        <v>18</v>
      </c>
      <c r="D21" s="348" t="str">
        <f>Cantidades_MATA!B22</f>
        <v>APA_MDGSC004</v>
      </c>
      <c r="E21" s="356">
        <f>Cantidades_MATA!H22</f>
        <v>22.79</v>
      </c>
      <c r="F21" s="356">
        <f>Cantidades_MATA!E22</f>
        <v>21.25</v>
      </c>
      <c r="G21" s="356">
        <f t="shared" si="0"/>
        <v>1.5399999999999991</v>
      </c>
      <c r="H21" s="356">
        <f t="shared" si="1"/>
        <v>1.2249999999999992</v>
      </c>
      <c r="I21" s="405" t="str">
        <f>Cantidades_MATA!C22</f>
        <v>APA_MDGSC005</v>
      </c>
      <c r="J21" s="356">
        <f>Cantidades_MATA!I22</f>
        <v>22.64</v>
      </c>
      <c r="K21" s="356">
        <f>Cantidades_MATA!F22</f>
        <v>21.01</v>
      </c>
      <c r="L21" s="356">
        <f t="shared" si="2"/>
        <v>1.629999999999999</v>
      </c>
      <c r="M21" s="356">
        <f t="shared" si="3"/>
        <v>1.3149999999999991</v>
      </c>
      <c r="N21" s="349">
        <f>Cantidades_MATA!D22</f>
        <v>107.8288877140875</v>
      </c>
      <c r="O21" s="348">
        <f>Cantidades_MATA!G22</f>
        <v>315</v>
      </c>
      <c r="P21" s="549" t="s">
        <v>356</v>
      </c>
      <c r="Q21" s="553">
        <f t="shared" si="14"/>
        <v>1.6849999999999992</v>
      </c>
      <c r="R21" s="551">
        <f t="shared" si="7"/>
        <v>1.4</v>
      </c>
      <c r="S21" s="551">
        <v>1.1000000000000001</v>
      </c>
      <c r="T21" s="549">
        <f t="shared" ref="T21:T32" si="17">+(R21+S21)/2</f>
        <v>1.25</v>
      </c>
      <c r="U21" s="550">
        <f t="shared" si="8"/>
        <v>363.38335159647471</v>
      </c>
      <c r="V21" s="550"/>
      <c r="W21" s="349">
        <f t="shared" ref="W21:W32" si="18">IF(Q21&gt;2,2*N21*T21,Q21*T21*N21)+(Y21*0.8*0.5)</f>
        <v>258.31459474779666</v>
      </c>
      <c r="X21" s="349">
        <f t="shared" ref="X21:X32" si="19">IF(Q21&gt;2,(Q21-2)*T21*N21,0)</f>
        <v>0</v>
      </c>
      <c r="Y21" s="348">
        <f t="shared" si="4"/>
        <v>78</v>
      </c>
      <c r="Z21" s="349"/>
      <c r="AA21" s="349">
        <f>N21</f>
        <v>107.8288877140875</v>
      </c>
      <c r="AB21" s="348"/>
      <c r="AC21" s="348"/>
      <c r="AD21" s="348"/>
      <c r="AE21" s="413"/>
      <c r="AF21" s="413"/>
      <c r="AG21" s="411">
        <v>13</v>
      </c>
      <c r="AH21" s="411"/>
      <c r="AI21" s="411"/>
      <c r="AJ21" s="411"/>
      <c r="AK21" s="413">
        <v>1</v>
      </c>
      <c r="AL21" s="370">
        <f t="shared" si="15"/>
        <v>1.4074335088082301</v>
      </c>
      <c r="AM21" s="370">
        <f t="shared" si="16"/>
        <v>0.53999999999999915</v>
      </c>
      <c r="AN21" s="413"/>
      <c r="AO21" s="413"/>
      <c r="AP21" s="413">
        <f>21.85-21.25</f>
        <v>0.60000000000000142</v>
      </c>
    </row>
    <row r="22" spans="1:42" s="358" customFormat="1" ht="15" customHeight="1" x14ac:dyDescent="0.25">
      <c r="A22" s="357">
        <v>1</v>
      </c>
      <c r="B22" s="355">
        <v>0</v>
      </c>
      <c r="C22" s="348">
        <f>Cantidades_MATA!A23</f>
        <v>19</v>
      </c>
      <c r="D22" s="348" t="str">
        <f>Cantidades_MATA!B23</f>
        <v>APA_MDGSC005</v>
      </c>
      <c r="E22" s="356">
        <f>Cantidades_MATA!H23</f>
        <v>22.64</v>
      </c>
      <c r="F22" s="356">
        <f>Cantidades_MATA!E23</f>
        <v>20.990000000000002</v>
      </c>
      <c r="G22" s="356">
        <f t="shared" si="0"/>
        <v>1.6499999999999986</v>
      </c>
      <c r="H22" s="356">
        <f t="shared" si="1"/>
        <v>1.3349999999999986</v>
      </c>
      <c r="I22" s="405" t="str">
        <f>Cantidades_MATA!C23</f>
        <v>APA_MDGSC009</v>
      </c>
      <c r="J22" s="356">
        <f>Cantidades_MATA!I23</f>
        <v>22.5</v>
      </c>
      <c r="K22" s="356">
        <f>Cantidades_MATA!F23</f>
        <v>20.84</v>
      </c>
      <c r="L22" s="356">
        <f t="shared" si="2"/>
        <v>1.6600000000000001</v>
      </c>
      <c r="M22" s="356">
        <f t="shared" si="3"/>
        <v>1.3450000000000002</v>
      </c>
      <c r="N22" s="349">
        <f>Cantidades_MATA!D23</f>
        <v>55.600256074943161</v>
      </c>
      <c r="O22" s="348">
        <f>Cantidades_MATA!G23</f>
        <v>315</v>
      </c>
      <c r="P22" s="549" t="s">
        <v>356</v>
      </c>
      <c r="Q22" s="553">
        <f t="shared" si="14"/>
        <v>1.7549999999999994</v>
      </c>
      <c r="R22" s="551">
        <f>IF(Q22&lt;=1,1.1,IF(Q22&lt;=2,1.4,IF(Q22&gt;2,1.7)))+0.1</f>
        <v>1.5</v>
      </c>
      <c r="S22" s="551">
        <v>1.1000000000000001</v>
      </c>
      <c r="T22" s="549">
        <f t="shared" si="17"/>
        <v>1.3</v>
      </c>
      <c r="U22" s="550">
        <f t="shared" si="8"/>
        <v>195.15689882305043</v>
      </c>
      <c r="V22" s="550"/>
      <c r="W22" s="349">
        <f t="shared" si="18"/>
        <v>143.65198423498279</v>
      </c>
      <c r="X22" s="349">
        <f t="shared" si="19"/>
        <v>0</v>
      </c>
      <c r="Y22" s="348">
        <f t="shared" si="4"/>
        <v>42</v>
      </c>
      <c r="Z22" s="349"/>
      <c r="AA22" s="349">
        <f>N22</f>
        <v>55.600256074943161</v>
      </c>
      <c r="AB22" s="348"/>
      <c r="AC22" s="348"/>
      <c r="AD22" s="348"/>
      <c r="AE22" s="413"/>
      <c r="AF22" s="413"/>
      <c r="AG22" s="411">
        <v>7</v>
      </c>
      <c r="AH22" s="411"/>
      <c r="AI22" s="411"/>
      <c r="AJ22" s="411"/>
      <c r="AK22" s="413">
        <v>1</v>
      </c>
      <c r="AL22" s="370">
        <f t="shared" si="15"/>
        <v>1.266690157927407</v>
      </c>
      <c r="AM22" s="370">
        <f t="shared" si="16"/>
        <v>0.64999999999999858</v>
      </c>
      <c r="AN22" s="413"/>
      <c r="AO22" s="413"/>
      <c r="AP22" s="413">
        <f>21.52-20.99</f>
        <v>0.53000000000000114</v>
      </c>
    </row>
    <row r="23" spans="1:42" s="358" customFormat="1" ht="16.5" customHeight="1" x14ac:dyDescent="0.25">
      <c r="A23" s="357">
        <v>1</v>
      </c>
      <c r="B23" s="355">
        <v>0</v>
      </c>
      <c r="C23" s="348">
        <f>Cantidades_MATA!A24</f>
        <v>20</v>
      </c>
      <c r="D23" s="348" t="str">
        <f>Cantidades_MATA!B24</f>
        <v>APA_MDGSC009</v>
      </c>
      <c r="E23" s="356">
        <f>Cantidades_MATA!H24</f>
        <v>22.5</v>
      </c>
      <c r="F23" s="356">
        <f>Cantidades_MATA!E24</f>
        <v>20.82</v>
      </c>
      <c r="G23" s="356">
        <f t="shared" si="0"/>
        <v>1.6799999999999997</v>
      </c>
      <c r="H23" s="356">
        <f t="shared" si="1"/>
        <v>1.3249999999999997</v>
      </c>
      <c r="I23" s="405" t="str">
        <f>Cantidades_MATA!C24</f>
        <v>APA_MDGSC011</v>
      </c>
      <c r="J23" s="356">
        <f>Cantidades_MATA!I24</f>
        <v>22.4</v>
      </c>
      <c r="K23" s="356">
        <f>Cantidades_MATA!F24</f>
        <v>20.75</v>
      </c>
      <c r="L23" s="356">
        <f t="shared" si="2"/>
        <v>1.6499999999999986</v>
      </c>
      <c r="M23" s="356">
        <f t="shared" si="3"/>
        <v>1.2949999999999986</v>
      </c>
      <c r="N23" s="349">
        <f>Cantidades_MATA!D24</f>
        <v>51.402163571895606</v>
      </c>
      <c r="O23" s="348">
        <f>Cantidades_MATA!G24</f>
        <v>355</v>
      </c>
      <c r="P23" s="549" t="s">
        <v>356</v>
      </c>
      <c r="Q23" s="553">
        <f t="shared" si="14"/>
        <v>1.7649999999999992</v>
      </c>
      <c r="R23" s="551">
        <f>IF(Q23&lt;=1,1.1,IF(Q23&lt;=2,1.4,IF(Q23&gt;2,1.7)))+0.1</f>
        <v>1.5</v>
      </c>
      <c r="S23" s="551">
        <v>1.1000000000000001</v>
      </c>
      <c r="T23" s="549">
        <f t="shared" si="17"/>
        <v>1.3</v>
      </c>
      <c r="U23" s="550">
        <f t="shared" si="8"/>
        <v>181.4496374087914</v>
      </c>
      <c r="V23" s="550"/>
      <c r="W23" s="349">
        <f t="shared" si="18"/>
        <v>140.98226431571442</v>
      </c>
      <c r="X23" s="349">
        <f t="shared" si="19"/>
        <v>0</v>
      </c>
      <c r="Y23" s="348">
        <f t="shared" si="4"/>
        <v>57.599999999999994</v>
      </c>
      <c r="Z23" s="349"/>
      <c r="AA23" s="349"/>
      <c r="AB23" s="349">
        <f>N23</f>
        <v>51.402163571895606</v>
      </c>
      <c r="AC23" s="348"/>
      <c r="AD23" s="348"/>
      <c r="AE23" s="413">
        <v>1</v>
      </c>
      <c r="AF23" s="413"/>
      <c r="AG23" s="411"/>
      <c r="AH23" s="411">
        <f>8*1.2</f>
        <v>9.6</v>
      </c>
      <c r="AI23" s="411"/>
      <c r="AJ23" s="411"/>
      <c r="AK23" s="413"/>
      <c r="AL23" s="370">
        <f>((((1.2+0.4)^2*PI()))/4)*(G23+0.1)</f>
        <v>3.5789023509694924</v>
      </c>
      <c r="AM23" s="370">
        <f t="shared" si="16"/>
        <v>0.67999999999999972</v>
      </c>
      <c r="AN23" s="413"/>
      <c r="AO23" s="413"/>
      <c r="AP23" s="413"/>
    </row>
    <row r="24" spans="1:42" s="358" customFormat="1" ht="16.7" customHeight="1" x14ac:dyDescent="0.25">
      <c r="A24" s="357">
        <v>1</v>
      </c>
      <c r="B24" s="355">
        <v>0</v>
      </c>
      <c r="C24" s="348">
        <f>Cantidades_MATA!A25</f>
        <v>21</v>
      </c>
      <c r="D24" s="348" t="str">
        <f>Cantidades_MATA!B25</f>
        <v>APA_MDGSC011</v>
      </c>
      <c r="E24" s="356">
        <f>Cantidades_MATA!H25</f>
        <v>22.4</v>
      </c>
      <c r="F24" s="356">
        <f>Cantidades_MATA!E25</f>
        <v>20.73</v>
      </c>
      <c r="G24" s="356">
        <f t="shared" si="0"/>
        <v>1.6699999999999982</v>
      </c>
      <c r="H24" s="356">
        <f t="shared" si="1"/>
        <v>1.3149999999999982</v>
      </c>
      <c r="I24" s="405" t="str">
        <f>Cantidades_MATA!C25</f>
        <v>APA_MDGSC018</v>
      </c>
      <c r="J24" s="356">
        <f>Cantidades_MATA!I25</f>
        <v>22.12</v>
      </c>
      <c r="K24" s="356">
        <f>Cantidades_MATA!F25</f>
        <v>20.32</v>
      </c>
      <c r="L24" s="356">
        <f t="shared" si="2"/>
        <v>1.8000000000000007</v>
      </c>
      <c r="M24" s="356">
        <f t="shared" si="3"/>
        <v>1.4450000000000007</v>
      </c>
      <c r="N24" s="349">
        <f>Cantidades_MATA!D25</f>
        <v>48.399188320904123</v>
      </c>
      <c r="O24" s="348">
        <f>Cantidades_MATA!G25</f>
        <v>355</v>
      </c>
      <c r="P24" s="549" t="s">
        <v>356</v>
      </c>
      <c r="Q24" s="553">
        <f t="shared" si="14"/>
        <v>1.8349999999999995</v>
      </c>
      <c r="R24" s="551">
        <f>IF(Q24&lt;=1,1.1,IF(Q24&lt;=2,1.4,IF(Q24&gt;2,1.7)))+0.1</f>
        <v>1.5</v>
      </c>
      <c r="S24" s="551">
        <v>1.1000000000000001</v>
      </c>
      <c r="T24" s="549">
        <f t="shared" si="17"/>
        <v>1.3</v>
      </c>
      <c r="U24" s="550">
        <f t="shared" si="8"/>
        <v>177.62502113771808</v>
      </c>
      <c r="V24" s="550"/>
      <c r="W24" s="349">
        <f t="shared" si="18"/>
        <v>127.45626373951676</v>
      </c>
      <c r="X24" s="349">
        <f t="shared" si="19"/>
        <v>0</v>
      </c>
      <c r="Y24" s="348">
        <f t="shared" si="4"/>
        <v>30</v>
      </c>
      <c r="Z24" s="349"/>
      <c r="AA24" s="349"/>
      <c r="AB24" s="349">
        <f>N24</f>
        <v>48.399188320904123</v>
      </c>
      <c r="AC24" s="348"/>
      <c r="AD24" s="348"/>
      <c r="AE24" s="413"/>
      <c r="AF24" s="413"/>
      <c r="AG24" s="411"/>
      <c r="AH24" s="411">
        <v>5</v>
      </c>
      <c r="AI24" s="411"/>
      <c r="AJ24" s="411"/>
      <c r="AK24" s="413">
        <v>1</v>
      </c>
      <c r="AL24" s="370">
        <f>((((1.2+0.4)^2*PI()))/4)*(AP24+0.1)</f>
        <v>0.58307959650626817</v>
      </c>
      <c r="AM24" s="370">
        <f t="shared" si="16"/>
        <v>0.66999999999999815</v>
      </c>
      <c r="AN24" s="413"/>
      <c r="AO24" s="413"/>
      <c r="AP24" s="413">
        <f>20.93-20.74</f>
        <v>0.19000000000000128</v>
      </c>
    </row>
    <row r="25" spans="1:42" s="358" customFormat="1" ht="16.7" customHeight="1" x14ac:dyDescent="0.25">
      <c r="A25" s="357">
        <v>1</v>
      </c>
      <c r="B25" s="355">
        <v>0</v>
      </c>
      <c r="C25" s="348">
        <f>Cantidades_MATA!A26</f>
        <v>22</v>
      </c>
      <c r="D25" s="348" t="str">
        <f>Cantidades_MATA!B26</f>
        <v>APA_MDGSC018</v>
      </c>
      <c r="E25" s="356">
        <f>Cantidades_MATA!H26</f>
        <v>22.12</v>
      </c>
      <c r="F25" s="356">
        <f>Cantidades_MATA!E26</f>
        <v>19.91</v>
      </c>
      <c r="G25" s="356">
        <f t="shared" si="0"/>
        <v>2.2100000000000009</v>
      </c>
      <c r="H25" s="356">
        <f t="shared" si="1"/>
        <v>1.8550000000000009</v>
      </c>
      <c r="I25" s="405" t="str">
        <f>Cantidades_MATA!C26</f>
        <v>APA_MDGSC022</v>
      </c>
      <c r="J25" s="356">
        <f>Cantidades_MATA!I26</f>
        <v>22.11</v>
      </c>
      <c r="K25" s="356">
        <f>Cantidades_MATA!F26</f>
        <v>19.829999999999998</v>
      </c>
      <c r="L25" s="356">
        <f t="shared" si="2"/>
        <v>2.2800000000000011</v>
      </c>
      <c r="M25" s="356">
        <f t="shared" si="3"/>
        <v>1.9250000000000012</v>
      </c>
      <c r="N25" s="349">
        <f>Cantidades_MATA!D26</f>
        <v>46.291690939098508</v>
      </c>
      <c r="O25" s="348">
        <f>Cantidades_MATA!G26</f>
        <v>355</v>
      </c>
      <c r="P25" s="549" t="s">
        <v>356</v>
      </c>
      <c r="Q25" s="553">
        <f t="shared" si="14"/>
        <v>2.3450000000000011</v>
      </c>
      <c r="R25" s="551">
        <f t="shared" si="7"/>
        <v>1.7</v>
      </c>
      <c r="S25" s="551">
        <v>1.1000000000000001</v>
      </c>
      <c r="T25" s="549">
        <f t="shared" si="17"/>
        <v>1.4</v>
      </c>
      <c r="U25" s="550">
        <f t="shared" si="8"/>
        <v>217.1080305043721</v>
      </c>
      <c r="V25" s="550"/>
      <c r="W25" s="349">
        <f t="shared" si="18"/>
        <v>141.13673462947582</v>
      </c>
      <c r="X25" s="349">
        <f t="shared" si="19"/>
        <v>22.358886723584646</v>
      </c>
      <c r="Y25" s="348">
        <f t="shared" si="4"/>
        <v>28.799999999999997</v>
      </c>
      <c r="Z25" s="348"/>
      <c r="AA25" s="349"/>
      <c r="AB25" s="349">
        <f>N25</f>
        <v>46.291690939098508</v>
      </c>
      <c r="AC25" s="348"/>
      <c r="AD25" s="348"/>
      <c r="AE25" s="413"/>
      <c r="AF25" s="413"/>
      <c r="AG25" s="411"/>
      <c r="AH25" s="411">
        <f>4*1.2</f>
        <v>4.8</v>
      </c>
      <c r="AI25" s="411"/>
      <c r="AJ25" s="411"/>
      <c r="AK25" s="413">
        <v>1</v>
      </c>
      <c r="AL25" s="370">
        <f>((((1.2+0.4)^2*PI()))/4)*(AP25+0.1)</f>
        <v>1.9905131053144942</v>
      </c>
      <c r="AM25" s="370">
        <f t="shared" si="16"/>
        <v>1.2100000000000009</v>
      </c>
      <c r="AN25" s="413"/>
      <c r="AO25" s="413"/>
      <c r="AP25" s="413">
        <f>20.8-19.91</f>
        <v>0.89000000000000057</v>
      </c>
    </row>
    <row r="26" spans="1:42" s="358" customFormat="1" ht="16.5" customHeight="1" x14ac:dyDescent="0.25">
      <c r="A26" s="357">
        <v>1</v>
      </c>
      <c r="B26" s="355">
        <v>0</v>
      </c>
      <c r="C26" s="348">
        <f>Cantidades_MATA!A27</f>
        <v>23</v>
      </c>
      <c r="D26" s="348" t="str">
        <f>Cantidades_MATA!B27</f>
        <v>APA_MDGSC022</v>
      </c>
      <c r="E26" s="356">
        <f>Cantidades_MATA!H27</f>
        <v>22.11</v>
      </c>
      <c r="F26" s="356">
        <f>Cantidades_MATA!E27</f>
        <v>19.809999999999999</v>
      </c>
      <c r="G26" s="356">
        <f t="shared" si="0"/>
        <v>2.3000000000000007</v>
      </c>
      <c r="H26" s="356">
        <f t="shared" si="1"/>
        <v>1.9000000000000008</v>
      </c>
      <c r="I26" s="405" t="str">
        <f>Cantidades_MATA!C27</f>
        <v>APA_MDGSC025</v>
      </c>
      <c r="J26" s="356">
        <f>Cantidades_MATA!I27</f>
        <v>22</v>
      </c>
      <c r="K26" s="356">
        <f>Cantidades_MATA!F27</f>
        <v>19.690000000000001</v>
      </c>
      <c r="L26" s="356">
        <f t="shared" si="2"/>
        <v>2.3099999999999987</v>
      </c>
      <c r="M26" s="356">
        <f t="shared" si="3"/>
        <v>1.9099999999999988</v>
      </c>
      <c r="N26" s="349">
        <f>Cantidades_MATA!D27</f>
        <v>90.418237898221179</v>
      </c>
      <c r="O26" s="348">
        <f>Cantidades_MATA!G27</f>
        <v>400</v>
      </c>
      <c r="P26" s="549" t="s">
        <v>356</v>
      </c>
      <c r="Q26" s="553">
        <f t="shared" si="14"/>
        <v>2.4049999999999998</v>
      </c>
      <c r="R26" s="551">
        <f t="shared" si="7"/>
        <v>1.7</v>
      </c>
      <c r="S26" s="551">
        <v>1.1000000000000001</v>
      </c>
      <c r="T26" s="549">
        <f t="shared" si="17"/>
        <v>1.4</v>
      </c>
      <c r="U26" s="550">
        <f t="shared" si="8"/>
        <v>434.91172429044383</v>
      </c>
      <c r="V26" s="550"/>
      <c r="W26" s="349">
        <f t="shared" si="18"/>
        <v>267.57106611501928</v>
      </c>
      <c r="X26" s="349">
        <f t="shared" si="19"/>
        <v>51.267140888291387</v>
      </c>
      <c r="Y26" s="348">
        <f t="shared" si="4"/>
        <v>36</v>
      </c>
      <c r="Z26" s="348"/>
      <c r="AA26" s="349"/>
      <c r="AB26" s="348"/>
      <c r="AC26" s="349">
        <f>N26</f>
        <v>90.418237898221179</v>
      </c>
      <c r="AD26" s="348"/>
      <c r="AE26" s="413"/>
      <c r="AF26" s="413"/>
      <c r="AG26" s="411"/>
      <c r="AH26" s="411"/>
      <c r="AI26" s="411">
        <f>5*1.2</f>
        <v>6</v>
      </c>
      <c r="AJ26" s="411"/>
      <c r="AK26" s="413">
        <v>1</v>
      </c>
      <c r="AL26" s="370">
        <f>((((1.2+0.4)^2*PI()))/4)*(AP26+0.1)</f>
        <v>1.749238789518796</v>
      </c>
      <c r="AM26" s="370">
        <f t="shared" si="16"/>
        <v>1.3000000000000007</v>
      </c>
      <c r="AN26" s="413"/>
      <c r="AO26" s="413"/>
      <c r="AP26" s="413">
        <f>20.58-19.81</f>
        <v>0.76999999999999957</v>
      </c>
    </row>
    <row r="27" spans="1:42" s="358" customFormat="1" ht="14.25" customHeight="1" x14ac:dyDescent="0.25">
      <c r="A27" s="357">
        <v>1</v>
      </c>
      <c r="B27" s="355">
        <v>0</v>
      </c>
      <c r="C27" s="348">
        <f>Cantidades_MATA!A28</f>
        <v>24</v>
      </c>
      <c r="D27" s="348" t="str">
        <f>Cantidades_MATA!B28</f>
        <v>APA_MDGSC025</v>
      </c>
      <c r="E27" s="356">
        <f>Cantidades_MATA!H28</f>
        <v>22</v>
      </c>
      <c r="F27" s="356">
        <f>Cantidades_MATA!E28</f>
        <v>19.68</v>
      </c>
      <c r="G27" s="356">
        <f t="shared" si="0"/>
        <v>2.3200000000000003</v>
      </c>
      <c r="H27" s="356">
        <f t="shared" si="1"/>
        <v>1.9200000000000004</v>
      </c>
      <c r="I27" s="405" t="str">
        <f>Cantidades_MATA!C28</f>
        <v>APA_MDGSC026</v>
      </c>
      <c r="J27" s="356">
        <f>Cantidades_MATA!I28</f>
        <v>21.7</v>
      </c>
      <c r="K27" s="356">
        <f>Cantidades_MATA!F28</f>
        <v>19.559999999999999</v>
      </c>
      <c r="L27" s="356">
        <f t="shared" si="2"/>
        <v>2.1400000000000006</v>
      </c>
      <c r="M27" s="356">
        <f t="shared" si="3"/>
        <v>1.7400000000000007</v>
      </c>
      <c r="N27" s="349">
        <f>Cantidades_MATA!D28</f>
        <v>83.819857978931225</v>
      </c>
      <c r="O27" s="348">
        <f>Cantidades_MATA!G28</f>
        <v>400</v>
      </c>
      <c r="P27" s="549" t="s">
        <v>356</v>
      </c>
      <c r="Q27" s="553">
        <f t="shared" si="14"/>
        <v>2.3300000000000005</v>
      </c>
      <c r="R27" s="551">
        <f t="shared" si="7"/>
        <v>1.7</v>
      </c>
      <c r="S27" s="551">
        <v>1.1000000000000001</v>
      </c>
      <c r="T27" s="549">
        <f t="shared" si="17"/>
        <v>1.4</v>
      </c>
      <c r="U27" s="550">
        <f t="shared" si="8"/>
        <v>390.60053818181962</v>
      </c>
      <c r="V27" s="550"/>
      <c r="W27" s="349">
        <f t="shared" si="18"/>
        <v>239.49560234100741</v>
      </c>
      <c r="X27" s="349">
        <f t="shared" si="19"/>
        <v>38.724774386266283</v>
      </c>
      <c r="Y27" s="348">
        <f t="shared" si="4"/>
        <v>12</v>
      </c>
      <c r="Z27" s="348"/>
      <c r="AA27" s="349"/>
      <c r="AB27" s="348"/>
      <c r="AC27" s="349">
        <f>N27</f>
        <v>83.819857978931225</v>
      </c>
      <c r="AD27" s="348"/>
      <c r="AE27" s="413"/>
      <c r="AF27" s="413"/>
      <c r="AG27" s="411"/>
      <c r="AH27" s="411"/>
      <c r="AI27" s="411">
        <v>2</v>
      </c>
      <c r="AJ27" s="411"/>
      <c r="AK27" s="413">
        <v>1</v>
      </c>
      <c r="AL27" s="370">
        <f>((((1.2+0.4)^2*PI()))/4)*(AP27+0.1)</f>
        <v>1.0455220351146866</v>
      </c>
      <c r="AM27" s="370">
        <f t="shared" si="16"/>
        <v>1.3200000000000003</v>
      </c>
      <c r="AN27" s="413"/>
      <c r="AO27" s="413"/>
      <c r="AP27" s="413">
        <f>20.1-19.68</f>
        <v>0.42000000000000171</v>
      </c>
    </row>
    <row r="28" spans="1:42" s="358" customFormat="1" ht="16.7" customHeight="1" x14ac:dyDescent="0.25">
      <c r="A28" s="357">
        <v>1</v>
      </c>
      <c r="B28" s="355">
        <v>0</v>
      </c>
      <c r="C28" s="348">
        <f>Cantidades_MATA!A29</f>
        <v>25</v>
      </c>
      <c r="D28" s="348" t="str">
        <f>Cantidades_MATA!B29</f>
        <v>APA_MDGSC026</v>
      </c>
      <c r="E28" s="356">
        <f>Cantidades_MATA!H29</f>
        <v>21.7</v>
      </c>
      <c r="F28" s="356">
        <f>Cantidades_MATA!E29</f>
        <v>19.54</v>
      </c>
      <c r="G28" s="356">
        <f t="shared" si="0"/>
        <v>2.16</v>
      </c>
      <c r="H28" s="356">
        <f t="shared" si="1"/>
        <v>1.6600000000000001</v>
      </c>
      <c r="I28" s="405" t="str">
        <f>Cantidades_MATA!C29</f>
        <v>APA_MDGSC027</v>
      </c>
      <c r="J28" s="356">
        <f>Cantidades_MATA!I29</f>
        <v>21.54</v>
      </c>
      <c r="K28" s="356">
        <f>Cantidades_MATA!F29</f>
        <v>19.420000000000002</v>
      </c>
      <c r="L28" s="356">
        <f t="shared" si="2"/>
        <v>2.1199999999999974</v>
      </c>
      <c r="M28" s="356">
        <f t="shared" si="3"/>
        <v>1.6199999999999974</v>
      </c>
      <c r="N28" s="349">
        <f>Cantidades_MATA!D29</f>
        <v>84.531086146192891</v>
      </c>
      <c r="O28" s="348">
        <f>Cantidades_MATA!G29</f>
        <v>500</v>
      </c>
      <c r="P28" s="549" t="s">
        <v>356</v>
      </c>
      <c r="Q28" s="553">
        <f t="shared" si="14"/>
        <v>2.2399999999999989</v>
      </c>
      <c r="R28" s="551">
        <f t="shared" si="7"/>
        <v>1.7</v>
      </c>
      <c r="S28" s="551">
        <v>1.1000000000000001</v>
      </c>
      <c r="T28" s="549">
        <f t="shared" si="17"/>
        <v>1.4</v>
      </c>
      <c r="U28" s="550">
        <f t="shared" si="8"/>
        <v>378.69926593494398</v>
      </c>
      <c r="V28" s="550"/>
      <c r="W28" s="349">
        <f t="shared" si="18"/>
        <v>236.68704120934007</v>
      </c>
      <c r="X28" s="349">
        <f t="shared" si="19"/>
        <v>28.402444945120678</v>
      </c>
      <c r="Y28" s="348">
        <f t="shared" si="4"/>
        <v>0</v>
      </c>
      <c r="Z28" s="349"/>
      <c r="AA28" s="349"/>
      <c r="AB28" s="348"/>
      <c r="AC28" s="348"/>
      <c r="AD28" s="349">
        <f t="shared" ref="AD28:AD34" si="20">N28</f>
        <v>84.531086146192891</v>
      </c>
      <c r="AE28" s="413"/>
      <c r="AF28" s="413"/>
      <c r="AG28" s="411"/>
      <c r="AH28" s="411"/>
      <c r="AI28" s="411"/>
      <c r="AJ28" s="411"/>
      <c r="AK28" s="413">
        <v>1</v>
      </c>
      <c r="AL28" s="370">
        <f>((((1.2+0.4)^2*PI()))/4)*(AP28+0.1)</f>
        <v>0.32169908772759942</v>
      </c>
      <c r="AM28" s="370">
        <f t="shared" si="16"/>
        <v>1.1600000000000001</v>
      </c>
      <c r="AN28" s="413"/>
      <c r="AO28" s="413"/>
      <c r="AP28" s="413">
        <f>19.6-19.54</f>
        <v>6.0000000000002274E-2</v>
      </c>
    </row>
    <row r="29" spans="1:42" s="358" customFormat="1" ht="16.5" customHeight="1" x14ac:dyDescent="0.25">
      <c r="A29" s="357">
        <v>1</v>
      </c>
      <c r="B29" s="355">
        <v>0</v>
      </c>
      <c r="C29" s="348">
        <f>Cantidades_MATA!A30</f>
        <v>26</v>
      </c>
      <c r="D29" s="348" t="str">
        <f>Cantidades_MATA!B30</f>
        <v>APA_MDGSC027</v>
      </c>
      <c r="E29" s="356">
        <f>Cantidades_MATA!H30</f>
        <v>21.54</v>
      </c>
      <c r="F29" s="356">
        <f>Cantidades_MATA!E30</f>
        <v>19.400000000000002</v>
      </c>
      <c r="G29" s="356">
        <f t="shared" si="0"/>
        <v>2.139999999999997</v>
      </c>
      <c r="H29" s="356">
        <f t="shared" si="1"/>
        <v>1.639999999999997</v>
      </c>
      <c r="I29" s="405" t="str">
        <f>Cantidades_MATA!C30</f>
        <v>APA_MDGSC028</v>
      </c>
      <c r="J29" s="356">
        <f>Cantidades_MATA!I30</f>
        <v>21.53</v>
      </c>
      <c r="K29" s="356">
        <f>Cantidades_MATA!F30</f>
        <v>19.28</v>
      </c>
      <c r="L29" s="356">
        <f t="shared" si="2"/>
        <v>2.25</v>
      </c>
      <c r="M29" s="356">
        <f t="shared" si="3"/>
        <v>1.75</v>
      </c>
      <c r="N29" s="349">
        <f>Cantidades_MATA!D30</f>
        <v>51.302331198948337</v>
      </c>
      <c r="O29" s="348">
        <f>Cantidades_MATA!G30</f>
        <v>500</v>
      </c>
      <c r="P29" s="549" t="s">
        <v>356</v>
      </c>
      <c r="Q29" s="553">
        <f t="shared" si="14"/>
        <v>2.2949999999999986</v>
      </c>
      <c r="R29" s="551">
        <f t="shared" si="7"/>
        <v>1.7</v>
      </c>
      <c r="S29" s="551">
        <v>1.1000000000000001</v>
      </c>
      <c r="T29" s="549">
        <f t="shared" si="17"/>
        <v>1.4</v>
      </c>
      <c r="U29" s="550">
        <f t="shared" si="8"/>
        <v>235.47770020317273</v>
      </c>
      <c r="V29" s="550"/>
      <c r="W29" s="349">
        <f t="shared" si="18"/>
        <v>153.24652735705533</v>
      </c>
      <c r="X29" s="349">
        <f t="shared" si="19"/>
        <v>21.187862785165564</v>
      </c>
      <c r="Y29" s="348">
        <f t="shared" si="4"/>
        <v>24</v>
      </c>
      <c r="Z29" s="349"/>
      <c r="AA29" s="349"/>
      <c r="AB29" s="348"/>
      <c r="AC29" s="348"/>
      <c r="AD29" s="349">
        <f t="shared" si="20"/>
        <v>51.302331198948337</v>
      </c>
      <c r="AE29" s="413"/>
      <c r="AF29" s="413"/>
      <c r="AG29" s="411"/>
      <c r="AH29" s="411"/>
      <c r="AI29" s="411"/>
      <c r="AJ29" s="411">
        <v>4</v>
      </c>
      <c r="AK29" s="413">
        <v>1</v>
      </c>
      <c r="AL29" s="370"/>
      <c r="AM29" s="370">
        <f t="shared" si="16"/>
        <v>1.139999999999997</v>
      </c>
      <c r="AN29" s="413"/>
      <c r="AO29" s="413"/>
      <c r="AP29" s="413"/>
    </row>
    <row r="30" spans="1:42" s="358" customFormat="1" ht="16.5" customHeight="1" x14ac:dyDescent="0.25">
      <c r="A30" s="357">
        <v>1</v>
      </c>
      <c r="B30" s="355">
        <v>0</v>
      </c>
      <c r="C30" s="348">
        <f>Cantidades_MATA!A31</f>
        <v>27</v>
      </c>
      <c r="D30" s="348" t="str">
        <f>Cantidades_MATA!B31</f>
        <v>APA_MDGSC028</v>
      </c>
      <c r="E30" s="356">
        <f>Cantidades_MATA!H31</f>
        <v>21.53</v>
      </c>
      <c r="F30" s="356">
        <f>Cantidades_MATA!E31</f>
        <v>19.260000000000002</v>
      </c>
      <c r="G30" s="356">
        <f t="shared" si="0"/>
        <v>2.2699999999999996</v>
      </c>
      <c r="H30" s="356">
        <f t="shared" si="1"/>
        <v>1.7699999999999996</v>
      </c>
      <c r="I30" s="405" t="str">
        <f>Cantidades_MATA!C31</f>
        <v>APA_MDGSC029</v>
      </c>
      <c r="J30" s="356">
        <f>Cantidades_MATA!I31</f>
        <v>21.63</v>
      </c>
      <c r="K30" s="356">
        <f>Cantidades_MATA!F31</f>
        <v>19.100000000000001</v>
      </c>
      <c r="L30" s="356">
        <f t="shared" si="2"/>
        <v>2.5299999999999976</v>
      </c>
      <c r="M30" s="356">
        <f t="shared" si="3"/>
        <v>2.0299999999999976</v>
      </c>
      <c r="N30" s="349">
        <f>Cantidades_MATA!D31</f>
        <v>71.186303566431349</v>
      </c>
      <c r="O30" s="348">
        <f>Cantidades_MATA!G31</f>
        <v>500</v>
      </c>
      <c r="P30" s="549" t="s">
        <v>356</v>
      </c>
      <c r="Q30" s="553">
        <f t="shared" si="14"/>
        <v>2.4999999999999987</v>
      </c>
      <c r="R30" s="551">
        <f t="shared" si="7"/>
        <v>1.7</v>
      </c>
      <c r="S30" s="551">
        <v>1.1000000000000001</v>
      </c>
      <c r="T30" s="549">
        <f t="shared" si="17"/>
        <v>1.4</v>
      </c>
      <c r="U30" s="550">
        <f t="shared" si="8"/>
        <v>355.93151783215654</v>
      </c>
      <c r="V30" s="550"/>
      <c r="W30" s="349">
        <f t="shared" si="18"/>
        <v>208.92164998600776</v>
      </c>
      <c r="X30" s="349">
        <f t="shared" si="19"/>
        <v>49.830412496501808</v>
      </c>
      <c r="Y30" s="348">
        <f t="shared" si="4"/>
        <v>24</v>
      </c>
      <c r="Z30" s="349"/>
      <c r="AA30" s="349"/>
      <c r="AB30" s="348"/>
      <c r="AC30" s="348"/>
      <c r="AD30" s="349">
        <f t="shared" si="20"/>
        <v>71.186303566431349</v>
      </c>
      <c r="AE30" s="413">
        <v>1</v>
      </c>
      <c r="AF30" s="413"/>
      <c r="AG30" s="411"/>
      <c r="AH30" s="411"/>
      <c r="AI30" s="411"/>
      <c r="AJ30" s="411">
        <v>4</v>
      </c>
      <c r="AK30" s="413"/>
      <c r="AL30" s="370">
        <f>((((1.2+0.4)^2*PI()))/4)*(G30+0.1)</f>
        <v>4.7651677369649983</v>
      </c>
      <c r="AM30" s="370">
        <f t="shared" si="16"/>
        <v>1.2699999999999996</v>
      </c>
      <c r="AN30" s="413"/>
      <c r="AO30" s="413"/>
      <c r="AP30" s="413"/>
    </row>
    <row r="31" spans="1:42" s="358" customFormat="1" ht="16.7" customHeight="1" x14ac:dyDescent="0.25">
      <c r="A31" s="357">
        <v>1</v>
      </c>
      <c r="B31" s="355">
        <v>0</v>
      </c>
      <c r="C31" s="348">
        <f>Cantidades_MATA!A32</f>
        <v>28</v>
      </c>
      <c r="D31" s="348" t="str">
        <f>Cantidades_MATA!B32</f>
        <v>APA_MDGSC029</v>
      </c>
      <c r="E31" s="356">
        <f>Cantidades_MATA!H32</f>
        <v>21.63</v>
      </c>
      <c r="F31" s="356">
        <f>Cantidades_MATA!E32</f>
        <v>19.080000000000002</v>
      </c>
      <c r="G31" s="356">
        <f t="shared" si="0"/>
        <v>2.5499999999999972</v>
      </c>
      <c r="H31" s="356">
        <f t="shared" si="1"/>
        <v>2.0499999999999972</v>
      </c>
      <c r="I31" s="405" t="str">
        <f>Cantidades_MATA!C32</f>
        <v>APA_MDGSC030</v>
      </c>
      <c r="J31" s="356">
        <f>Cantidades_MATA!I32</f>
        <v>21.77</v>
      </c>
      <c r="K31" s="356">
        <f>Cantidades_MATA!F32</f>
        <v>18.850000000000001</v>
      </c>
      <c r="L31" s="356">
        <f t="shared" si="2"/>
        <v>2.9199999999999982</v>
      </c>
      <c r="M31" s="356">
        <f t="shared" si="3"/>
        <v>2.4199999999999982</v>
      </c>
      <c r="N31" s="349">
        <f>Cantidades_MATA!D32</f>
        <v>99.275349535338876</v>
      </c>
      <c r="O31" s="348">
        <f>Cantidades_MATA!G32</f>
        <v>500</v>
      </c>
      <c r="P31" s="549" t="s">
        <v>356</v>
      </c>
      <c r="Q31" s="553">
        <f t="shared" si="14"/>
        <v>2.8349999999999977</v>
      </c>
      <c r="R31" s="551">
        <f t="shared" si="7"/>
        <v>1.7</v>
      </c>
      <c r="S31" s="551">
        <v>1.1000000000000001</v>
      </c>
      <c r="T31" s="549">
        <f t="shared" si="17"/>
        <v>1.4</v>
      </c>
      <c r="U31" s="550">
        <f t="shared" si="8"/>
        <v>562.89123186537097</v>
      </c>
      <c r="V31" s="550"/>
      <c r="W31" s="349">
        <f t="shared" si="18"/>
        <v>285.17097869894883</v>
      </c>
      <c r="X31" s="349">
        <f t="shared" si="19"/>
        <v>116.05288360681082</v>
      </c>
      <c r="Y31" s="348">
        <f t="shared" si="4"/>
        <v>18</v>
      </c>
      <c r="Z31" s="348"/>
      <c r="AA31" s="349"/>
      <c r="AB31" s="348"/>
      <c r="AC31" s="348"/>
      <c r="AD31" s="349">
        <f t="shared" si="20"/>
        <v>99.275349535338876</v>
      </c>
      <c r="AE31" s="413">
        <v>1</v>
      </c>
      <c r="AF31" s="413"/>
      <c r="AG31" s="411"/>
      <c r="AH31" s="411"/>
      <c r="AI31" s="411"/>
      <c r="AJ31" s="411">
        <v>3</v>
      </c>
      <c r="AK31" s="413"/>
      <c r="AL31" s="370">
        <f>((((1.2+0.4)^2*PI()))/4)*(G31+0.1)</f>
        <v>5.3281411404882837</v>
      </c>
      <c r="AM31" s="370">
        <f t="shared" si="16"/>
        <v>1.5499999999999972</v>
      </c>
      <c r="AN31" s="413"/>
      <c r="AO31" s="413"/>
      <c r="AP31" s="413"/>
    </row>
    <row r="32" spans="1:42" s="358" customFormat="1" ht="16.7" customHeight="1" x14ac:dyDescent="0.25">
      <c r="A32" s="357">
        <v>1</v>
      </c>
      <c r="B32" s="399">
        <v>0</v>
      </c>
      <c r="C32" s="348">
        <f>Cantidades_MATA!A33</f>
        <v>29</v>
      </c>
      <c r="D32" s="348" t="str">
        <f>Cantidades_MATA!B33</f>
        <v>APA_MDGSC030</v>
      </c>
      <c r="E32" s="356">
        <f>Cantidades_MATA!H33</f>
        <v>21.77</v>
      </c>
      <c r="F32" s="356">
        <f>Cantidades_MATA!E33</f>
        <v>18.830000000000002</v>
      </c>
      <c r="G32" s="356">
        <f t="shared" si="0"/>
        <v>2.9399999999999977</v>
      </c>
      <c r="H32" s="356">
        <f t="shared" si="1"/>
        <v>2.4399999999999977</v>
      </c>
      <c r="I32" s="405" t="str">
        <f>Cantidades_MATA!C33</f>
        <v>APA_MDGSC031</v>
      </c>
      <c r="J32" s="356">
        <f>Cantidades_MATA!I33</f>
        <v>22.04</v>
      </c>
      <c r="K32" s="356">
        <f>Cantidades_MATA!F33</f>
        <v>18.68</v>
      </c>
      <c r="L32" s="356">
        <f t="shared" si="2"/>
        <v>3.3599999999999994</v>
      </c>
      <c r="M32" s="356">
        <f t="shared" si="3"/>
        <v>2.8599999999999994</v>
      </c>
      <c r="N32" s="349">
        <f>Cantidades_MATA!D33</f>
        <v>51.364209483376442</v>
      </c>
      <c r="O32" s="348">
        <f>Cantidades_MATA!G33</f>
        <v>500</v>
      </c>
      <c r="P32" s="549" t="s">
        <v>356</v>
      </c>
      <c r="Q32" s="553">
        <f t="shared" si="14"/>
        <v>3.2499999999999987</v>
      </c>
      <c r="R32" s="551">
        <f t="shared" si="7"/>
        <v>1.7</v>
      </c>
      <c r="S32" s="551">
        <v>1.1000000000000001</v>
      </c>
      <c r="T32" s="549">
        <f t="shared" si="17"/>
        <v>1.4</v>
      </c>
      <c r="U32" s="550">
        <f t="shared" si="8"/>
        <v>333.86736164194673</v>
      </c>
      <c r="V32" s="552">
        <f>+(Q32-3)*N32*2</f>
        <v>25.682104741688082</v>
      </c>
      <c r="W32" s="349">
        <f t="shared" si="18"/>
        <v>148.61978655345405</v>
      </c>
      <c r="X32" s="349">
        <f t="shared" si="19"/>
        <v>89.887366595908674</v>
      </c>
      <c r="Y32" s="348">
        <f t="shared" si="4"/>
        <v>12</v>
      </c>
      <c r="Z32" s="348"/>
      <c r="AA32" s="349"/>
      <c r="AB32" s="348"/>
      <c r="AC32" s="348"/>
      <c r="AD32" s="349">
        <f t="shared" si="20"/>
        <v>51.364209483376442</v>
      </c>
      <c r="AE32" s="413">
        <v>1</v>
      </c>
      <c r="AF32" s="413"/>
      <c r="AG32" s="411"/>
      <c r="AH32" s="411"/>
      <c r="AI32" s="411"/>
      <c r="AJ32" s="411">
        <v>2</v>
      </c>
      <c r="AK32" s="413"/>
      <c r="AL32" s="370">
        <f>((((1.2+0.4)^2*PI()))/4)*(G32+0.1)</f>
        <v>6.1122826668242976</v>
      </c>
      <c r="AM32" s="370">
        <f t="shared" si="16"/>
        <v>1.9399999999999977</v>
      </c>
      <c r="AN32" s="413"/>
      <c r="AO32" s="413"/>
      <c r="AP32" s="413"/>
    </row>
    <row r="33" spans="1:44" s="358" customFormat="1" ht="16.7" customHeight="1" x14ac:dyDescent="0.25">
      <c r="A33" s="348">
        <v>1</v>
      </c>
      <c r="B33" s="348">
        <v>0</v>
      </c>
      <c r="C33" s="348">
        <f>Cantidades_MATA!A34</f>
        <v>30</v>
      </c>
      <c r="D33" s="348" t="str">
        <f>Cantidades_MATA!B34</f>
        <v>APA_MDGSC031</v>
      </c>
      <c r="E33" s="356">
        <f>Cantidades_MATA!H34</f>
        <v>22.04</v>
      </c>
      <c r="F33" s="356">
        <f>Cantidades_MATA!E34</f>
        <v>18.66</v>
      </c>
      <c r="G33" s="356">
        <f t="shared" si="0"/>
        <v>3.379999999999999</v>
      </c>
      <c r="H33" s="356">
        <f t="shared" si="1"/>
        <v>2.879999999999999</v>
      </c>
      <c r="I33" s="405" t="str">
        <f>Cantidades_MATA!C34</f>
        <v>APA_MDGSC032</v>
      </c>
      <c r="J33" s="356">
        <f>Cantidades_MATA!I34</f>
        <v>22.05</v>
      </c>
      <c r="K33" s="356">
        <f>Cantidades_MATA!F34</f>
        <v>18.45</v>
      </c>
      <c r="L33" s="356">
        <f>+J33-K33</f>
        <v>3.6000000000000014</v>
      </c>
      <c r="M33" s="356">
        <f>+L33-O33/1000</f>
        <v>3.1000000000000014</v>
      </c>
      <c r="N33" s="349">
        <f>Cantidades_MATA!D34</f>
        <v>99.732060040723084</v>
      </c>
      <c r="O33" s="348">
        <f>Cantidades_MATA!G34</f>
        <v>500</v>
      </c>
      <c r="P33" s="348" t="s">
        <v>356</v>
      </c>
      <c r="Q33" s="453">
        <f t="shared" si="14"/>
        <v>3.5900000000000003</v>
      </c>
      <c r="R33" s="374">
        <f>IF(Q33&lt;=1,1.1,IF(Q33&lt;=2,1.4,IF(Q33&gt;2,1.7)))</f>
        <v>1.7</v>
      </c>
      <c r="S33" s="374">
        <v>1.1000000000000001</v>
      </c>
      <c r="T33" s="348">
        <f>+(R33+S33)/2</f>
        <v>1.4</v>
      </c>
      <c r="U33" s="349">
        <f>IF(Q33&gt;1.5,Q33*N33*2,0)+1</f>
        <v>717.07619109239181</v>
      </c>
      <c r="V33" s="442">
        <f t="shared" ref="V33:V34" si="21">+(Q33-3)*N33*2</f>
        <v>117.6838308480533</v>
      </c>
      <c r="W33" s="349">
        <f>IF(Q33&gt;2,2*N33*T33,Q33*T33*N33)+(Y33*0.8*0.5)</f>
        <v>279.24976811402462</v>
      </c>
      <c r="X33" s="349">
        <f>IF(Q33&gt;2,(Q33-2)*T33*N33,0)</f>
        <v>222.00356565064962</v>
      </c>
      <c r="Y33" s="348">
        <f t="shared" si="4"/>
        <v>0</v>
      </c>
      <c r="Z33" s="348"/>
      <c r="AA33" s="349"/>
      <c r="AB33" s="348"/>
      <c r="AC33" s="348"/>
      <c r="AD33" s="349">
        <f t="shared" si="20"/>
        <v>99.732060040723084</v>
      </c>
      <c r="AE33" s="413">
        <v>1</v>
      </c>
      <c r="AF33" s="413"/>
      <c r="AG33" s="411"/>
      <c r="AH33" s="411"/>
      <c r="AI33" s="411"/>
      <c r="AJ33" s="411"/>
      <c r="AK33" s="413"/>
      <c r="AL33" s="370">
        <f>((((1.2+0.4)^2*PI()))/4)*(G33+0.1)</f>
        <v>6.9969551580751856</v>
      </c>
      <c r="AM33" s="370">
        <f t="shared" si="16"/>
        <v>2.379999999999999</v>
      </c>
      <c r="AN33" s="413"/>
      <c r="AO33" s="413"/>
      <c r="AP33" s="413"/>
    </row>
    <row r="34" spans="1:44" s="358" customFormat="1" ht="16.7" customHeight="1" x14ac:dyDescent="0.25">
      <c r="A34" s="348">
        <v>1</v>
      </c>
      <c r="B34" s="348">
        <v>0</v>
      </c>
      <c r="C34" s="348">
        <f>Cantidades_MATA!A35</f>
        <v>31</v>
      </c>
      <c r="D34" s="348" t="str">
        <f>Cantidades_MATA!B35</f>
        <v>APA_MDGSC032</v>
      </c>
      <c r="E34" s="356">
        <f>Cantidades_MATA!H35</f>
        <v>22.05</v>
      </c>
      <c r="F34" s="356">
        <f>Cantidades_MATA!E35</f>
        <v>18.43</v>
      </c>
      <c r="G34" s="356">
        <f t="shared" si="0"/>
        <v>3.620000000000001</v>
      </c>
      <c r="H34" s="356">
        <f t="shared" si="1"/>
        <v>3.120000000000001</v>
      </c>
      <c r="I34" s="405" t="str">
        <f>Cantidades_MATA!C35</f>
        <v>APA_MDGSC033</v>
      </c>
      <c r="J34" s="356">
        <f>Cantidades_MATA!I35</f>
        <v>22.25</v>
      </c>
      <c r="K34" s="356">
        <f>Cantidades_MATA!F35</f>
        <v>17.95</v>
      </c>
      <c r="L34" s="356">
        <f>+J34-K34</f>
        <v>4.3000000000000007</v>
      </c>
      <c r="M34" s="356">
        <f>+L34-O34/1000</f>
        <v>3.8000000000000007</v>
      </c>
      <c r="N34" s="349">
        <f>Cantidades_MATA!D35</f>
        <v>19.566293746375543</v>
      </c>
      <c r="O34" s="348">
        <f>Cantidades_MATA!G35</f>
        <v>500</v>
      </c>
      <c r="P34" s="348" t="s">
        <v>356</v>
      </c>
      <c r="Q34" s="453">
        <f t="shared" si="14"/>
        <v>4.0600000000000005</v>
      </c>
      <c r="R34" s="374">
        <f>IF(Q34&lt;=1,1.1,IF(Q34&lt;=2,1.4,IF(Q34&gt;2,1.7)))</f>
        <v>1.7</v>
      </c>
      <c r="S34" s="374">
        <v>1.1000000000000001</v>
      </c>
      <c r="T34" s="348">
        <f>+(R34+S34)/2</f>
        <v>1.4</v>
      </c>
      <c r="U34" s="349">
        <f>IF(Q34&gt;1.5,Q34*N34*2,0)</f>
        <v>158.87830522056942</v>
      </c>
      <c r="V34" s="442">
        <f t="shared" si="21"/>
        <v>41.480542742316167</v>
      </c>
      <c r="W34" s="349">
        <f>IF(Q34&gt;2,2*N34*T34,Q34*T34*N34)+(Y34*0.8*0.5)</f>
        <v>54.785622489851519</v>
      </c>
      <c r="X34" s="349">
        <f>IF(Q34&gt;2,(Q34-2)*T34*N34,0)</f>
        <v>56.429191164547071</v>
      </c>
      <c r="Y34" s="348">
        <f t="shared" si="4"/>
        <v>0</v>
      </c>
      <c r="Z34" s="348"/>
      <c r="AA34" s="349"/>
      <c r="AB34" s="348"/>
      <c r="AC34" s="348"/>
      <c r="AD34" s="349">
        <f t="shared" si="20"/>
        <v>19.566293746375543</v>
      </c>
      <c r="AE34" s="413">
        <v>1</v>
      </c>
      <c r="AF34" s="413"/>
      <c r="AG34" s="411"/>
      <c r="AH34" s="411"/>
      <c r="AI34" s="411"/>
      <c r="AJ34" s="411"/>
      <c r="AK34" s="413"/>
      <c r="AL34" s="370">
        <f>((((1.2+0.4)^2*PI()))/4)*(G34+0.1)</f>
        <v>7.4795037896665821</v>
      </c>
      <c r="AM34" s="370">
        <f t="shared" si="16"/>
        <v>2.620000000000001</v>
      </c>
      <c r="AN34" s="413"/>
      <c r="AO34" s="413">
        <v>1</v>
      </c>
      <c r="AP34" s="410"/>
    </row>
    <row r="35" spans="1:44" s="358" customFormat="1" ht="16.7" customHeight="1" x14ac:dyDescent="0.25">
      <c r="A35" s="377"/>
      <c r="B35" s="377"/>
      <c r="C35" s="377"/>
      <c r="D35" s="399"/>
      <c r="E35" s="365"/>
      <c r="F35" s="365"/>
      <c r="G35" s="365"/>
      <c r="H35" s="365"/>
      <c r="I35" s="439"/>
      <c r="J35" s="365"/>
      <c r="K35" s="365"/>
      <c r="L35" s="365"/>
      <c r="M35" s="365"/>
      <c r="N35" s="366"/>
      <c r="O35" s="367"/>
      <c r="P35" s="367"/>
      <c r="Q35" s="454"/>
      <c r="R35" s="375"/>
      <c r="S35" s="375"/>
      <c r="T35" s="367"/>
      <c r="U35" s="366"/>
      <c r="V35" s="366"/>
      <c r="W35" s="366"/>
      <c r="X35" s="366"/>
      <c r="Y35" s="367"/>
      <c r="Z35" s="367"/>
      <c r="AA35" s="366"/>
      <c r="AB35" s="367"/>
      <c r="AC35" s="367"/>
      <c r="AD35" s="367"/>
      <c r="AE35" s="412"/>
      <c r="AF35" s="412"/>
      <c r="AG35" s="408"/>
      <c r="AH35" s="408"/>
      <c r="AI35" s="408"/>
      <c r="AJ35" s="408"/>
      <c r="AK35" s="412"/>
      <c r="AL35" s="412"/>
      <c r="AM35" s="514"/>
      <c r="AN35" s="412"/>
      <c r="AO35" s="412"/>
      <c r="AP35" s="515"/>
      <c r="AQ35" s="517"/>
    </row>
    <row r="36" spans="1:44" s="358" customFormat="1" ht="12" customHeight="1" x14ac:dyDescent="0.25">
      <c r="A36" s="377"/>
      <c r="B36" s="377"/>
      <c r="C36" s="377"/>
      <c r="D36" s="372"/>
      <c r="E36" s="368"/>
      <c r="F36" s="368"/>
      <c r="G36" s="368"/>
      <c r="H36" s="365"/>
      <c r="I36" s="373"/>
      <c r="J36" s="351"/>
      <c r="K36" s="351"/>
      <c r="L36" s="365"/>
      <c r="M36" s="365"/>
      <c r="N36" s="366"/>
      <c r="O36" s="367"/>
      <c r="P36" s="367"/>
      <c r="Q36" s="454"/>
      <c r="R36" s="375"/>
      <c r="S36" s="375"/>
      <c r="T36" s="367"/>
      <c r="U36" s="366"/>
      <c r="V36" s="366"/>
      <c r="W36" s="366"/>
      <c r="X36" s="366"/>
      <c r="Y36" s="367"/>
      <c r="Z36" s="367"/>
      <c r="AA36" s="367"/>
      <c r="AB36" s="367"/>
      <c r="AC36" s="367"/>
      <c r="AD36" s="367"/>
      <c r="AE36" s="412"/>
      <c r="AF36" s="412"/>
      <c r="AG36" s="408"/>
      <c r="AH36" s="408"/>
      <c r="AI36" s="408"/>
      <c r="AJ36" s="408"/>
      <c r="AK36" s="407"/>
      <c r="AL36" s="407"/>
      <c r="AM36" s="407"/>
      <c r="AN36" s="407"/>
      <c r="AO36" s="407"/>
      <c r="AP36" s="516"/>
    </row>
    <row r="37" spans="1:44" s="358" customFormat="1" x14ac:dyDescent="0.25">
      <c r="D37" s="701" t="s">
        <v>93</v>
      </c>
      <c r="E37" s="701"/>
      <c r="F37" s="701"/>
      <c r="G37" s="701"/>
      <c r="H37" s="701"/>
      <c r="I37" s="701"/>
      <c r="J37" s="701"/>
      <c r="K37" s="701"/>
      <c r="L37" s="701"/>
      <c r="M37" s="370"/>
      <c r="N37" s="359">
        <f>(ROUND(SUM(N3:N36),0))</f>
        <v>1778</v>
      </c>
      <c r="O37" s="359"/>
      <c r="P37" s="359"/>
      <c r="Q37" s="359"/>
      <c r="R37" s="359"/>
      <c r="S37" s="359"/>
      <c r="T37" s="359"/>
      <c r="U37" s="359">
        <f>(ROUND(SUM(U3:U36),0))</f>
        <v>5816</v>
      </c>
      <c r="V37" s="359">
        <f>ROUND(SUM(V3:V36),0)</f>
        <v>185</v>
      </c>
      <c r="W37" s="546">
        <f>(ROUND(SUM(W3:W36),0))</f>
        <v>4440</v>
      </c>
      <c r="X37" s="359">
        <f>(ROUND(SUM(X3:X36),0))</f>
        <v>705</v>
      </c>
      <c r="Y37" s="414">
        <f>(ROUND(SUM(Y3:Y36),0))</f>
        <v>1040</v>
      </c>
      <c r="Z37" s="359">
        <f>(ROUND(SUM(Z3:Z36),0))</f>
        <v>704</v>
      </c>
      <c r="AA37" s="359">
        <f>ROUND(SUM(AA3:AA36),0)</f>
        <v>277</v>
      </c>
      <c r="AB37" s="359">
        <f>ROUND(SUM(AB3:AB36),0)</f>
        <v>146</v>
      </c>
      <c r="AC37" s="359">
        <f>ROUND(SUM(AC3:AC36),0)</f>
        <v>174</v>
      </c>
      <c r="AD37" s="359">
        <f>ROUND(SUM(AD3:AD36)-AD34,0)</f>
        <v>457</v>
      </c>
      <c r="AE37" s="414">
        <f t="shared" ref="AE37:AK37" si="22">ROUND(SUM(AE3:AE36),0)</f>
        <v>12</v>
      </c>
      <c r="AF37" s="414">
        <f>(ROUND(SUM(AF3:AF36),0))</f>
        <v>108</v>
      </c>
      <c r="AG37" s="414">
        <f t="shared" si="22"/>
        <v>25</v>
      </c>
      <c r="AH37" s="414">
        <f t="shared" si="22"/>
        <v>19</v>
      </c>
      <c r="AI37" s="414">
        <f t="shared" si="22"/>
        <v>8</v>
      </c>
      <c r="AJ37" s="414">
        <f t="shared" si="22"/>
        <v>13</v>
      </c>
      <c r="AK37" s="414">
        <f t="shared" si="22"/>
        <v>19</v>
      </c>
      <c r="AL37" s="370">
        <f>SUM(AL4:AL34)</f>
        <v>71.336772703594164</v>
      </c>
      <c r="AM37" s="370">
        <f>SUM(AM4:AM34)</f>
        <v>22.859999999999992</v>
      </c>
      <c r="AN37" s="370">
        <f>SUM(AN4:AN34)</f>
        <v>10.789999999999996</v>
      </c>
      <c r="AO37" s="413">
        <f>SUM(AO4:AO34)</f>
        <v>10</v>
      </c>
      <c r="AP37" s="413"/>
    </row>
    <row r="38" spans="1:44" s="358" customFormat="1" x14ac:dyDescent="0.25">
      <c r="A38" s="360"/>
      <c r="B38" s="360"/>
      <c r="C38" s="360"/>
      <c r="D38" s="325"/>
      <c r="E38" s="369"/>
      <c r="F38" s="369"/>
      <c r="G38" s="369"/>
      <c r="H38" s="362"/>
      <c r="I38" s="325"/>
      <c r="J38" s="361"/>
      <c r="K38" s="361"/>
      <c r="L38" s="361"/>
      <c r="M38" s="361"/>
      <c r="N38" s="361"/>
      <c r="O38" s="361"/>
      <c r="P38" s="361"/>
      <c r="Q38" s="361"/>
      <c r="R38" s="361"/>
      <c r="S38" s="361"/>
      <c r="T38" s="361"/>
      <c r="U38" s="361"/>
      <c r="V38" s="361"/>
      <c r="W38" s="361"/>
      <c r="Z38" s="360"/>
      <c r="AE38" s="407"/>
      <c r="AF38" s="407"/>
      <c r="AG38" s="407"/>
      <c r="AH38" s="407"/>
      <c r="AI38" s="407"/>
      <c r="AJ38" s="407"/>
      <c r="AK38" s="407"/>
      <c r="AL38" s="407"/>
      <c r="AM38" s="407"/>
      <c r="AN38" s="407"/>
      <c r="AO38" s="360"/>
      <c r="AP38" s="407"/>
    </row>
    <row r="39" spans="1:44" s="358" customFormat="1" ht="14.25" customHeight="1" x14ac:dyDescent="0.25">
      <c r="D39" s="421">
        <f>N8+N9+N10+N15+N16+N19+N29+N30+N31+N32+N33</f>
        <v>600.14454467263818</v>
      </c>
      <c r="E39" s="702" t="s">
        <v>378</v>
      </c>
      <c r="F39" s="702"/>
      <c r="G39" s="369"/>
      <c r="H39" s="511">
        <f>SUM(N4:N34)-D39</f>
        <v>1178.1564582950375</v>
      </c>
      <c r="I39" s="418" t="s">
        <v>379</v>
      </c>
      <c r="J39" s="361"/>
      <c r="K39" s="361"/>
      <c r="L39" s="421">
        <f>SUM(A4:A34)</f>
        <v>31</v>
      </c>
      <c r="M39" s="703" t="s">
        <v>427</v>
      </c>
      <c r="N39" s="703"/>
      <c r="O39" s="703"/>
      <c r="P39" s="703"/>
      <c r="Q39" s="703"/>
      <c r="S39" s="421">
        <f>+AE37</f>
        <v>12</v>
      </c>
      <c r="T39" s="699" t="s">
        <v>426</v>
      </c>
      <c r="U39" s="699"/>
      <c r="V39" s="699"/>
      <c r="X39" s="527">
        <f>+Z37+AA37+AB37+AC37+AD37</f>
        <v>1758</v>
      </c>
      <c r="Y39" s="704" t="s">
        <v>457</v>
      </c>
      <c r="Z39" s="704"/>
      <c r="AA39" s="704"/>
      <c r="AB39" s="704"/>
      <c r="AC39" s="704"/>
      <c r="AD39" s="704"/>
      <c r="AE39" s="407"/>
      <c r="AF39" s="407"/>
      <c r="AG39" s="407"/>
      <c r="AH39" s="407"/>
      <c r="AI39" s="407"/>
      <c r="AJ39" s="407"/>
      <c r="AK39" s="423"/>
      <c r="AL39" s="421">
        <v>11</v>
      </c>
      <c r="AM39" s="698" t="s">
        <v>458</v>
      </c>
      <c r="AN39" s="698"/>
      <c r="AP39" s="407"/>
    </row>
    <row r="40" spans="1:44" s="358" customFormat="1" x14ac:dyDescent="0.25">
      <c r="D40" s="325"/>
      <c r="E40" s="369"/>
      <c r="F40" s="369"/>
      <c r="G40" s="369"/>
      <c r="H40" s="362"/>
      <c r="I40" s="325"/>
      <c r="J40" s="361"/>
      <c r="K40" s="361"/>
      <c r="L40" s="369"/>
      <c r="M40" s="371"/>
      <c r="Q40" s="420"/>
      <c r="T40" s="420"/>
      <c r="AE40" s="407"/>
      <c r="AF40" s="407"/>
      <c r="AG40" s="407"/>
      <c r="AH40" s="407"/>
      <c r="AI40" s="407"/>
      <c r="AJ40" s="407"/>
      <c r="AK40" s="407"/>
      <c r="AL40" s="407"/>
      <c r="AM40" s="407"/>
      <c r="AN40" s="407"/>
      <c r="AO40" s="422"/>
      <c r="AP40" s="407"/>
      <c r="AQ40" s="423"/>
      <c r="AR40" s="423"/>
    </row>
    <row r="41" spans="1:44" s="358" customFormat="1" x14ac:dyDescent="0.25">
      <c r="D41" s="325"/>
      <c r="E41" s="369"/>
      <c r="F41" s="369"/>
      <c r="G41" s="369"/>
      <c r="H41" s="362"/>
      <c r="I41" s="325"/>
      <c r="J41" s="361"/>
      <c r="K41" s="361"/>
      <c r="L41" s="369"/>
      <c r="M41" s="371"/>
      <c r="Q41" s="420"/>
      <c r="S41" s="421">
        <f>+AK37</f>
        <v>19</v>
      </c>
      <c r="T41" s="699" t="s">
        <v>550</v>
      </c>
      <c r="U41" s="699"/>
      <c r="V41" s="699"/>
      <c r="W41" s="423"/>
      <c r="AE41" s="407"/>
      <c r="AF41" s="407"/>
      <c r="AG41" s="407"/>
      <c r="AH41" s="407"/>
      <c r="AI41" s="407"/>
      <c r="AJ41" s="407"/>
      <c r="AK41" s="407"/>
      <c r="AL41" s="478">
        <v>31</v>
      </c>
      <c r="AM41" s="698" t="s">
        <v>511</v>
      </c>
      <c r="AN41" s="698"/>
      <c r="AO41" s="360"/>
      <c r="AP41" s="407"/>
    </row>
    <row r="42" spans="1:44" s="358" customFormat="1" x14ac:dyDescent="0.25">
      <c r="D42" s="325"/>
      <c r="E42" s="369"/>
      <c r="F42" s="369"/>
      <c r="G42" s="369"/>
      <c r="H42" s="362"/>
      <c r="I42" s="325"/>
      <c r="J42" s="361"/>
      <c r="K42" s="361"/>
      <c r="L42" s="369"/>
      <c r="M42" s="371"/>
      <c r="Q42" s="420"/>
      <c r="T42" s="720"/>
      <c r="U42" s="720"/>
      <c r="V42" s="720"/>
      <c r="W42" s="720"/>
      <c r="AE42" s="407"/>
      <c r="AF42" s="407"/>
      <c r="AG42" s="407"/>
      <c r="AH42" s="407"/>
      <c r="AI42" s="407"/>
      <c r="AJ42" s="407"/>
      <c r="AK42" s="407"/>
      <c r="AL42" s="407"/>
      <c r="AM42" s="407"/>
      <c r="AN42" s="407"/>
      <c r="AO42" s="360"/>
      <c r="AP42" s="407"/>
    </row>
    <row r="43" spans="1:44" s="358" customFormat="1" x14ac:dyDescent="0.25">
      <c r="D43" s="325"/>
      <c r="E43" s="369"/>
      <c r="F43" s="369"/>
      <c r="G43" s="369"/>
      <c r="H43" s="362"/>
      <c r="I43" s="325"/>
      <c r="J43" s="361"/>
      <c r="K43" s="361"/>
      <c r="L43" s="369"/>
      <c r="M43" s="371"/>
      <c r="Q43" s="420"/>
      <c r="T43" s="423"/>
      <c r="U43" s="423"/>
      <c r="V43" s="423"/>
      <c r="W43" s="423"/>
      <c r="AE43" s="407"/>
      <c r="AF43" s="407"/>
      <c r="AG43" s="407"/>
      <c r="AH43" s="407"/>
      <c r="AI43" s="407"/>
      <c r="AJ43" s="407"/>
      <c r="AK43" s="407"/>
      <c r="AL43" s="421">
        <v>0</v>
      </c>
      <c r="AM43" s="698" t="s">
        <v>512</v>
      </c>
      <c r="AN43" s="698"/>
      <c r="AO43" s="360"/>
      <c r="AP43" s="407"/>
    </row>
    <row r="44" spans="1:44" s="358" customFormat="1" x14ac:dyDescent="0.25">
      <c r="D44" s="325"/>
      <c r="E44" s="369"/>
      <c r="F44" s="369"/>
      <c r="G44" s="369"/>
      <c r="H44" s="362"/>
      <c r="I44" s="325"/>
      <c r="J44" s="361"/>
      <c r="K44" s="361"/>
      <c r="L44" s="369"/>
      <c r="M44" s="371"/>
      <c r="Q44" s="420"/>
      <c r="S44" s="429"/>
      <c r="T44" s="719"/>
      <c r="U44" s="719"/>
      <c r="V44" s="719"/>
      <c r="W44" s="423"/>
      <c r="AE44" s="407"/>
      <c r="AF44" s="407"/>
      <c r="AG44" s="407"/>
      <c r="AH44" s="407"/>
      <c r="AI44" s="407"/>
      <c r="AJ44" s="407"/>
      <c r="AK44" s="407"/>
      <c r="AL44" s="440"/>
      <c r="AM44" s="440"/>
      <c r="AN44" s="440"/>
      <c r="AO44" s="360"/>
      <c r="AP44" s="407"/>
    </row>
    <row r="45" spans="1:44" x14ac:dyDescent="0.25">
      <c r="T45" s="416"/>
      <c r="U45" s="416"/>
      <c r="V45" s="416"/>
      <c r="W45" s="423"/>
      <c r="AL45" s="440"/>
      <c r="AM45" s="718"/>
      <c r="AN45" s="718"/>
    </row>
    <row r="46" spans="1:44" x14ac:dyDescent="0.25">
      <c r="Q46" s="721" t="e">
        <f>#REF!</f>
        <v>#REF!</v>
      </c>
      <c r="R46" s="721"/>
      <c r="S46" s="721"/>
      <c r="T46" s="416"/>
      <c r="U46" s="416"/>
      <c r="V46" s="416"/>
      <c r="W46" s="423"/>
      <c r="AL46" s="450"/>
      <c r="AM46" s="450"/>
      <c r="AN46" s="450"/>
    </row>
  </sheetData>
  <autoFilter ref="D2:AJ36"/>
  <mergeCells count="14">
    <mergeCell ref="Q46:S46"/>
    <mergeCell ref="D1:AJ1"/>
    <mergeCell ref="E39:F39"/>
    <mergeCell ref="M39:Q39"/>
    <mergeCell ref="T39:V39"/>
    <mergeCell ref="Y39:AD39"/>
    <mergeCell ref="AM45:AN45"/>
    <mergeCell ref="T44:V44"/>
    <mergeCell ref="T42:W42"/>
    <mergeCell ref="AM39:AN39"/>
    <mergeCell ref="D37:L37"/>
    <mergeCell ref="AM41:AN41"/>
    <mergeCell ref="AM43:AN43"/>
    <mergeCell ref="T41:V41"/>
  </mergeCells>
  <phoneticPr fontId="25" type="noConversion"/>
  <printOptions horizontalCentered="1"/>
  <pageMargins left="0.15748031496062992" right="0.15748031496062992" top="0.93" bottom="0.74803149606299213" header="0.31496062992125984" footer="0.31496062992125984"/>
  <pageSetup scale="43"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view="pageBreakPreview" topLeftCell="A9" zoomScaleNormal="90" zoomScaleSheetLayoutView="100" workbookViewId="0">
      <selection activeCell="E16" sqref="E16"/>
    </sheetView>
  </sheetViews>
  <sheetFormatPr baseColWidth="10" defaultColWidth="11.42578125" defaultRowHeight="14.25" x14ac:dyDescent="0.2"/>
  <cols>
    <col min="1" max="1" width="14.5703125" style="122" customWidth="1"/>
    <col min="2" max="2" width="8" style="126" customWidth="1"/>
    <col min="3" max="3" width="53" style="122" customWidth="1"/>
    <col min="4" max="4" width="7.28515625" style="122" customWidth="1"/>
    <col min="5" max="5" width="11.140625" style="289" customWidth="1"/>
    <col min="6" max="6" width="14.7109375" style="307" customWidth="1"/>
    <col min="7" max="7" width="20.28515625" style="307" customWidth="1"/>
    <col min="8" max="8" width="27.140625" style="122" customWidth="1"/>
    <col min="9" max="9" width="23.85546875" style="122" customWidth="1"/>
    <col min="10" max="10" width="18.7109375" style="122" bestFit="1" customWidth="1"/>
    <col min="11" max="16384" width="11.42578125" style="122"/>
  </cols>
  <sheetData>
    <row r="1" spans="1:7" ht="21.75" customHeight="1" x14ac:dyDescent="0.2"/>
    <row r="2" spans="1:7" ht="32.25" customHeight="1" x14ac:dyDescent="0.2">
      <c r="A2" s="710" t="s">
        <v>597</v>
      </c>
      <c r="B2" s="710"/>
      <c r="C2" s="710"/>
      <c r="D2" s="710"/>
      <c r="E2" s="710"/>
      <c r="F2" s="710"/>
      <c r="G2" s="710"/>
    </row>
    <row r="3" spans="1:7" ht="30" customHeight="1" x14ac:dyDescent="0.2">
      <c r="A3" s="710" t="s">
        <v>552</v>
      </c>
      <c r="B3" s="710"/>
      <c r="C3" s="710"/>
      <c r="D3" s="710"/>
      <c r="E3" s="710"/>
      <c r="F3" s="710"/>
      <c r="G3" s="710"/>
    </row>
    <row r="4" spans="1:7" ht="14.25" customHeight="1" x14ac:dyDescent="0.2">
      <c r="A4" s="711"/>
      <c r="B4" s="711"/>
      <c r="C4" s="711"/>
      <c r="D4" s="711"/>
      <c r="E4" s="711"/>
      <c r="F4" s="711"/>
      <c r="G4" s="711"/>
    </row>
    <row r="5" spans="1:7" ht="24" customHeight="1" x14ac:dyDescent="0.2">
      <c r="A5" s="712" t="s">
        <v>423</v>
      </c>
      <c r="B5" s="712"/>
      <c r="C5" s="712"/>
      <c r="D5" s="712"/>
      <c r="E5" s="712"/>
      <c r="F5" s="712"/>
      <c r="G5" s="712"/>
    </row>
    <row r="6" spans="1:7" ht="14.25" customHeight="1" thickBot="1" x14ac:dyDescent="0.25">
      <c r="B6" s="121"/>
      <c r="C6" s="123"/>
      <c r="D6" s="123"/>
      <c r="E6" s="283"/>
      <c r="F6" s="298"/>
      <c r="G6" s="298"/>
    </row>
    <row r="7" spans="1:7" ht="39.75" customHeight="1" thickBot="1" x14ac:dyDescent="0.25">
      <c r="A7" s="382" t="s">
        <v>8</v>
      </c>
      <c r="B7" s="384" t="s">
        <v>425</v>
      </c>
      <c r="C7" s="124" t="s">
        <v>390</v>
      </c>
      <c r="D7" s="124" t="s">
        <v>11</v>
      </c>
      <c r="E7" s="284" t="s">
        <v>12</v>
      </c>
      <c r="F7" s="299" t="s">
        <v>13</v>
      </c>
      <c r="G7" s="300" t="s">
        <v>14</v>
      </c>
    </row>
    <row r="8" spans="1:7" ht="15" x14ac:dyDescent="0.2">
      <c r="A8" s="386"/>
      <c r="B8" s="276">
        <v>1</v>
      </c>
      <c r="C8" s="378" t="s">
        <v>428</v>
      </c>
      <c r="D8" s="207"/>
      <c r="E8" s="285"/>
      <c r="F8" s="301"/>
      <c r="G8" s="302" t="e">
        <f>SUM(G9:G13)</f>
        <v>#REF!</v>
      </c>
    </row>
    <row r="9" spans="1:7" ht="27.75" customHeight="1" x14ac:dyDescent="0.2">
      <c r="A9" s="34">
        <v>105</v>
      </c>
      <c r="B9" s="82">
        <v>1.1000000000000001</v>
      </c>
      <c r="C9" s="83" t="s">
        <v>461</v>
      </c>
      <c r="D9" s="39" t="s">
        <v>21</v>
      </c>
      <c r="E9" s="445">
        <f>'Memoria Cálculo_MATA'!AK37</f>
        <v>19</v>
      </c>
      <c r="F9" s="303" t="e">
        <f>#REF!</f>
        <v>#REF!</v>
      </c>
      <c r="G9" s="304" t="e">
        <f>E9*F9</f>
        <v>#REF!</v>
      </c>
    </row>
    <row r="10" spans="1:7" hidden="1" x14ac:dyDescent="0.2">
      <c r="A10" s="34"/>
      <c r="B10" s="82">
        <v>1.2</v>
      </c>
      <c r="C10" s="379" t="s">
        <v>83</v>
      </c>
      <c r="D10" s="39" t="s">
        <v>19</v>
      </c>
      <c r="E10" s="288"/>
      <c r="F10" s="303"/>
      <c r="G10" s="304">
        <f>E10*F10</f>
        <v>0</v>
      </c>
    </row>
    <row r="11" spans="1:7" ht="28.5" hidden="1" x14ac:dyDescent="0.2">
      <c r="A11" s="387"/>
      <c r="B11" s="82">
        <v>1.3</v>
      </c>
      <c r="C11" s="83" t="s">
        <v>310</v>
      </c>
      <c r="D11" s="39" t="s">
        <v>22</v>
      </c>
      <c r="E11" s="288"/>
      <c r="F11" s="303"/>
      <c r="G11" s="304">
        <f>E11*F11</f>
        <v>0</v>
      </c>
    </row>
    <row r="12" spans="1:7" hidden="1" x14ac:dyDescent="0.2">
      <c r="A12" s="387"/>
      <c r="B12" s="82">
        <v>1.4</v>
      </c>
      <c r="C12" s="83" t="s">
        <v>81</v>
      </c>
      <c r="D12" s="39" t="s">
        <v>19</v>
      </c>
      <c r="E12" s="288"/>
      <c r="F12" s="303"/>
      <c r="G12" s="304">
        <v>0</v>
      </c>
    </row>
    <row r="13" spans="1:7" ht="28.5" hidden="1" x14ac:dyDescent="0.2">
      <c r="A13" s="387"/>
      <c r="B13" s="82">
        <v>1.5</v>
      </c>
      <c r="C13" s="83" t="s">
        <v>308</v>
      </c>
      <c r="D13" s="39" t="s">
        <v>22</v>
      </c>
      <c r="E13" s="288"/>
      <c r="F13" s="303"/>
      <c r="G13" s="304">
        <v>0</v>
      </c>
    </row>
    <row r="14" spans="1:7" ht="15" x14ac:dyDescent="0.2">
      <c r="A14" s="386"/>
      <c r="B14" s="276">
        <v>2</v>
      </c>
      <c r="C14" s="378" t="s">
        <v>23</v>
      </c>
      <c r="D14" s="207"/>
      <c r="E14" s="285"/>
      <c r="F14" s="301"/>
      <c r="G14" s="302" t="e">
        <f>G15+G18+G21+G25</f>
        <v>#REF!</v>
      </c>
    </row>
    <row r="15" spans="1:7" ht="15" x14ac:dyDescent="0.2">
      <c r="A15" s="388"/>
      <c r="B15" s="277">
        <v>2.1</v>
      </c>
      <c r="C15" s="380" t="s">
        <v>86</v>
      </c>
      <c r="D15" s="252"/>
      <c r="E15" s="287"/>
      <c r="F15" s="305"/>
      <c r="G15" s="306" t="e">
        <f>+G16+G17</f>
        <v>#REF!</v>
      </c>
    </row>
    <row r="16" spans="1:7" ht="20.25" customHeight="1" x14ac:dyDescent="0.2">
      <c r="A16" s="723">
        <v>202</v>
      </c>
      <c r="B16" s="82" t="s">
        <v>422</v>
      </c>
      <c r="C16" s="379" t="s">
        <v>92</v>
      </c>
      <c r="D16" s="39" t="s">
        <v>22</v>
      </c>
      <c r="E16" s="548">
        <f>'Memoria Cálculo_MATA'!U37</f>
        <v>5816</v>
      </c>
      <c r="F16" s="303" t="e">
        <f>#REF!</f>
        <v>#REF!</v>
      </c>
      <c r="G16" s="304" t="e">
        <f>E16*F16</f>
        <v>#REF!</v>
      </c>
    </row>
    <row r="17" spans="1:10" x14ac:dyDescent="0.2">
      <c r="A17" s="724"/>
      <c r="B17" s="385" t="s">
        <v>460</v>
      </c>
      <c r="C17" s="379" t="s">
        <v>91</v>
      </c>
      <c r="D17" s="39" t="s">
        <v>22</v>
      </c>
      <c r="E17" s="281">
        <f>'Memoria Cálculo_MATA'!V37</f>
        <v>185</v>
      </c>
      <c r="F17" s="303" t="e">
        <f>#REF!</f>
        <v>#REF!</v>
      </c>
      <c r="G17" s="304" t="e">
        <f>E17*F17</f>
        <v>#REF!</v>
      </c>
    </row>
    <row r="18" spans="1:10" ht="15" customHeight="1" x14ac:dyDescent="0.2">
      <c r="A18" s="389"/>
      <c r="B18" s="277">
        <v>2.2000000000000002</v>
      </c>
      <c r="C18" s="380" t="s">
        <v>26</v>
      </c>
      <c r="D18" s="252"/>
      <c r="E18" s="287"/>
      <c r="F18" s="305"/>
      <c r="G18" s="306" t="e">
        <f>SUM(G19:G20)</f>
        <v>#REF!</v>
      </c>
    </row>
    <row r="19" spans="1:10" ht="14.25" customHeight="1" x14ac:dyDescent="0.2">
      <c r="A19" s="705">
        <v>201</v>
      </c>
      <c r="B19" s="82" t="s">
        <v>416</v>
      </c>
      <c r="C19" s="379" t="s">
        <v>605</v>
      </c>
      <c r="D19" s="39" t="s">
        <v>29</v>
      </c>
      <c r="E19" s="281">
        <f>+'Memoria Cálculo_MATA'!W37+'Memoria Cálculo_MATA'!AL37</f>
        <v>4511.3367727035939</v>
      </c>
      <c r="F19" s="303" t="e">
        <f>#REF!</f>
        <v>#REF!</v>
      </c>
      <c r="G19" s="304" t="e">
        <f>E19*F19</f>
        <v>#REF!</v>
      </c>
      <c r="J19" s="400"/>
    </row>
    <row r="20" spans="1:10" ht="14.25" customHeight="1" x14ac:dyDescent="0.2">
      <c r="A20" s="722"/>
      <c r="B20" s="82" t="s">
        <v>417</v>
      </c>
      <c r="C20" s="379" t="s">
        <v>606</v>
      </c>
      <c r="D20" s="39" t="s">
        <v>29</v>
      </c>
      <c r="E20" s="281">
        <f>+'Memoria Cálculo_MATA'!X37</f>
        <v>705</v>
      </c>
      <c r="F20" s="303" t="e">
        <f>#REF!</f>
        <v>#REF!</v>
      </c>
      <c r="G20" s="304" t="e">
        <f>E20*F20</f>
        <v>#REF!</v>
      </c>
      <c r="H20" s="547">
        <f>E19+E20</f>
        <v>5216.3367727035939</v>
      </c>
    </row>
    <row r="21" spans="1:10" ht="15" customHeight="1" x14ac:dyDescent="0.2">
      <c r="A21" s="389"/>
      <c r="B21" s="277">
        <v>2.2999999999999998</v>
      </c>
      <c r="C21" s="380" t="s">
        <v>33</v>
      </c>
      <c r="D21" s="252"/>
      <c r="E21" s="287"/>
      <c r="F21" s="305"/>
      <c r="G21" s="306" t="e">
        <f>SUM(G22:G24)</f>
        <v>#REF!</v>
      </c>
    </row>
    <row r="22" spans="1:10" ht="42.75" x14ac:dyDescent="0.2">
      <c r="A22" s="707">
        <v>204</v>
      </c>
      <c r="B22" s="82" t="s">
        <v>418</v>
      </c>
      <c r="C22" s="83" t="s">
        <v>430</v>
      </c>
      <c r="D22" s="39" t="s">
        <v>29</v>
      </c>
      <c r="E22" s="288">
        <f>+(E19+E20-'Memoria Cálculo_MATA'!AL37)*0.2</f>
        <v>1029</v>
      </c>
      <c r="F22" s="303" t="e">
        <f>#REF!</f>
        <v>#REF!</v>
      </c>
      <c r="G22" s="304" t="e">
        <f>E22*F22</f>
        <v>#REF!</v>
      </c>
    </row>
    <row r="23" spans="1:10" ht="42.75" x14ac:dyDescent="0.2">
      <c r="A23" s="708"/>
      <c r="B23" s="82" t="s">
        <v>419</v>
      </c>
      <c r="C23" s="83" t="s">
        <v>603</v>
      </c>
      <c r="D23" s="39" t="s">
        <v>29</v>
      </c>
      <c r="E23" s="446">
        <f>+(E19+E20-'Memoria Cálculo_MATA'!AL37)*0.7</f>
        <v>3601.4999999999995</v>
      </c>
      <c r="F23" s="303" t="e">
        <f>#REF!</f>
        <v>#REF!</v>
      </c>
      <c r="G23" s="304" t="e">
        <f>E23*F23</f>
        <v>#REF!</v>
      </c>
      <c r="H23" s="547">
        <f>E22+E23+E24</f>
        <v>5145</v>
      </c>
      <c r="I23" s="547">
        <f>H20-H23</f>
        <v>71.336772703593851</v>
      </c>
    </row>
    <row r="24" spans="1:10" x14ac:dyDescent="0.2">
      <c r="A24" s="383">
        <v>404</v>
      </c>
      <c r="B24" s="82" t="s">
        <v>559</v>
      </c>
      <c r="C24" s="379" t="s">
        <v>604</v>
      </c>
      <c r="D24" s="39" t="s">
        <v>29</v>
      </c>
      <c r="E24" s="288">
        <f>(+E19+E20-'Memoria Cálculo_MATA'!AL37)*0.1</f>
        <v>514.5</v>
      </c>
      <c r="F24" s="303" t="e">
        <f>#REF!</f>
        <v>#REF!</v>
      </c>
      <c r="G24" s="304" t="e">
        <f>E24*F24</f>
        <v>#REF!</v>
      </c>
    </row>
    <row r="25" spans="1:10" ht="15" x14ac:dyDescent="0.2">
      <c r="A25" s="389"/>
      <c r="B25" s="277">
        <v>2.4</v>
      </c>
      <c r="C25" s="380" t="s">
        <v>429</v>
      </c>
      <c r="D25" s="252"/>
      <c r="E25" s="290"/>
      <c r="F25" s="305"/>
      <c r="G25" s="306" t="e">
        <f>G26</f>
        <v>#REF!</v>
      </c>
      <c r="H25" s="542"/>
    </row>
    <row r="26" spans="1:10" ht="28.5" x14ac:dyDescent="0.2">
      <c r="A26" s="34">
        <v>205</v>
      </c>
      <c r="B26" s="82" t="s">
        <v>421</v>
      </c>
      <c r="C26" s="83" t="s">
        <v>608</v>
      </c>
      <c r="D26" s="39" t="s">
        <v>29</v>
      </c>
      <c r="E26" s="288">
        <f>(+E19+E20)-E22+'Memoria Cálculo_MATA'!AL37</f>
        <v>4258.6735454071877</v>
      </c>
      <c r="F26" s="303" t="e">
        <f>#REF!</f>
        <v>#REF!</v>
      </c>
      <c r="G26" s="304" t="e">
        <f>E26*F26</f>
        <v>#REF!</v>
      </c>
      <c r="H26" s="547"/>
    </row>
    <row r="27" spans="1:10" ht="15" x14ac:dyDescent="0.2">
      <c r="A27" s="390"/>
      <c r="B27" s="276">
        <v>3</v>
      </c>
      <c r="C27" s="381" t="s">
        <v>51</v>
      </c>
      <c r="D27" s="207"/>
      <c r="E27" s="285"/>
      <c r="F27" s="301"/>
      <c r="G27" s="302" t="e">
        <f>SUM(G28:G37)</f>
        <v>#REF!</v>
      </c>
      <c r="H27" s="547"/>
    </row>
    <row r="28" spans="1:10" x14ac:dyDescent="0.2">
      <c r="A28" s="34" t="s">
        <v>167</v>
      </c>
      <c r="B28" s="82">
        <v>3.1</v>
      </c>
      <c r="C28" s="83" t="s">
        <v>52</v>
      </c>
      <c r="D28" s="39" t="s">
        <v>21</v>
      </c>
      <c r="E28" s="445">
        <f>'Memoria Cálculo_MATA'!AO37</f>
        <v>10</v>
      </c>
      <c r="F28" s="303" t="e">
        <f>#REF!</f>
        <v>#REF!</v>
      </c>
      <c r="G28" s="304" t="e">
        <f t="shared" ref="G28:G37" si="0">E28*F28</f>
        <v>#REF!</v>
      </c>
    </row>
    <row r="29" spans="1:10" ht="30" customHeight="1" x14ac:dyDescent="0.2">
      <c r="A29" s="34" t="s">
        <v>167</v>
      </c>
      <c r="B29" s="82">
        <v>3.2</v>
      </c>
      <c r="C29" s="83" t="s">
        <v>462</v>
      </c>
      <c r="D29" s="39" t="s">
        <v>21</v>
      </c>
      <c r="E29" s="445">
        <f>'Memoria Cálculo_MATA'!AE37+'Memoria Cálculo_MATA'!AK37</f>
        <v>31</v>
      </c>
      <c r="F29" s="303" t="e">
        <f>#REF!</f>
        <v>#REF!</v>
      </c>
      <c r="G29" s="304" t="e">
        <f t="shared" si="0"/>
        <v>#REF!</v>
      </c>
    </row>
    <row r="30" spans="1:10" ht="31.5" customHeight="1" x14ac:dyDescent="0.2">
      <c r="A30" s="525" t="s">
        <v>563</v>
      </c>
      <c r="B30" s="82">
        <v>3.3</v>
      </c>
      <c r="C30" s="83" t="s">
        <v>463</v>
      </c>
      <c r="D30" s="39" t="s">
        <v>21</v>
      </c>
      <c r="E30" s="445">
        <v>20</v>
      </c>
      <c r="F30" s="303" t="e">
        <f>#REF!</f>
        <v>#REF!</v>
      </c>
      <c r="G30" s="304" t="e">
        <f t="shared" si="0"/>
        <v>#REF!</v>
      </c>
    </row>
    <row r="31" spans="1:10" ht="28.5" x14ac:dyDescent="0.2">
      <c r="A31" s="525" t="s">
        <v>564</v>
      </c>
      <c r="B31" s="82">
        <v>3.4</v>
      </c>
      <c r="C31" s="83" t="s">
        <v>464</v>
      </c>
      <c r="D31" s="39" t="s">
        <v>19</v>
      </c>
      <c r="E31" s="288">
        <f>+'Memoria Cálculo_MATA'!AM37+'Memoria Cálculo_MATA'!AN37</f>
        <v>33.649999999999991</v>
      </c>
      <c r="F31" s="303" t="e">
        <f>#REF!</f>
        <v>#REF!</v>
      </c>
      <c r="G31" s="304" t="e">
        <f t="shared" si="0"/>
        <v>#REF!</v>
      </c>
      <c r="J31" s="402"/>
    </row>
    <row r="32" spans="1:10" ht="28.5" x14ac:dyDescent="0.2">
      <c r="A32" s="34" t="s">
        <v>565</v>
      </c>
      <c r="B32" s="82">
        <v>3.5</v>
      </c>
      <c r="C32" s="83" t="s">
        <v>53</v>
      </c>
      <c r="D32" s="39" t="s">
        <v>21</v>
      </c>
      <c r="E32" s="282">
        <f>ROUND((E31)/0.3 +(E29),0)</f>
        <v>143</v>
      </c>
      <c r="F32" s="303" t="e">
        <f>#REF!</f>
        <v>#REF!</v>
      </c>
      <c r="G32" s="304" t="e">
        <f t="shared" si="0"/>
        <v>#REF!</v>
      </c>
    </row>
    <row r="33" spans="1:7" ht="28.5" x14ac:dyDescent="0.2">
      <c r="A33" s="525" t="s">
        <v>566</v>
      </c>
      <c r="B33" s="82">
        <v>3.6</v>
      </c>
      <c r="C33" s="83" t="s">
        <v>415</v>
      </c>
      <c r="D33" s="39" t="s">
        <v>21</v>
      </c>
      <c r="E33" s="282">
        <f>'Memoria Cálculo_MATA'!AL39</f>
        <v>11</v>
      </c>
      <c r="F33" s="303" t="e">
        <f>#REF!</f>
        <v>#REF!</v>
      </c>
      <c r="G33" s="304" t="e">
        <f t="shared" si="0"/>
        <v>#REF!</v>
      </c>
    </row>
    <row r="34" spans="1:7" x14ac:dyDescent="0.2">
      <c r="A34" s="34" t="s">
        <v>567</v>
      </c>
      <c r="B34" s="82">
        <v>3.7</v>
      </c>
      <c r="C34" s="426" t="s">
        <v>465</v>
      </c>
      <c r="D34" s="427" t="s">
        <v>19</v>
      </c>
      <c r="E34" s="282">
        <f>(SUM('Memoria Cálculo_MATA'!AF37:AJ37)*0.3)</f>
        <v>51.9</v>
      </c>
      <c r="F34" s="303" t="e">
        <f>#REF!</f>
        <v>#REF!</v>
      </c>
      <c r="G34" s="304" t="e">
        <f t="shared" si="0"/>
        <v>#REF!</v>
      </c>
    </row>
    <row r="35" spans="1:7" ht="25.5" x14ac:dyDescent="0.2">
      <c r="A35" s="34" t="s">
        <v>567</v>
      </c>
      <c r="B35" s="82">
        <v>3.8</v>
      </c>
      <c r="C35" s="426" t="s">
        <v>466</v>
      </c>
      <c r="D35" s="427" t="s">
        <v>21</v>
      </c>
      <c r="E35" s="282">
        <f>E34</f>
        <v>51.9</v>
      </c>
      <c r="F35" s="303" t="e">
        <f>#REF!</f>
        <v>#REF!</v>
      </c>
      <c r="G35" s="304" t="e">
        <f t="shared" si="0"/>
        <v>#REF!</v>
      </c>
    </row>
    <row r="36" spans="1:7" x14ac:dyDescent="0.2">
      <c r="A36" s="34" t="s">
        <v>567</v>
      </c>
      <c r="B36" s="82">
        <v>3.9</v>
      </c>
      <c r="C36" s="426" t="s">
        <v>177</v>
      </c>
      <c r="D36" s="427" t="s">
        <v>19</v>
      </c>
      <c r="E36" s="282">
        <f>(SUM('Memoria Cálculo_MATA'!AF37:AJ37)*0.4)</f>
        <v>69.2</v>
      </c>
      <c r="F36" s="303" t="e">
        <f>#REF!</f>
        <v>#REF!</v>
      </c>
      <c r="G36" s="304" t="e">
        <f t="shared" si="0"/>
        <v>#REF!</v>
      </c>
    </row>
    <row r="37" spans="1:7" ht="25.5" x14ac:dyDescent="0.2">
      <c r="A37" s="34" t="s">
        <v>567</v>
      </c>
      <c r="B37" s="115">
        <v>3.1</v>
      </c>
      <c r="C37" s="426" t="s">
        <v>176</v>
      </c>
      <c r="D37" s="427" t="s">
        <v>21</v>
      </c>
      <c r="E37" s="282">
        <f>E36</f>
        <v>69.2</v>
      </c>
      <c r="F37" s="303" t="e">
        <f>#REF!</f>
        <v>#REF!</v>
      </c>
      <c r="G37" s="304" t="e">
        <f t="shared" si="0"/>
        <v>#REF!</v>
      </c>
    </row>
    <row r="38" spans="1:7" ht="15" x14ac:dyDescent="0.2">
      <c r="A38" s="391"/>
      <c r="B38" s="276">
        <v>4</v>
      </c>
      <c r="C38" s="381" t="s">
        <v>431</v>
      </c>
      <c r="D38" s="207"/>
      <c r="E38" s="285"/>
      <c r="F38" s="301"/>
      <c r="G38" s="302" t="e">
        <f>SUM(G39:G53)</f>
        <v>#REF!</v>
      </c>
    </row>
    <row r="39" spans="1:7" ht="28.5" x14ac:dyDescent="0.2">
      <c r="A39" s="524" t="s">
        <v>568</v>
      </c>
      <c r="B39" s="82">
        <v>4.0999999999999996</v>
      </c>
      <c r="C39" s="83" t="s">
        <v>571</v>
      </c>
      <c r="D39" s="39" t="s">
        <v>19</v>
      </c>
      <c r="E39" s="281">
        <f>'Memoria Cálculo_MATA'!Y37</f>
        <v>1040</v>
      </c>
      <c r="F39" s="444" t="e">
        <f>#REF!</f>
        <v>#REF!</v>
      </c>
      <c r="G39" s="304" t="e">
        <f>E39*F39</f>
        <v>#REF!</v>
      </c>
    </row>
    <row r="40" spans="1:7" x14ac:dyDescent="0.2">
      <c r="A40" s="443" t="s">
        <v>569</v>
      </c>
      <c r="B40" s="82">
        <v>4.2</v>
      </c>
      <c r="C40" s="83" t="s">
        <v>578</v>
      </c>
      <c r="D40" s="39" t="s">
        <v>19</v>
      </c>
      <c r="E40" s="281">
        <f>'Memoria Cálculo_MATA'!Z37</f>
        <v>704</v>
      </c>
      <c r="F40" s="444" t="e">
        <f>#REF!</f>
        <v>#REF!</v>
      </c>
      <c r="G40" s="304" t="e">
        <f>E40*F40</f>
        <v>#REF!</v>
      </c>
    </row>
    <row r="41" spans="1:7" x14ac:dyDescent="0.2">
      <c r="A41" s="443" t="s">
        <v>569</v>
      </c>
      <c r="B41" s="82">
        <v>4.3</v>
      </c>
      <c r="C41" s="83" t="s">
        <v>579</v>
      </c>
      <c r="D41" s="39" t="s">
        <v>19</v>
      </c>
      <c r="E41" s="281">
        <f>'Memoria Cálculo_MATA'!AA37</f>
        <v>277</v>
      </c>
      <c r="F41" s="444" t="e">
        <f>#REF!</f>
        <v>#REF!</v>
      </c>
      <c r="G41" s="304" t="e">
        <f>E41*F41</f>
        <v>#REF!</v>
      </c>
    </row>
    <row r="42" spans="1:7" x14ac:dyDescent="0.2">
      <c r="A42" s="443" t="s">
        <v>569</v>
      </c>
      <c r="B42" s="82">
        <v>4.4000000000000004</v>
      </c>
      <c r="C42" s="83" t="s">
        <v>580</v>
      </c>
      <c r="D42" s="39" t="s">
        <v>19</v>
      </c>
      <c r="E42" s="281">
        <f>'Memoria Cálculo_MATA'!AB37</f>
        <v>146</v>
      </c>
      <c r="F42" s="444" t="e">
        <f>#REF!</f>
        <v>#REF!</v>
      </c>
      <c r="G42" s="304" t="e">
        <f t="shared" ref="G42:G44" si="1">E42*F42</f>
        <v>#REF!</v>
      </c>
    </row>
    <row r="43" spans="1:7" x14ac:dyDescent="0.2">
      <c r="A43" s="443" t="s">
        <v>569</v>
      </c>
      <c r="B43" s="82">
        <v>4.5</v>
      </c>
      <c r="C43" s="83" t="s">
        <v>581</v>
      </c>
      <c r="D43" s="39" t="s">
        <v>19</v>
      </c>
      <c r="E43" s="281">
        <f>'Memoria Cálculo_MATA'!AC37</f>
        <v>174</v>
      </c>
      <c r="F43" s="444" t="e">
        <f>#REF!</f>
        <v>#REF!</v>
      </c>
      <c r="G43" s="304" t="e">
        <f t="shared" si="1"/>
        <v>#REF!</v>
      </c>
    </row>
    <row r="44" spans="1:7" x14ac:dyDescent="0.2">
      <c r="A44" s="443" t="s">
        <v>569</v>
      </c>
      <c r="B44" s="82">
        <v>4.5999999999999996</v>
      </c>
      <c r="C44" s="83" t="s">
        <v>582</v>
      </c>
      <c r="D44" s="39" t="s">
        <v>19</v>
      </c>
      <c r="E44" s="281">
        <f>'Memoria Cálculo_MATA'!AD37</f>
        <v>457</v>
      </c>
      <c r="F44" s="444" t="e">
        <f>#REF!</f>
        <v>#REF!</v>
      </c>
      <c r="G44" s="304" t="e">
        <f t="shared" si="1"/>
        <v>#REF!</v>
      </c>
    </row>
    <row r="45" spans="1:7" x14ac:dyDescent="0.2">
      <c r="A45" s="443" t="s">
        <v>570</v>
      </c>
      <c r="B45" s="82">
        <v>4.7</v>
      </c>
      <c r="C45" s="83" t="s">
        <v>432</v>
      </c>
      <c r="D45" s="39" t="s">
        <v>21</v>
      </c>
      <c r="E45" s="282">
        <f>'Memoria Cálculo_MATA'!AF37</f>
        <v>108</v>
      </c>
      <c r="F45" s="303" t="e">
        <f>#REF!</f>
        <v>#REF!</v>
      </c>
      <c r="G45" s="304" t="e">
        <f t="shared" ref="G45:G53" si="2">+E45*F45</f>
        <v>#REF!</v>
      </c>
    </row>
    <row r="46" spans="1:7" x14ac:dyDescent="0.2">
      <c r="A46" s="443" t="s">
        <v>570</v>
      </c>
      <c r="B46" s="82">
        <v>4.8</v>
      </c>
      <c r="C46" s="83" t="s">
        <v>433</v>
      </c>
      <c r="D46" s="39" t="s">
        <v>21</v>
      </c>
      <c r="E46" s="282">
        <f>+'Memoria Cálculo_MATA'!AG37</f>
        <v>25</v>
      </c>
      <c r="F46" s="303" t="e">
        <f>#REF!</f>
        <v>#REF!</v>
      </c>
      <c r="G46" s="304" t="e">
        <f t="shared" si="2"/>
        <v>#REF!</v>
      </c>
    </row>
    <row r="47" spans="1:7" x14ac:dyDescent="0.2">
      <c r="A47" s="443" t="s">
        <v>570</v>
      </c>
      <c r="B47" s="82">
        <v>4.9000000000000004</v>
      </c>
      <c r="C47" s="426" t="s">
        <v>553</v>
      </c>
      <c r="D47" s="39" t="s">
        <v>21</v>
      </c>
      <c r="E47" s="282">
        <f>+'Memoria Cálculo_MATA'!AH37</f>
        <v>19</v>
      </c>
      <c r="F47" s="303" t="e">
        <f>#REF!</f>
        <v>#REF!</v>
      </c>
      <c r="G47" s="304" t="e">
        <f t="shared" si="2"/>
        <v>#REF!</v>
      </c>
    </row>
    <row r="48" spans="1:7" x14ac:dyDescent="0.2">
      <c r="A48" s="443" t="s">
        <v>570</v>
      </c>
      <c r="B48" s="82">
        <v>4.0999999999999996</v>
      </c>
      <c r="C48" s="426" t="s">
        <v>554</v>
      </c>
      <c r="D48" s="39" t="s">
        <v>21</v>
      </c>
      <c r="E48" s="282">
        <f>+'Memoria Cálculo_MATA'!AI37</f>
        <v>8</v>
      </c>
      <c r="F48" s="303" t="e">
        <f>#REF!</f>
        <v>#REF!</v>
      </c>
      <c r="G48" s="304" t="e">
        <f t="shared" si="2"/>
        <v>#REF!</v>
      </c>
    </row>
    <row r="49" spans="1:10" x14ac:dyDescent="0.2">
      <c r="A49" s="443" t="s">
        <v>570</v>
      </c>
      <c r="B49" s="82">
        <v>4.1100000000000003</v>
      </c>
      <c r="C49" s="426" t="s">
        <v>555</v>
      </c>
      <c r="D49" s="39" t="s">
        <v>21</v>
      </c>
      <c r="E49" s="282">
        <f>+'Memoria Cálculo_MATA'!AJ37</f>
        <v>13</v>
      </c>
      <c r="F49" s="303" t="e">
        <f>#REF!</f>
        <v>#REF!</v>
      </c>
      <c r="G49" s="304" t="e">
        <f t="shared" si="2"/>
        <v>#REF!</v>
      </c>
    </row>
    <row r="50" spans="1:10" x14ac:dyDescent="0.2">
      <c r="A50" s="443" t="s">
        <v>570</v>
      </c>
      <c r="B50" s="82">
        <v>4.12</v>
      </c>
      <c r="C50" s="32" t="s">
        <v>467</v>
      </c>
      <c r="D50" s="39" t="s">
        <v>21</v>
      </c>
      <c r="E50" s="282">
        <f>SUM(E45:E49)+2*E51</f>
        <v>449</v>
      </c>
      <c r="F50" s="303" t="e">
        <f>#REF!</f>
        <v>#REF!</v>
      </c>
      <c r="G50" s="304" t="e">
        <f t="shared" si="2"/>
        <v>#REF!</v>
      </c>
    </row>
    <row r="51" spans="1:10" x14ac:dyDescent="0.2">
      <c r="A51" s="443" t="s">
        <v>570</v>
      </c>
      <c r="B51" s="82">
        <v>4.13</v>
      </c>
      <c r="C51" s="342" t="s">
        <v>574</v>
      </c>
      <c r="D51" s="428" t="s">
        <v>21</v>
      </c>
      <c r="E51" s="282">
        <f>ROUND(SUM(E45:E49)*0.8,0)</f>
        <v>138</v>
      </c>
      <c r="F51" s="303" t="e">
        <f>#REF!</f>
        <v>#REF!</v>
      </c>
      <c r="G51" s="304" t="e">
        <f t="shared" si="2"/>
        <v>#REF!</v>
      </c>
    </row>
    <row r="52" spans="1:10" x14ac:dyDescent="0.2">
      <c r="A52" s="443" t="s">
        <v>570</v>
      </c>
      <c r="B52" s="82">
        <v>4.1399999999999997</v>
      </c>
      <c r="C52" s="342" t="s">
        <v>573</v>
      </c>
      <c r="D52" s="343" t="s">
        <v>21</v>
      </c>
      <c r="E52" s="282">
        <f>ROUND(SUM(E45:E49)*0.3,0)</f>
        <v>52</v>
      </c>
      <c r="F52" s="303" t="e">
        <f>#REF!</f>
        <v>#REF!</v>
      </c>
      <c r="G52" s="304" t="e">
        <f t="shared" si="2"/>
        <v>#REF!</v>
      </c>
    </row>
    <row r="53" spans="1:10" ht="15" thickBot="1" x14ac:dyDescent="0.25">
      <c r="A53" s="443" t="s">
        <v>570</v>
      </c>
      <c r="B53" s="82">
        <v>4.1500000000000004</v>
      </c>
      <c r="C53" s="342" t="s">
        <v>575</v>
      </c>
      <c r="D53" s="343" t="s">
        <v>21</v>
      </c>
      <c r="E53" s="282">
        <f>E52</f>
        <v>52</v>
      </c>
      <c r="F53" s="303" t="e">
        <f>#REF!</f>
        <v>#REF!</v>
      </c>
      <c r="G53" s="304" t="e">
        <f t="shared" si="2"/>
        <v>#REF!</v>
      </c>
    </row>
    <row r="54" spans="1:10" ht="15" customHeight="1" thickBot="1" x14ac:dyDescent="0.3">
      <c r="A54" s="507"/>
      <c r="B54" s="709" t="s">
        <v>340</v>
      </c>
      <c r="C54" s="709"/>
      <c r="D54" s="709"/>
      <c r="E54" s="709"/>
      <c r="F54" s="508"/>
      <c r="G54" s="509" t="e">
        <f>+G8+G14+G27+G38</f>
        <v>#REF!</v>
      </c>
      <c r="H54" s="447"/>
      <c r="I54" s="448"/>
      <c r="J54" s="430"/>
    </row>
    <row r="55" spans="1:10" x14ac:dyDescent="0.2">
      <c r="G55" s="308"/>
    </row>
    <row r="56" spans="1:10" x14ac:dyDescent="0.2">
      <c r="G56" s="309"/>
      <c r="H56" s="401"/>
      <c r="I56" s="401"/>
    </row>
    <row r="57" spans="1:10" ht="15" x14ac:dyDescent="0.25">
      <c r="G57" s="449"/>
    </row>
    <row r="58" spans="1:10" x14ac:dyDescent="0.2">
      <c r="G58" s="309"/>
      <c r="H58" s="346"/>
      <c r="I58" s="346"/>
    </row>
  </sheetData>
  <mergeCells count="8">
    <mergeCell ref="A22:A23"/>
    <mergeCell ref="B54:E54"/>
    <mergeCell ref="A2:G2"/>
    <mergeCell ref="A3:G3"/>
    <mergeCell ref="A4:G4"/>
    <mergeCell ref="A5:G5"/>
    <mergeCell ref="A19:A20"/>
    <mergeCell ref="A16:A17"/>
  </mergeCells>
  <phoneticPr fontId="23" type="noConversion"/>
  <printOptions horizontalCentered="1"/>
  <pageMargins left="0.27559055118110237" right="0.16" top="0.31" bottom="0.19685039370078741" header="0.23622047244094491" footer="0.19685039370078741"/>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vt:i4>
      </vt:variant>
    </vt:vector>
  </HeadingPairs>
  <TitlesOfParts>
    <vt:vector size="30" baseType="lpstr">
      <vt:lpstr>cronograma</vt:lpstr>
      <vt:lpstr>obra</vt:lpstr>
      <vt:lpstr>Cantidades_AR</vt:lpstr>
      <vt:lpstr>Cantidades_MATA</vt:lpstr>
      <vt:lpstr>Memoria Cálculo_ANR</vt:lpstr>
      <vt:lpstr>Presupuesto Obra_ANR</vt:lpstr>
      <vt:lpstr>Presupuesto Suministro_ANR</vt:lpstr>
      <vt:lpstr>Memoria Cálculo_MATA</vt:lpstr>
      <vt:lpstr>Presupuesto Obra_MATA</vt:lpstr>
      <vt:lpstr>Presupuesto Obra_APO</vt:lpstr>
      <vt:lpstr>suministro</vt:lpstr>
      <vt:lpstr>suministro (2)</vt:lpstr>
      <vt:lpstr>especificaciones </vt:lpstr>
      <vt:lpstr>AIU</vt:lpstr>
      <vt:lpstr>MATERIALES</vt:lpstr>
      <vt:lpstr>EQUIPOS</vt:lpstr>
      <vt:lpstr>cronograma!Área_de_impresión</vt:lpstr>
      <vt:lpstr>EQUIPOS!Área_de_impresión</vt:lpstr>
      <vt:lpstr>'especificaciones '!Área_de_impresión</vt:lpstr>
      <vt:lpstr>MATERIALES!Área_de_impresión</vt:lpstr>
      <vt:lpstr>'Memoria Cálculo_ANR'!Área_de_impresión</vt:lpstr>
      <vt:lpstr>'Memoria Cálculo_MATA'!Área_de_impresión</vt:lpstr>
      <vt:lpstr>obra!Área_de_impresión</vt:lpstr>
      <vt:lpstr>'Presupuesto Obra_ANR'!Área_de_impresión</vt:lpstr>
      <vt:lpstr>'Presupuesto Obra_APO'!Área_de_impresión</vt:lpstr>
      <vt:lpstr>'Presupuesto Obra_MATA'!Área_de_impresión</vt:lpstr>
      <vt:lpstr>'Presupuesto Suministro_ANR'!Área_de_impresión</vt:lpstr>
      <vt:lpstr>suministro!Área_de_impresión</vt:lpstr>
      <vt:lpstr>'suministro (2)'!Área_de_impresión</vt:lpstr>
      <vt:lpstr>'Presupuesto Obra_APO'!Títulos_a_imprimir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ADU</dc:creator>
  <cp:lastModifiedBy>JOSE JAVIER HERRERA GOMEZ</cp:lastModifiedBy>
  <cp:lastPrinted>2016-10-19T18:30:39Z</cp:lastPrinted>
  <dcterms:created xsi:type="dcterms:W3CDTF">2011-05-28T01:44:53Z</dcterms:created>
  <dcterms:modified xsi:type="dcterms:W3CDTF">2016-10-31T21:17:47Z</dcterms:modified>
</cp:coreProperties>
</file>